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omments3.xml" ContentType="application/vnd.openxmlformats-officedocument.spreadsheetml.comments+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Referat 624\Skambracks\Project_Role_of_imports\"/>
    </mc:Choice>
  </mc:AlternateContent>
  <bookViews>
    <workbookView xWindow="0" yWindow="0" windowWidth="28800" windowHeight="11340"/>
  </bookViews>
  <sheets>
    <sheet name="Price comparison livestock" sheetId="1" r:id="rId1"/>
    <sheet name="Price comparison pigs" sheetId="2" r:id="rId2"/>
    <sheet name="Calculation import share pigs" sheetId="3" r:id="rId3"/>
    <sheet name="Price comparison poultry" sheetId="5" r:id="rId4"/>
    <sheet name="Calcul. import share poultry" sheetId="8" r:id="rId5"/>
    <sheet name="Price comparison cattle" sheetId="4" r:id="rId6"/>
    <sheet name="Price comparison sheep and goat" sheetId="7" r:id="rId7"/>
  </sheets>
  <externalReferences>
    <externalReference r:id="rId8"/>
    <externalReference r:id="rId9"/>
    <externalReference r:id="rId10"/>
    <externalReference r:id="rId11"/>
    <externalReference r:id="rId12"/>
    <externalReference r:id="rId13"/>
  </externalReferences>
  <definedNames>
    <definedName name="_xlnm.Print_Titles" localSheetId="4">'Calcul. import share poultry'!$1:$31</definedName>
    <definedName name="_xlnm.Print_Titles" localSheetId="2">'Calculation import share pigs'!$5:$9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2" i="4" l="1"/>
  <c r="Q22" i="4"/>
  <c r="P22" i="4"/>
  <c r="O22" i="4"/>
  <c r="N22" i="4"/>
  <c r="M22" i="4"/>
  <c r="L22" i="4"/>
  <c r="K22" i="4"/>
  <c r="J22" i="4"/>
  <c r="I22" i="4"/>
  <c r="H22" i="4"/>
  <c r="G22" i="4"/>
  <c r="R15" i="1"/>
  <c r="Q15" i="1"/>
  <c r="P15" i="1"/>
  <c r="O15" i="1"/>
  <c r="N15" i="1"/>
  <c r="M15" i="1"/>
  <c r="L15" i="1"/>
  <c r="K15" i="1"/>
  <c r="J15" i="1"/>
  <c r="I15" i="1"/>
  <c r="H15" i="1"/>
  <c r="G15" i="1"/>
  <c r="T17" i="5" l="1"/>
  <c r="T12" i="5"/>
  <c r="N155" i="8" l="1"/>
  <c r="N144" i="8"/>
  <c r="N133" i="8"/>
  <c r="N122" i="8"/>
  <c r="N111" i="8"/>
  <c r="N100" i="8"/>
  <c r="N89" i="8"/>
  <c r="N78" i="8"/>
  <c r="N67" i="8"/>
  <c r="N56" i="8"/>
  <c r="N45" i="8"/>
  <c r="R7" i="5" l="1"/>
  <c r="Q7" i="5"/>
  <c r="P7" i="5"/>
  <c r="O7" i="5"/>
  <c r="N7" i="5"/>
  <c r="M7" i="5"/>
  <c r="L7" i="5"/>
  <c r="K7" i="5"/>
  <c r="J7" i="5"/>
  <c r="I7" i="5"/>
  <c r="H7" i="5"/>
  <c r="T14" i="5"/>
  <c r="T9" i="5"/>
  <c r="R73" i="1" l="1"/>
  <c r="Q73" i="1"/>
  <c r="P73" i="1"/>
  <c r="O73" i="1"/>
  <c r="N73" i="1"/>
  <c r="M73" i="1"/>
  <c r="L73" i="1"/>
  <c r="K73" i="1"/>
  <c r="J73" i="1"/>
  <c r="I73" i="1"/>
  <c r="H73" i="1"/>
  <c r="R69" i="1"/>
  <c r="Q69" i="1"/>
  <c r="P69" i="1"/>
  <c r="O69" i="1"/>
  <c r="N69" i="1"/>
  <c r="M69" i="1"/>
  <c r="L69" i="1"/>
  <c r="K69" i="1"/>
  <c r="J69" i="1"/>
  <c r="I69" i="1"/>
  <c r="H69" i="1"/>
  <c r="R5" i="5"/>
  <c r="Q5" i="5"/>
  <c r="P5" i="5"/>
  <c r="O5" i="5"/>
  <c r="N5" i="5"/>
  <c r="M5" i="5"/>
  <c r="L5" i="5"/>
  <c r="K5" i="5"/>
  <c r="J5" i="5"/>
  <c r="I5" i="5"/>
  <c r="H5" i="5"/>
  <c r="J162" i="8" l="1"/>
  <c r="I162" i="8"/>
  <c r="J151" i="8"/>
  <c r="I151" i="8"/>
  <c r="J140" i="8"/>
  <c r="I140" i="8"/>
  <c r="J129" i="8"/>
  <c r="I129" i="8"/>
  <c r="J118" i="8"/>
  <c r="I118" i="8"/>
  <c r="J107" i="8"/>
  <c r="I107" i="8"/>
  <c r="J96" i="8"/>
  <c r="I96" i="8"/>
  <c r="J85" i="8"/>
  <c r="I85" i="8"/>
  <c r="I80" i="8"/>
  <c r="J80" i="8"/>
  <c r="I81" i="8"/>
  <c r="J81" i="8"/>
  <c r="I82" i="8"/>
  <c r="J82" i="8"/>
  <c r="I83" i="8"/>
  <c r="J83" i="8"/>
  <c r="J84" i="8"/>
  <c r="J74" i="8"/>
  <c r="I74" i="8"/>
  <c r="J63" i="8"/>
  <c r="I63" i="8"/>
  <c r="J52" i="8"/>
  <c r="I52" i="8"/>
  <c r="I47" i="8"/>
  <c r="J47" i="8"/>
  <c r="I48" i="8"/>
  <c r="J48" i="8"/>
  <c r="I49" i="8"/>
  <c r="J49" i="8"/>
  <c r="I50" i="8"/>
  <c r="J50" i="8"/>
  <c r="J51" i="8"/>
  <c r="I58" i="8"/>
  <c r="J58" i="8"/>
  <c r="I59" i="8"/>
  <c r="J59" i="8"/>
  <c r="I60" i="8"/>
  <c r="J60" i="8"/>
  <c r="I61" i="8"/>
  <c r="J61" i="8"/>
  <c r="J62" i="8"/>
  <c r="I69" i="8"/>
  <c r="J69" i="8"/>
  <c r="I70" i="8"/>
  <c r="J70" i="8"/>
  <c r="I71" i="8"/>
  <c r="J71" i="8"/>
  <c r="I72" i="8"/>
  <c r="J72" i="8"/>
  <c r="J73" i="8"/>
  <c r="I91" i="8"/>
  <c r="J91" i="8"/>
  <c r="I92" i="8"/>
  <c r="J92" i="8"/>
  <c r="I93" i="8"/>
  <c r="J93" i="8"/>
  <c r="J94" i="8"/>
  <c r="J95" i="8"/>
  <c r="I102" i="8"/>
  <c r="J102" i="8"/>
  <c r="I103" i="8"/>
  <c r="J103" i="8"/>
  <c r="I104" i="8"/>
  <c r="J104" i="8"/>
  <c r="I105" i="8"/>
  <c r="J105" i="8"/>
  <c r="J106" i="8"/>
  <c r="I113" i="8"/>
  <c r="J113" i="8"/>
  <c r="I114" i="8"/>
  <c r="J114" i="8"/>
  <c r="I115" i="8"/>
  <c r="J115" i="8"/>
  <c r="I116" i="8"/>
  <c r="J116" i="8"/>
  <c r="J117" i="8"/>
  <c r="I124" i="8"/>
  <c r="J124" i="8"/>
  <c r="I125" i="8"/>
  <c r="J125" i="8"/>
  <c r="I126" i="8"/>
  <c r="J126" i="8"/>
  <c r="I127" i="8"/>
  <c r="J127" i="8"/>
  <c r="J128" i="8"/>
  <c r="I135" i="8"/>
  <c r="J135" i="8"/>
  <c r="I136" i="8"/>
  <c r="J136" i="8"/>
  <c r="I137" i="8"/>
  <c r="J137" i="8"/>
  <c r="I138" i="8"/>
  <c r="J138" i="8"/>
  <c r="J139" i="8"/>
  <c r="I146" i="8"/>
  <c r="J146" i="8"/>
  <c r="I147" i="8"/>
  <c r="J147" i="8"/>
  <c r="I148" i="8"/>
  <c r="J148" i="8"/>
  <c r="I149" i="8"/>
  <c r="J149" i="8"/>
  <c r="J150" i="8"/>
  <c r="I157" i="8"/>
  <c r="J157" i="8"/>
  <c r="I158" i="8"/>
  <c r="J158" i="8"/>
  <c r="I159" i="8"/>
  <c r="J159" i="8"/>
  <c r="I160" i="8"/>
  <c r="J160" i="8"/>
  <c r="J161" i="8"/>
  <c r="T41" i="8" l="1"/>
  <c r="T39" i="8"/>
  <c r="T38" i="8"/>
  <c r="T37" i="8"/>
  <c r="T34" i="8"/>
  <c r="U33" i="8"/>
  <c r="T33" i="8"/>
  <c r="T52" i="8"/>
  <c r="T50" i="8"/>
  <c r="T49" i="8"/>
  <c r="T48" i="8"/>
  <c r="T45" i="8"/>
  <c r="U44" i="8"/>
  <c r="T44" i="8"/>
  <c r="T63" i="8"/>
  <c r="T61" i="8"/>
  <c r="T60" i="8"/>
  <c r="T59" i="8"/>
  <c r="T56" i="8"/>
  <c r="U55" i="8"/>
  <c r="T55" i="8"/>
  <c r="T74" i="8"/>
  <c r="T72" i="8"/>
  <c r="T71" i="8"/>
  <c r="T70" i="8"/>
  <c r="T67" i="8"/>
  <c r="U66" i="8"/>
  <c r="T66" i="8"/>
  <c r="T85" i="8"/>
  <c r="T83" i="8"/>
  <c r="T82" i="8"/>
  <c r="T81" i="8"/>
  <c r="T78" i="8"/>
  <c r="U77" i="8"/>
  <c r="T77" i="8"/>
  <c r="T96" i="8"/>
  <c r="T94" i="8"/>
  <c r="T93" i="8"/>
  <c r="T92" i="8"/>
  <c r="T89" i="8"/>
  <c r="U88" i="8"/>
  <c r="T88" i="8"/>
  <c r="T107" i="8"/>
  <c r="T105" i="8"/>
  <c r="T104" i="8"/>
  <c r="T103" i="8"/>
  <c r="T100" i="8"/>
  <c r="U99" i="8"/>
  <c r="T99" i="8"/>
  <c r="T118" i="8"/>
  <c r="T116" i="8"/>
  <c r="T115" i="8"/>
  <c r="T114" i="8"/>
  <c r="T111" i="8"/>
  <c r="U110" i="8"/>
  <c r="T110" i="8"/>
  <c r="T129" i="8"/>
  <c r="T127" i="8"/>
  <c r="T126" i="8"/>
  <c r="T125" i="8"/>
  <c r="T122" i="8"/>
  <c r="U121" i="8"/>
  <c r="T121" i="8"/>
  <c r="T140" i="8"/>
  <c r="T138" i="8"/>
  <c r="T137" i="8"/>
  <c r="T136" i="8"/>
  <c r="T133" i="8"/>
  <c r="T132" i="8"/>
  <c r="U132" i="8"/>
  <c r="T151" i="8"/>
  <c r="T149" i="8"/>
  <c r="T148" i="8"/>
  <c r="T147" i="8"/>
  <c r="T144" i="8"/>
  <c r="T143" i="8"/>
  <c r="U143" i="8"/>
  <c r="U154" i="8"/>
  <c r="T162" i="8"/>
  <c r="T159" i="8"/>
  <c r="T160" i="8"/>
  <c r="T158" i="8"/>
  <c r="T154" i="8"/>
  <c r="T155" i="8"/>
  <c r="V55" i="8" l="1"/>
  <c r="V88" i="8"/>
  <c r="V77" i="8"/>
  <c r="V99" i="8"/>
  <c r="V33" i="8"/>
  <c r="V154" i="8"/>
  <c r="V44" i="8"/>
  <c r="V132" i="8"/>
  <c r="V121" i="8"/>
  <c r="V110" i="8"/>
  <c r="V66" i="8"/>
  <c r="V143" i="8"/>
  <c r="L33" i="8" l="1"/>
  <c r="Q33" i="8" s="1"/>
  <c r="L40" i="8"/>
  <c r="L39" i="8"/>
  <c r="L38" i="8"/>
  <c r="L37" i="8"/>
  <c r="L36" i="8"/>
  <c r="L35" i="8"/>
  <c r="Q35" i="8" s="1"/>
  <c r="L34" i="8"/>
  <c r="O137" i="8" l="1"/>
  <c r="L44" i="8"/>
  <c r="L45" i="8"/>
  <c r="L46" i="8"/>
  <c r="L47" i="8"/>
  <c r="N47" i="8" s="1"/>
  <c r="L48" i="8"/>
  <c r="N48" i="8" s="1"/>
  <c r="L49" i="8"/>
  <c r="N49" i="8" s="1"/>
  <c r="L50" i="8"/>
  <c r="N50" i="8" s="1"/>
  <c r="L51" i="8"/>
  <c r="N51" i="8" s="1"/>
  <c r="L55" i="8"/>
  <c r="L56" i="8"/>
  <c r="L57" i="8"/>
  <c r="L58" i="8"/>
  <c r="N58" i="8" s="1"/>
  <c r="L59" i="8"/>
  <c r="N59" i="8" s="1"/>
  <c r="L60" i="8"/>
  <c r="N60" i="8" s="1"/>
  <c r="L61" i="8"/>
  <c r="N61" i="8" s="1"/>
  <c r="L62" i="8"/>
  <c r="N62" i="8" s="1"/>
  <c r="L66" i="8"/>
  <c r="L67" i="8"/>
  <c r="L68" i="8"/>
  <c r="L69" i="8"/>
  <c r="N69" i="8" s="1"/>
  <c r="L70" i="8"/>
  <c r="N70" i="8" s="1"/>
  <c r="L71" i="8"/>
  <c r="N71" i="8" s="1"/>
  <c r="L72" i="8"/>
  <c r="N72" i="8" s="1"/>
  <c r="L73" i="8"/>
  <c r="N73" i="8" s="1"/>
  <c r="L77" i="8"/>
  <c r="L78" i="8"/>
  <c r="L79" i="8"/>
  <c r="L80" i="8"/>
  <c r="N80" i="8" s="1"/>
  <c r="L81" i="8"/>
  <c r="N81" i="8" s="1"/>
  <c r="L82" i="8"/>
  <c r="N82" i="8" s="1"/>
  <c r="L83" i="8"/>
  <c r="N83" i="8" s="1"/>
  <c r="L84" i="8"/>
  <c r="N84" i="8" s="1"/>
  <c r="L88" i="8"/>
  <c r="L89" i="8"/>
  <c r="L90" i="8"/>
  <c r="L91" i="8"/>
  <c r="N91" i="8" s="1"/>
  <c r="L92" i="8"/>
  <c r="N92" i="8" s="1"/>
  <c r="L93" i="8"/>
  <c r="N93" i="8" s="1"/>
  <c r="L94" i="8"/>
  <c r="N94" i="8" s="1"/>
  <c r="L95" i="8"/>
  <c r="N95" i="8" s="1"/>
  <c r="L99" i="8"/>
  <c r="L100" i="8"/>
  <c r="L101" i="8"/>
  <c r="L102" i="8"/>
  <c r="N102" i="8" s="1"/>
  <c r="L103" i="8"/>
  <c r="N103" i="8" s="1"/>
  <c r="L104" i="8"/>
  <c r="N104" i="8" s="1"/>
  <c r="L105" i="8"/>
  <c r="N105" i="8" s="1"/>
  <c r="L106" i="8"/>
  <c r="N106" i="8" s="1"/>
  <c r="L110" i="8"/>
  <c r="L111" i="8"/>
  <c r="L112" i="8"/>
  <c r="L113" i="8"/>
  <c r="N113" i="8" s="1"/>
  <c r="L114" i="8"/>
  <c r="N114" i="8" s="1"/>
  <c r="L115" i="8"/>
  <c r="N115" i="8" s="1"/>
  <c r="L116" i="8"/>
  <c r="N116" i="8" s="1"/>
  <c r="L117" i="8"/>
  <c r="N117" i="8" s="1"/>
  <c r="L121" i="8"/>
  <c r="L122" i="8"/>
  <c r="L123" i="8"/>
  <c r="L124" i="8"/>
  <c r="N124" i="8" s="1"/>
  <c r="L125" i="8"/>
  <c r="N125" i="8" s="1"/>
  <c r="L126" i="8"/>
  <c r="N126" i="8" s="1"/>
  <c r="L127" i="8"/>
  <c r="N127" i="8" s="1"/>
  <c r="L128" i="8"/>
  <c r="N128" i="8" s="1"/>
  <c r="L132" i="8"/>
  <c r="L133" i="8"/>
  <c r="L134" i="8"/>
  <c r="L135" i="8"/>
  <c r="N135" i="8" s="1"/>
  <c r="L136" i="8"/>
  <c r="N136" i="8" s="1"/>
  <c r="L137" i="8"/>
  <c r="N137" i="8" s="1"/>
  <c r="L138" i="8"/>
  <c r="N138" i="8" s="1"/>
  <c r="L139" i="8"/>
  <c r="N139" i="8" s="1"/>
  <c r="L143" i="8"/>
  <c r="L144" i="8"/>
  <c r="L145" i="8"/>
  <c r="L146" i="8"/>
  <c r="N146" i="8" s="1"/>
  <c r="L147" i="8"/>
  <c r="N147" i="8" s="1"/>
  <c r="L148" i="8"/>
  <c r="N148" i="8" s="1"/>
  <c r="L149" i="8"/>
  <c r="N149" i="8" s="1"/>
  <c r="L150" i="8"/>
  <c r="N150" i="8" s="1"/>
  <c r="L154" i="8"/>
  <c r="L155" i="8"/>
  <c r="L156" i="8"/>
  <c r="L157" i="8"/>
  <c r="N157" i="8" s="1"/>
  <c r="L158" i="8"/>
  <c r="N158" i="8" s="1"/>
  <c r="L159" i="8"/>
  <c r="N159" i="8" s="1"/>
  <c r="L160" i="8"/>
  <c r="N160" i="8" s="1"/>
  <c r="L161" i="8"/>
  <c r="N161" i="8" s="1"/>
  <c r="N132" i="8" l="1"/>
  <c r="Q132" i="8"/>
  <c r="N90" i="8"/>
  <c r="Q90" i="8"/>
  <c r="N66" i="8"/>
  <c r="Q66" i="8"/>
  <c r="N57" i="8"/>
  <c r="Q57" i="8"/>
  <c r="N156" i="8"/>
  <c r="Q156" i="8"/>
  <c r="N46" i="8"/>
  <c r="Q46" i="8"/>
  <c r="N99" i="8"/>
  <c r="Q99" i="8"/>
  <c r="N145" i="8"/>
  <c r="Q145" i="8"/>
  <c r="N121" i="8"/>
  <c r="Q121" i="8"/>
  <c r="N112" i="8"/>
  <c r="Q112" i="8"/>
  <c r="N79" i="8"/>
  <c r="Q79" i="8"/>
  <c r="N154" i="8"/>
  <c r="Q154" i="8"/>
  <c r="N88" i="8"/>
  <c r="Q88" i="8"/>
  <c r="N55" i="8"/>
  <c r="Q55" i="8"/>
  <c r="N143" i="8"/>
  <c r="Q143" i="8"/>
  <c r="N134" i="8"/>
  <c r="Q134" i="8"/>
  <c r="N110" i="8"/>
  <c r="Q110" i="8"/>
  <c r="N101" i="8"/>
  <c r="Q101" i="8"/>
  <c r="N77" i="8"/>
  <c r="Q77" i="8"/>
  <c r="N68" i="8"/>
  <c r="Q68" i="8"/>
  <c r="N44" i="8"/>
  <c r="Q44" i="8"/>
  <c r="N123" i="8"/>
  <c r="Q123" i="8"/>
  <c r="S137" i="8"/>
  <c r="X137" i="8" s="1"/>
  <c r="N40" i="8"/>
  <c r="N39" i="8"/>
  <c r="N38" i="8"/>
  <c r="N37" i="8"/>
  <c r="N36" i="8"/>
  <c r="N35" i="8"/>
  <c r="N34" i="8"/>
  <c r="N33" i="8"/>
  <c r="G26" i="5"/>
  <c r="H26" i="5"/>
  <c r="I26" i="5"/>
  <c r="J26" i="5"/>
  <c r="K26" i="5"/>
  <c r="L26" i="5"/>
  <c r="M26" i="5"/>
  <c r="N26" i="5"/>
  <c r="O101" i="8" l="1"/>
  <c r="O103" i="8"/>
  <c r="S103" i="8" s="1"/>
  <c r="X103" i="8" s="1"/>
  <c r="O99" i="8"/>
  <c r="O68" i="8"/>
  <c r="O66" i="8"/>
  <c r="O57" i="8"/>
  <c r="O55" i="8"/>
  <c r="O112" i="8"/>
  <c r="O110" i="8"/>
  <c r="O46" i="8"/>
  <c r="O44" i="8"/>
  <c r="O35" i="8"/>
  <c r="O33" i="8"/>
  <c r="O92" i="8"/>
  <c r="S92" i="8" s="1"/>
  <c r="X92" i="8" s="1"/>
  <c r="O90" i="8"/>
  <c r="O88" i="8"/>
  <c r="O79" i="8"/>
  <c r="O77" i="8"/>
  <c r="G24" i="5"/>
  <c r="O38" i="8" s="1"/>
  <c r="S38" i="8" s="1"/>
  <c r="X38" i="8" s="1"/>
  <c r="G23" i="5"/>
  <c r="O39" i="8" s="1"/>
  <c r="S39" i="8" s="1"/>
  <c r="X39" i="8" s="1"/>
  <c r="G22" i="5"/>
  <c r="O37" i="8" s="1"/>
  <c r="S37" i="8" s="1"/>
  <c r="X37" i="8" s="1"/>
  <c r="G21" i="5"/>
  <c r="G20" i="5"/>
  <c r="H24" i="5"/>
  <c r="O49" i="8" s="1"/>
  <c r="S49" i="8" s="1"/>
  <c r="X49" i="8" s="1"/>
  <c r="H23" i="5"/>
  <c r="O50" i="8" s="1"/>
  <c r="S50" i="8" s="1"/>
  <c r="X50" i="8" s="1"/>
  <c r="H22" i="5"/>
  <c r="O48" i="8" s="1"/>
  <c r="S48" i="8" s="1"/>
  <c r="X48" i="8" s="1"/>
  <c r="H21" i="5"/>
  <c r="H20" i="5"/>
  <c r="I24" i="5"/>
  <c r="O60" i="8" s="1"/>
  <c r="S60" i="8" s="1"/>
  <c r="X60" i="8" s="1"/>
  <c r="I23" i="5"/>
  <c r="O61" i="8" s="1"/>
  <c r="S61" i="8" s="1"/>
  <c r="X61" i="8" s="1"/>
  <c r="I22" i="5"/>
  <c r="O59" i="8" s="1"/>
  <c r="S59" i="8" s="1"/>
  <c r="X59" i="8" s="1"/>
  <c r="I21" i="5"/>
  <c r="I20" i="5"/>
  <c r="J24" i="5"/>
  <c r="O71" i="8" s="1"/>
  <c r="S71" i="8" s="1"/>
  <c r="X71" i="8" s="1"/>
  <c r="J23" i="5"/>
  <c r="O72" i="8" s="1"/>
  <c r="S72" i="8" s="1"/>
  <c r="X72" i="8" s="1"/>
  <c r="J22" i="5"/>
  <c r="O70" i="8" s="1"/>
  <c r="S70" i="8" s="1"/>
  <c r="X70" i="8" s="1"/>
  <c r="J21" i="5"/>
  <c r="J20" i="5"/>
  <c r="K24" i="5"/>
  <c r="O82" i="8" s="1"/>
  <c r="S82" i="8" s="1"/>
  <c r="X82" i="8" s="1"/>
  <c r="K23" i="5"/>
  <c r="O83" i="8" s="1"/>
  <c r="S83" i="8" s="1"/>
  <c r="X83" i="8" s="1"/>
  <c r="K22" i="5"/>
  <c r="O81" i="8" s="1"/>
  <c r="S81" i="8" s="1"/>
  <c r="X81" i="8" s="1"/>
  <c r="K21" i="5"/>
  <c r="K20" i="5"/>
  <c r="L24" i="5"/>
  <c r="O93" i="8" s="1"/>
  <c r="S93" i="8" s="1"/>
  <c r="X93" i="8" s="1"/>
  <c r="L23" i="5"/>
  <c r="O94" i="8" s="1"/>
  <c r="S94" i="8" s="1"/>
  <c r="X94" i="8" s="1"/>
  <c r="L22" i="5"/>
  <c r="L21" i="5"/>
  <c r="L20" i="5"/>
  <c r="M24" i="5"/>
  <c r="O104" i="8" s="1"/>
  <c r="S104" i="8" s="1"/>
  <c r="X104" i="8" s="1"/>
  <c r="M23" i="5"/>
  <c r="O105" i="8" s="1"/>
  <c r="S105" i="8" s="1"/>
  <c r="X105" i="8" s="1"/>
  <c r="M22" i="5"/>
  <c r="M21" i="5"/>
  <c r="M20" i="5"/>
  <c r="N24" i="5"/>
  <c r="O115" i="8" s="1"/>
  <c r="S115" i="8" s="1"/>
  <c r="X115" i="8" s="1"/>
  <c r="N23" i="5"/>
  <c r="O116" i="8" s="1"/>
  <c r="S116" i="8" s="1"/>
  <c r="X116" i="8" s="1"/>
  <c r="N22" i="5"/>
  <c r="O114" i="8" s="1"/>
  <c r="S114" i="8" s="1"/>
  <c r="X114" i="8" s="1"/>
  <c r="N21" i="5"/>
  <c r="N20" i="5"/>
  <c r="O24" i="5"/>
  <c r="O126" i="8" s="1"/>
  <c r="S126" i="8" s="1"/>
  <c r="X126" i="8" s="1"/>
  <c r="O23" i="5"/>
  <c r="O127" i="8" s="1"/>
  <c r="S127" i="8" s="1"/>
  <c r="X127" i="8" s="1"/>
  <c r="O22" i="5"/>
  <c r="O125" i="8" s="1"/>
  <c r="S125" i="8" s="1"/>
  <c r="X125" i="8" s="1"/>
  <c r="O21" i="5"/>
  <c r="O20" i="5"/>
  <c r="P23" i="5"/>
  <c r="O138" i="8" s="1"/>
  <c r="S138" i="8" s="1"/>
  <c r="X138" i="8" s="1"/>
  <c r="P22" i="5"/>
  <c r="P21" i="5"/>
  <c r="P20" i="5"/>
  <c r="Q24" i="5"/>
  <c r="O148" i="8" s="1"/>
  <c r="S148" i="8" s="1"/>
  <c r="X148" i="8" s="1"/>
  <c r="Q23" i="5"/>
  <c r="O149" i="8" s="1"/>
  <c r="S149" i="8" s="1"/>
  <c r="X149" i="8" s="1"/>
  <c r="Q22" i="5"/>
  <c r="O147" i="8" s="1"/>
  <c r="S147" i="8" s="1"/>
  <c r="X147" i="8" s="1"/>
  <c r="Q21" i="5"/>
  <c r="Q20" i="5"/>
  <c r="R24" i="5"/>
  <c r="O159" i="8" s="1"/>
  <c r="S159" i="8" s="1"/>
  <c r="X159" i="8" s="1"/>
  <c r="R23" i="5"/>
  <c r="O160" i="8" s="1"/>
  <c r="S160" i="8" s="1"/>
  <c r="X160" i="8" s="1"/>
  <c r="R22" i="5"/>
  <c r="O158" i="8" s="1"/>
  <c r="S158" i="8" s="1"/>
  <c r="X158" i="8" s="1"/>
  <c r="R20" i="5"/>
  <c r="R21" i="5"/>
  <c r="W99" i="8" l="1"/>
  <c r="W88" i="8"/>
  <c r="W44" i="8"/>
  <c r="W66" i="8"/>
  <c r="W110" i="8"/>
  <c r="W77" i="8"/>
  <c r="W55" i="8"/>
  <c r="W33" i="8"/>
  <c r="R134" i="8"/>
  <c r="R132" i="8"/>
  <c r="O91" i="8"/>
  <c r="S91" i="8" s="1"/>
  <c r="AD91" i="8" s="1"/>
  <c r="O89" i="8"/>
  <c r="S89" i="8" s="1"/>
  <c r="AD89" i="8" s="1"/>
  <c r="R156" i="8"/>
  <c r="R154" i="8"/>
  <c r="R143" i="8"/>
  <c r="R145" i="8"/>
  <c r="O102" i="8"/>
  <c r="S102" i="8" s="1"/>
  <c r="AD102" i="8" s="1"/>
  <c r="O100" i="8"/>
  <c r="S100" i="8" s="1"/>
  <c r="AD100" i="8" s="1"/>
  <c r="R90" i="8"/>
  <c r="S90" i="8" s="1"/>
  <c r="AD90" i="8" s="1"/>
  <c r="R88" i="8"/>
  <c r="O36" i="8"/>
  <c r="S36" i="8" s="1"/>
  <c r="AD36" i="8" s="1"/>
  <c r="O34" i="8"/>
  <c r="S34" i="8" s="1"/>
  <c r="AD34" i="8" s="1"/>
  <c r="O146" i="8"/>
  <c r="S146" i="8" s="1"/>
  <c r="AD146" i="8" s="1"/>
  <c r="O144" i="8"/>
  <c r="S144" i="8" s="1"/>
  <c r="AD144" i="8" s="1"/>
  <c r="O157" i="8"/>
  <c r="S157" i="8" s="1"/>
  <c r="AD157" i="8" s="1"/>
  <c r="O155" i="8"/>
  <c r="S155" i="8" s="1"/>
  <c r="AD155" i="8" s="1"/>
  <c r="R79" i="8"/>
  <c r="S79" i="8" s="1"/>
  <c r="AD79" i="8" s="1"/>
  <c r="R77" i="8"/>
  <c r="O47" i="8"/>
  <c r="S47" i="8" s="1"/>
  <c r="AD47" i="8" s="1"/>
  <c r="O45" i="8"/>
  <c r="S45" i="8" s="1"/>
  <c r="AD45" i="8" s="1"/>
  <c r="R110" i="8"/>
  <c r="R112" i="8"/>
  <c r="S112" i="8" s="1"/>
  <c r="AD112" i="8" s="1"/>
  <c r="R44" i="8"/>
  <c r="R46" i="8"/>
  <c r="S46" i="8" s="1"/>
  <c r="AD46" i="8" s="1"/>
  <c r="R123" i="8"/>
  <c r="R121" i="8"/>
  <c r="O69" i="8"/>
  <c r="S69" i="8" s="1"/>
  <c r="AD69" i="8" s="1"/>
  <c r="O67" i="8"/>
  <c r="S67" i="8" s="1"/>
  <c r="AD67" i="8" s="1"/>
  <c r="R57" i="8"/>
  <c r="S57" i="8" s="1"/>
  <c r="AD57" i="8" s="1"/>
  <c r="R55" i="8"/>
  <c r="O113" i="8"/>
  <c r="S113" i="8" s="1"/>
  <c r="AD113" i="8" s="1"/>
  <c r="O111" i="8"/>
  <c r="S111" i="8" s="1"/>
  <c r="AD111" i="8" s="1"/>
  <c r="R101" i="8"/>
  <c r="S101" i="8" s="1"/>
  <c r="AD101" i="8" s="1"/>
  <c r="R99" i="8"/>
  <c r="R35" i="8"/>
  <c r="S35" i="8" s="1"/>
  <c r="AD35" i="8" s="1"/>
  <c r="R33" i="8"/>
  <c r="O124" i="8"/>
  <c r="S124" i="8" s="1"/>
  <c r="AD124" i="8" s="1"/>
  <c r="O122" i="8"/>
  <c r="S122" i="8" s="1"/>
  <c r="AD122" i="8" s="1"/>
  <c r="O58" i="8"/>
  <c r="S58" i="8" s="1"/>
  <c r="AD58" i="8" s="1"/>
  <c r="O56" i="8"/>
  <c r="S56" i="8" s="1"/>
  <c r="AD56" i="8" s="1"/>
  <c r="O135" i="8"/>
  <c r="S135" i="8" s="1"/>
  <c r="AD135" i="8" s="1"/>
  <c r="O133" i="8"/>
  <c r="S133" i="8" s="1"/>
  <c r="AD133" i="8" s="1"/>
  <c r="O78" i="8"/>
  <c r="S78" i="8" s="1"/>
  <c r="AD78" i="8" s="1"/>
  <c r="O80" i="8"/>
  <c r="S80" i="8" s="1"/>
  <c r="AD80" i="8" s="1"/>
  <c r="R68" i="8"/>
  <c r="S68" i="8" s="1"/>
  <c r="AD68" i="8" s="1"/>
  <c r="R66" i="8"/>
  <c r="R26" i="5"/>
  <c r="AE157" i="8" l="1"/>
  <c r="AE155" i="8"/>
  <c r="X154" i="8"/>
  <c r="X129" i="8"/>
  <c r="X118" i="8"/>
  <c r="X121" i="8"/>
  <c r="X52" i="8"/>
  <c r="X151" i="8"/>
  <c r="X107" i="8"/>
  <c r="X96" i="8"/>
  <c r="X85" i="8"/>
  <c r="S77" i="8"/>
  <c r="X77" i="8"/>
  <c r="X132" i="8"/>
  <c r="S44" i="8"/>
  <c r="X44" i="8"/>
  <c r="X143" i="8"/>
  <c r="S55" i="8"/>
  <c r="X55" i="8"/>
  <c r="S66" i="8"/>
  <c r="X66" i="8"/>
  <c r="X63" i="8"/>
  <c r="S99" i="8"/>
  <c r="X99" i="8"/>
  <c r="X74" i="8"/>
  <c r="X162" i="8"/>
  <c r="S88" i="8"/>
  <c r="X88" i="8"/>
  <c r="S110" i="8"/>
  <c r="X110" i="8"/>
  <c r="S33" i="8"/>
  <c r="X33" i="8"/>
  <c r="X41" i="8"/>
  <c r="O156" i="8"/>
  <c r="S156" i="8" s="1"/>
  <c r="AD156" i="8" s="1"/>
  <c r="O154" i="8"/>
  <c r="Q26" i="5"/>
  <c r="S118" i="8" l="1"/>
  <c r="AD110" i="8"/>
  <c r="S63" i="8"/>
  <c r="AD55" i="8"/>
  <c r="S85" i="8"/>
  <c r="AD77" i="8"/>
  <c r="S107" i="8"/>
  <c r="AD99" i="8"/>
  <c r="S96" i="8"/>
  <c r="AD88" i="8"/>
  <c r="S52" i="8"/>
  <c r="AD44" i="8"/>
  <c r="S74" i="8"/>
  <c r="AD66" i="8"/>
  <c r="S41" i="8"/>
  <c r="AD33" i="8"/>
  <c r="S154" i="8"/>
  <c r="W154" i="8"/>
  <c r="O145" i="8"/>
  <c r="S145" i="8" s="1"/>
  <c r="AD145" i="8" s="1"/>
  <c r="O143" i="8"/>
  <c r="P26" i="5"/>
  <c r="S162" i="8" l="1"/>
  <c r="AD154" i="8"/>
  <c r="S143" i="8"/>
  <c r="W143" i="8"/>
  <c r="O136" i="8"/>
  <c r="S136" i="8" s="1"/>
  <c r="O134" i="8"/>
  <c r="S134" i="8" s="1"/>
  <c r="AD134" i="8" s="1"/>
  <c r="O132" i="8"/>
  <c r="O26" i="5"/>
  <c r="S151" i="8" l="1"/>
  <c r="AD143" i="8"/>
  <c r="S132" i="8"/>
  <c r="W132" i="8"/>
  <c r="X136" i="8"/>
  <c r="X140" i="8"/>
  <c r="O123" i="8"/>
  <c r="S123" i="8" s="1"/>
  <c r="AD123" i="8" s="1"/>
  <c r="AE156" i="8" s="1"/>
  <c r="O121" i="8"/>
  <c r="AA34" i="8"/>
  <c r="AA35" i="8"/>
  <c r="AA36" i="8"/>
  <c r="AA37" i="8"/>
  <c r="AA38" i="8"/>
  <c r="AA39" i="8"/>
  <c r="AA40" i="8"/>
  <c r="AA42" i="8"/>
  <c r="AA43" i="8"/>
  <c r="AA44" i="8"/>
  <c r="AA45" i="8"/>
  <c r="AA46" i="8"/>
  <c r="AA47" i="8"/>
  <c r="AA48" i="8"/>
  <c r="AA49" i="8"/>
  <c r="AA50" i="8"/>
  <c r="AA51" i="8"/>
  <c r="AA53" i="8"/>
  <c r="AA54" i="8"/>
  <c r="AA55" i="8"/>
  <c r="AA56" i="8"/>
  <c r="AA57" i="8"/>
  <c r="AA58" i="8"/>
  <c r="AA59" i="8"/>
  <c r="AA60" i="8"/>
  <c r="AA61" i="8"/>
  <c r="AA62" i="8"/>
  <c r="AA64" i="8"/>
  <c r="AA65" i="8"/>
  <c r="AA66" i="8"/>
  <c r="AA67" i="8"/>
  <c r="AA68" i="8"/>
  <c r="AA69" i="8"/>
  <c r="AA70" i="8"/>
  <c r="AA71" i="8"/>
  <c r="AA72" i="8"/>
  <c r="AA73" i="8"/>
  <c r="AA75" i="8"/>
  <c r="AA76" i="8"/>
  <c r="AA77" i="8"/>
  <c r="AA78" i="8"/>
  <c r="AA79" i="8"/>
  <c r="AA80" i="8"/>
  <c r="AA81" i="8"/>
  <c r="AA82" i="8"/>
  <c r="AA83" i="8"/>
  <c r="AA84" i="8"/>
  <c r="AA86" i="8"/>
  <c r="AA87" i="8"/>
  <c r="AA88" i="8"/>
  <c r="AA89" i="8"/>
  <c r="AA90" i="8"/>
  <c r="AA91" i="8"/>
  <c r="AA92" i="8"/>
  <c r="AA93" i="8"/>
  <c r="AA94" i="8"/>
  <c r="AA95" i="8"/>
  <c r="AA97" i="8"/>
  <c r="AA98" i="8"/>
  <c r="AA99" i="8"/>
  <c r="AA100" i="8"/>
  <c r="AA101" i="8"/>
  <c r="AA102" i="8"/>
  <c r="AA103" i="8"/>
  <c r="AA104" i="8"/>
  <c r="AA105" i="8"/>
  <c r="AA106" i="8"/>
  <c r="AA108" i="8"/>
  <c r="AA109" i="8"/>
  <c r="AA110" i="8"/>
  <c r="AA111" i="8"/>
  <c r="AA112" i="8"/>
  <c r="AA113" i="8"/>
  <c r="AA114" i="8"/>
  <c r="AA115" i="8"/>
  <c r="AA116" i="8"/>
  <c r="AA117" i="8"/>
  <c r="AA119" i="8"/>
  <c r="AA120" i="8"/>
  <c r="AA121" i="8"/>
  <c r="AA122" i="8"/>
  <c r="AA123" i="8"/>
  <c r="AA124" i="8"/>
  <c r="AA125" i="8"/>
  <c r="AA126" i="8"/>
  <c r="AA127" i="8"/>
  <c r="AA128" i="8"/>
  <c r="AA130" i="8"/>
  <c r="AA131" i="8"/>
  <c r="AA132" i="8"/>
  <c r="AA133" i="8"/>
  <c r="AA134" i="8"/>
  <c r="AA135" i="8"/>
  <c r="AA136" i="8"/>
  <c r="AA137" i="8"/>
  <c r="AA138" i="8"/>
  <c r="AA139" i="8"/>
  <c r="AA141" i="8"/>
  <c r="AA142" i="8"/>
  <c r="AA143" i="8"/>
  <c r="AA144" i="8"/>
  <c r="AA145" i="8"/>
  <c r="AA146" i="8"/>
  <c r="AA147" i="8"/>
  <c r="AA148" i="8"/>
  <c r="AA149" i="8"/>
  <c r="AA150" i="8"/>
  <c r="AA152" i="8"/>
  <c r="AA153" i="8"/>
  <c r="AA154" i="8"/>
  <c r="AA155" i="8"/>
  <c r="AA156" i="8"/>
  <c r="AA157" i="8"/>
  <c r="AA158" i="8"/>
  <c r="AA159" i="8"/>
  <c r="AA160" i="8"/>
  <c r="AA161" i="8"/>
  <c r="AA33" i="8"/>
  <c r="H162" i="8"/>
  <c r="G162" i="8"/>
  <c r="F162" i="8"/>
  <c r="E162" i="8"/>
  <c r="D162" i="8"/>
  <c r="C162" i="8"/>
  <c r="AC161" i="8"/>
  <c r="AB161" i="8"/>
  <c r="AC160" i="8"/>
  <c r="AB160" i="8"/>
  <c r="AC159" i="8"/>
  <c r="AB159" i="8"/>
  <c r="AC158" i="8"/>
  <c r="AB158" i="8"/>
  <c r="AC157" i="8"/>
  <c r="AB157" i="8"/>
  <c r="AC156" i="8"/>
  <c r="AB156" i="8"/>
  <c r="AC155" i="8"/>
  <c r="AB155" i="8"/>
  <c r="AC154" i="8"/>
  <c r="AB154" i="8"/>
  <c r="AC152" i="8"/>
  <c r="AB152" i="8"/>
  <c r="H151" i="8"/>
  <c r="G151" i="8"/>
  <c r="F151" i="8"/>
  <c r="E151" i="8"/>
  <c r="D151" i="8"/>
  <c r="C151" i="8"/>
  <c r="AC150" i="8"/>
  <c r="AB150" i="8"/>
  <c r="AC149" i="8"/>
  <c r="AB149" i="8"/>
  <c r="AC148" i="8"/>
  <c r="AB148" i="8"/>
  <c r="AC147" i="8"/>
  <c r="AB147" i="8"/>
  <c r="AC146" i="8"/>
  <c r="AB146" i="8"/>
  <c r="AC145" i="8"/>
  <c r="AB145" i="8"/>
  <c r="AC144" i="8"/>
  <c r="AB144" i="8"/>
  <c r="AC143" i="8"/>
  <c r="AB143" i="8"/>
  <c r="AC141" i="8"/>
  <c r="AB141" i="8"/>
  <c r="H140" i="8"/>
  <c r="G140" i="8"/>
  <c r="F140" i="8"/>
  <c r="E140" i="8"/>
  <c r="D140" i="8"/>
  <c r="C140" i="8"/>
  <c r="AC139" i="8"/>
  <c r="AB139" i="8"/>
  <c r="AC138" i="8"/>
  <c r="AB138" i="8"/>
  <c r="AC137" i="8"/>
  <c r="AB137" i="8"/>
  <c r="AC136" i="8"/>
  <c r="AB136" i="8"/>
  <c r="AC135" i="8"/>
  <c r="AB135" i="8"/>
  <c r="AC134" i="8"/>
  <c r="AB134" i="8"/>
  <c r="AC133" i="8"/>
  <c r="AB133" i="8"/>
  <c r="AC132" i="8"/>
  <c r="AB132" i="8"/>
  <c r="AC130" i="8"/>
  <c r="AB130" i="8"/>
  <c r="H129" i="8"/>
  <c r="G129" i="8"/>
  <c r="F129" i="8"/>
  <c r="E129" i="8"/>
  <c r="D129" i="8"/>
  <c r="C129" i="8"/>
  <c r="AC128" i="8"/>
  <c r="AB128" i="8"/>
  <c r="AC127" i="8"/>
  <c r="AB127" i="8"/>
  <c r="AC126" i="8"/>
  <c r="AB126" i="8"/>
  <c r="AC125" i="8"/>
  <c r="AB125" i="8"/>
  <c r="AC124" i="8"/>
  <c r="AB124" i="8"/>
  <c r="AC123" i="8"/>
  <c r="AB123" i="8"/>
  <c r="AC122" i="8"/>
  <c r="AB122" i="8"/>
  <c r="AC121" i="8"/>
  <c r="AB121" i="8"/>
  <c r="AC119" i="8"/>
  <c r="AB119" i="8"/>
  <c r="H118" i="8"/>
  <c r="G118" i="8"/>
  <c r="F118" i="8"/>
  <c r="E118" i="8"/>
  <c r="D118" i="8"/>
  <c r="C118" i="8"/>
  <c r="AC117" i="8"/>
  <c r="AB117" i="8"/>
  <c r="AC116" i="8"/>
  <c r="AB116" i="8"/>
  <c r="AC115" i="8"/>
  <c r="AB115" i="8"/>
  <c r="AC114" i="8"/>
  <c r="AB114" i="8"/>
  <c r="AC113" i="8"/>
  <c r="AB113" i="8"/>
  <c r="AC112" i="8"/>
  <c r="AB112" i="8"/>
  <c r="AC111" i="8"/>
  <c r="AB111" i="8"/>
  <c r="AC110" i="8"/>
  <c r="AB110" i="8"/>
  <c r="AC108" i="8"/>
  <c r="AB108" i="8"/>
  <c r="H107" i="8"/>
  <c r="G107" i="8"/>
  <c r="F107" i="8"/>
  <c r="E107" i="8"/>
  <c r="D107" i="8"/>
  <c r="C107" i="8"/>
  <c r="AC106" i="8"/>
  <c r="AB106" i="8"/>
  <c r="AC105" i="8"/>
  <c r="AB105" i="8"/>
  <c r="AC104" i="8"/>
  <c r="AB104" i="8"/>
  <c r="AC103" i="8"/>
  <c r="AB103" i="8"/>
  <c r="AC102" i="8"/>
  <c r="AB102" i="8"/>
  <c r="AC101" i="8"/>
  <c r="AB101" i="8"/>
  <c r="AC100" i="8"/>
  <c r="AB100" i="8"/>
  <c r="AC99" i="8"/>
  <c r="AB99" i="8"/>
  <c r="AC97" i="8"/>
  <c r="AB97" i="8"/>
  <c r="H96" i="8"/>
  <c r="G96" i="8"/>
  <c r="F96" i="8"/>
  <c r="E96" i="8"/>
  <c r="D96" i="8"/>
  <c r="C96" i="8"/>
  <c r="AC95" i="8"/>
  <c r="AB95" i="8"/>
  <c r="AC94" i="8"/>
  <c r="AB94" i="8"/>
  <c r="AC93" i="8"/>
  <c r="AB93" i="8"/>
  <c r="AC92" i="8"/>
  <c r="AB92" i="8"/>
  <c r="AC91" i="8"/>
  <c r="AB91" i="8"/>
  <c r="AC90" i="8"/>
  <c r="AB90" i="8"/>
  <c r="AC89" i="8"/>
  <c r="AB89" i="8"/>
  <c r="AC88" i="8"/>
  <c r="AB88" i="8"/>
  <c r="AC86" i="8"/>
  <c r="AB86" i="8"/>
  <c r="H85" i="8"/>
  <c r="G85" i="8"/>
  <c r="F85" i="8"/>
  <c r="E85" i="8"/>
  <c r="D85" i="8"/>
  <c r="C85" i="8"/>
  <c r="AC84" i="8"/>
  <c r="AB84" i="8"/>
  <c r="AC83" i="8"/>
  <c r="AB83" i="8"/>
  <c r="AC82" i="8"/>
  <c r="AB82" i="8"/>
  <c r="AC81" i="8"/>
  <c r="AB81" i="8"/>
  <c r="AC80" i="8"/>
  <c r="AB80" i="8"/>
  <c r="AC79" i="8"/>
  <c r="AB79" i="8"/>
  <c r="AC78" i="8"/>
  <c r="AB78" i="8"/>
  <c r="AC77" i="8"/>
  <c r="AB77" i="8"/>
  <c r="AC75" i="8"/>
  <c r="AB75" i="8"/>
  <c r="H74" i="8"/>
  <c r="G74" i="8"/>
  <c r="F74" i="8"/>
  <c r="E74" i="8"/>
  <c r="D74" i="8"/>
  <c r="C74" i="8"/>
  <c r="AC73" i="8"/>
  <c r="AB73" i="8"/>
  <c r="AC72" i="8"/>
  <c r="AB72" i="8"/>
  <c r="AC71" i="8"/>
  <c r="AB71" i="8"/>
  <c r="AC70" i="8"/>
  <c r="AB70" i="8"/>
  <c r="AC69" i="8"/>
  <c r="AB69" i="8"/>
  <c r="AC68" i="8"/>
  <c r="AB68" i="8"/>
  <c r="AC67" i="8"/>
  <c r="AB67" i="8"/>
  <c r="AC66" i="8"/>
  <c r="AB66" i="8"/>
  <c r="AC64" i="8"/>
  <c r="AB64" i="8"/>
  <c r="H63" i="8"/>
  <c r="G63" i="8"/>
  <c r="F63" i="8"/>
  <c r="E63" i="8"/>
  <c r="D63" i="8"/>
  <c r="C63" i="8"/>
  <c r="AC62" i="8"/>
  <c r="AB62" i="8"/>
  <c r="AC61" i="8"/>
  <c r="AB61" i="8"/>
  <c r="AC60" i="8"/>
  <c r="AB60" i="8"/>
  <c r="AC59" i="8"/>
  <c r="AB59" i="8"/>
  <c r="AC58" i="8"/>
  <c r="AB58" i="8"/>
  <c r="AC57" i="8"/>
  <c r="AB57" i="8"/>
  <c r="AC56" i="8"/>
  <c r="AB56" i="8"/>
  <c r="AC55" i="8"/>
  <c r="AB55" i="8"/>
  <c r="AC53" i="8"/>
  <c r="AB53" i="8"/>
  <c r="H52" i="8"/>
  <c r="G52" i="8"/>
  <c r="F52" i="8"/>
  <c r="E52" i="8"/>
  <c r="D52" i="8"/>
  <c r="C52" i="8"/>
  <c r="AC51" i="8"/>
  <c r="AB51" i="8"/>
  <c r="AC50" i="8"/>
  <c r="AB50" i="8"/>
  <c r="AC49" i="8"/>
  <c r="AB49" i="8"/>
  <c r="AC48" i="8"/>
  <c r="AB48" i="8"/>
  <c r="AC47" i="8"/>
  <c r="AB47" i="8"/>
  <c r="AC46" i="8"/>
  <c r="AB46" i="8"/>
  <c r="AC45" i="8"/>
  <c r="AB45" i="8"/>
  <c r="AC44" i="8"/>
  <c r="AB44" i="8"/>
  <c r="AC42" i="8"/>
  <c r="AB42" i="8"/>
  <c r="H41" i="8"/>
  <c r="G41" i="8"/>
  <c r="F41" i="8"/>
  <c r="G30" i="5" s="1"/>
  <c r="E41" i="8"/>
  <c r="D41" i="8"/>
  <c r="C41" i="8"/>
  <c r="AC40" i="8"/>
  <c r="AB40" i="8"/>
  <c r="J40" i="8"/>
  <c r="AC39" i="8"/>
  <c r="AB39" i="8"/>
  <c r="J39" i="8"/>
  <c r="I39" i="8"/>
  <c r="AC38" i="8"/>
  <c r="AB38" i="8"/>
  <c r="J38" i="8"/>
  <c r="I38" i="8"/>
  <c r="AC37" i="8"/>
  <c r="AB37" i="8"/>
  <c r="J37" i="8"/>
  <c r="I37" i="8"/>
  <c r="AC36" i="8"/>
  <c r="AB36" i="8"/>
  <c r="J36" i="8"/>
  <c r="I36" i="8"/>
  <c r="AC35" i="8"/>
  <c r="AB35" i="8"/>
  <c r="AC34" i="8"/>
  <c r="AB34" i="8"/>
  <c r="AC33" i="8"/>
  <c r="AB33" i="8"/>
  <c r="I41" i="8" l="1"/>
  <c r="J41" i="8"/>
  <c r="G7" i="5"/>
  <c r="G73" i="1"/>
  <c r="G69" i="1"/>
  <c r="G5" i="5"/>
  <c r="T5" i="5" s="1"/>
  <c r="S140" i="8"/>
  <c r="AD132" i="8"/>
  <c r="AA162" i="8"/>
  <c r="AB140" i="8"/>
  <c r="S121" i="8"/>
  <c r="W121" i="8"/>
  <c r="AA96" i="8"/>
  <c r="AB41" i="8"/>
  <c r="AB74" i="8"/>
  <c r="AB151" i="8"/>
  <c r="AB162" i="8"/>
  <c r="AA107" i="8"/>
  <c r="AA129" i="8"/>
  <c r="AC162" i="8"/>
  <c r="AA74" i="8"/>
  <c r="AB107" i="8"/>
  <c r="AA41" i="8"/>
  <c r="AB96" i="8"/>
  <c r="AC107" i="8"/>
  <c r="AA140" i="8"/>
  <c r="AB118" i="8"/>
  <c r="AA52" i="8"/>
  <c r="AA151" i="8"/>
  <c r="AC63" i="8"/>
  <c r="AC74" i="8"/>
  <c r="AC85" i="8"/>
  <c r="AA118" i="8"/>
  <c r="AB52" i="8"/>
  <c r="AC129" i="8"/>
  <c r="AC140" i="8"/>
  <c r="AA85" i="8"/>
  <c r="AB63" i="8"/>
  <c r="AC96" i="8"/>
  <c r="AC151" i="8"/>
  <c r="AB85" i="8"/>
  <c r="AB129" i="8"/>
  <c r="AC52" i="8"/>
  <c r="AA63" i="8"/>
  <c r="AC41" i="8"/>
  <c r="AC118" i="8"/>
  <c r="R14" i="7"/>
  <c r="Q14" i="7"/>
  <c r="P14" i="7"/>
  <c r="O14" i="7"/>
  <c r="N14" i="7"/>
  <c r="M14" i="7"/>
  <c r="L14" i="7"/>
  <c r="K14" i="7"/>
  <c r="J14" i="7"/>
  <c r="I14" i="7"/>
  <c r="H14" i="7"/>
  <c r="G14" i="7"/>
  <c r="R10" i="7"/>
  <c r="Q10" i="7"/>
  <c r="P10" i="7"/>
  <c r="O10" i="7"/>
  <c r="N10" i="7"/>
  <c r="M10" i="7"/>
  <c r="L10" i="7"/>
  <c r="K10" i="7"/>
  <c r="J10" i="7"/>
  <c r="I10" i="7"/>
  <c r="H10" i="7"/>
  <c r="G10" i="7"/>
  <c r="N9" i="7"/>
  <c r="M9" i="7"/>
  <c r="L9" i="7"/>
  <c r="K9" i="7"/>
  <c r="J9" i="7"/>
  <c r="I9" i="7"/>
  <c r="H9" i="7"/>
  <c r="G9" i="7"/>
  <c r="M12" i="7" l="1"/>
  <c r="S129" i="8"/>
  <c r="AD121" i="8"/>
  <c r="AE154" i="8" s="1"/>
  <c r="L16" i="7"/>
  <c r="H16" i="7"/>
  <c r="N16" i="7"/>
  <c r="G12" i="7"/>
  <c r="K16" i="7"/>
  <c r="I16" i="7"/>
  <c r="J16" i="7"/>
  <c r="L11" i="7"/>
  <c r="L12" i="7"/>
  <c r="L15" i="7"/>
  <c r="G11" i="7"/>
  <c r="G15" i="7"/>
  <c r="M15" i="7"/>
  <c r="G16" i="7"/>
  <c r="M16" i="7"/>
  <c r="H11" i="7"/>
  <c r="N11" i="7"/>
  <c r="H12" i="7"/>
  <c r="N12" i="7"/>
  <c r="H15" i="7"/>
  <c r="N15" i="7"/>
  <c r="I11" i="7"/>
  <c r="I12" i="7"/>
  <c r="I15" i="7"/>
  <c r="J11" i="7"/>
  <c r="J12" i="7"/>
  <c r="J15" i="7"/>
  <c r="M11" i="7"/>
  <c r="K11" i="7"/>
  <c r="K12" i="7"/>
  <c r="K15" i="7"/>
  <c r="R27" i="4" l="1"/>
  <c r="Q27" i="4"/>
  <c r="P27" i="4"/>
  <c r="O27" i="4"/>
  <c r="N27" i="4"/>
  <c r="M27" i="4"/>
  <c r="L27" i="4"/>
  <c r="K27" i="4"/>
  <c r="J27" i="4"/>
  <c r="G27" i="4"/>
  <c r="R23" i="4"/>
  <c r="Q23" i="4"/>
  <c r="P23" i="4"/>
  <c r="O23" i="4"/>
  <c r="N23" i="4"/>
  <c r="M23" i="4"/>
  <c r="L23" i="4"/>
  <c r="K23" i="4"/>
  <c r="J23" i="4"/>
  <c r="G23" i="4"/>
  <c r="R18" i="4"/>
  <c r="Q18" i="4"/>
  <c r="P18" i="4"/>
  <c r="O18" i="4"/>
  <c r="N18" i="4"/>
  <c r="M18" i="4"/>
  <c r="L18" i="4"/>
  <c r="K18" i="4"/>
  <c r="J18" i="4"/>
  <c r="G18" i="4"/>
  <c r="R14" i="4"/>
  <c r="Q14" i="4"/>
  <c r="P14" i="4"/>
  <c r="O14" i="4"/>
  <c r="N14" i="4"/>
  <c r="M14" i="4"/>
  <c r="L14" i="4"/>
  <c r="K14" i="4"/>
  <c r="J14" i="4"/>
  <c r="G14" i="4"/>
  <c r="R13" i="4"/>
  <c r="Q13" i="4"/>
  <c r="P13" i="4"/>
  <c r="O13" i="4"/>
  <c r="N13" i="4"/>
  <c r="M13" i="4"/>
  <c r="L13" i="4"/>
  <c r="K13" i="4"/>
  <c r="J13" i="4"/>
  <c r="I13" i="4"/>
  <c r="H13" i="4"/>
  <c r="G13" i="4"/>
  <c r="L115" i="3"/>
  <c r="M108" i="3"/>
  <c r="N108" i="3" s="1"/>
  <c r="L108" i="3"/>
  <c r="M100" i="3"/>
  <c r="N100" i="3" s="1"/>
  <c r="L100" i="3"/>
  <c r="M92" i="3"/>
  <c r="L92" i="3"/>
  <c r="M84" i="3"/>
  <c r="L84" i="3"/>
  <c r="W76" i="3"/>
  <c r="Q76" i="3" s="1"/>
  <c r="U76" i="3"/>
  <c r="M76" i="3"/>
  <c r="N76" i="3" s="1"/>
  <c r="L76" i="3"/>
  <c r="W68" i="3"/>
  <c r="Q68" i="3" s="1"/>
  <c r="U68" i="3"/>
  <c r="M68" i="3"/>
  <c r="L68" i="3"/>
  <c r="W60" i="3"/>
  <c r="Q60" i="3" s="1"/>
  <c r="U60" i="3"/>
  <c r="M60" i="3"/>
  <c r="L60" i="3"/>
  <c r="W52" i="3"/>
  <c r="Q52" i="3" s="1"/>
  <c r="U52" i="3"/>
  <c r="M52" i="3"/>
  <c r="N52" i="3" s="1"/>
  <c r="L52" i="3"/>
  <c r="W44" i="3"/>
  <c r="Q44" i="3" s="1"/>
  <c r="U44" i="3"/>
  <c r="M44" i="3"/>
  <c r="L44" i="3"/>
  <c r="W36" i="3"/>
  <c r="Q36" i="3" s="1"/>
  <c r="U36" i="3"/>
  <c r="M36" i="3"/>
  <c r="L36" i="3"/>
  <c r="W28" i="3"/>
  <c r="Q28" i="3" s="1"/>
  <c r="U28" i="3"/>
  <c r="M28" i="3"/>
  <c r="N28" i="3" s="1"/>
  <c r="L28" i="3"/>
  <c r="W20" i="3"/>
  <c r="Q20" i="3" s="1"/>
  <c r="U20" i="3"/>
  <c r="M20" i="3"/>
  <c r="L20" i="3"/>
  <c r="W12" i="3"/>
  <c r="Q12" i="3" s="1"/>
  <c r="U12" i="3"/>
  <c r="M12" i="3"/>
  <c r="L12" i="3"/>
  <c r="L28" i="4" l="1"/>
  <c r="G28" i="4"/>
  <c r="P108" i="3"/>
  <c r="S75" i="3"/>
  <c r="T75" i="3" s="1"/>
  <c r="V75" i="3" s="1"/>
  <c r="P76" i="3"/>
  <c r="S76" i="3" s="1"/>
  <c r="P52" i="3"/>
  <c r="S52" i="3" s="1"/>
  <c r="S51" i="3"/>
  <c r="T51" i="3" s="1"/>
  <c r="V51" i="3" s="1"/>
  <c r="P100" i="3"/>
  <c r="S27" i="3"/>
  <c r="T27" i="3" s="1"/>
  <c r="V27" i="3" s="1"/>
  <c r="P28" i="3"/>
  <c r="S28" i="3" s="1"/>
  <c r="O12" i="3"/>
  <c r="N12" i="3"/>
  <c r="O36" i="3"/>
  <c r="N36" i="3"/>
  <c r="O92" i="3"/>
  <c r="N92" i="3"/>
  <c r="O84" i="3"/>
  <c r="N84" i="3"/>
  <c r="O60" i="3"/>
  <c r="N60" i="3"/>
  <c r="O44" i="3"/>
  <c r="N44" i="3"/>
  <c r="O68" i="3"/>
  <c r="N68" i="3"/>
  <c r="O20" i="3"/>
  <c r="N20" i="3"/>
  <c r="M28" i="4"/>
  <c r="K28" i="4"/>
  <c r="Q16" i="4"/>
  <c r="R20" i="4"/>
  <c r="J29" i="4"/>
  <c r="P29" i="4"/>
  <c r="K29" i="4"/>
  <c r="Q29" i="4"/>
  <c r="J28" i="4"/>
  <c r="P28" i="4"/>
  <c r="L29" i="4"/>
  <c r="R29" i="4"/>
  <c r="O29" i="4"/>
  <c r="N28" i="4"/>
  <c r="O28" i="4"/>
  <c r="G29" i="4"/>
  <c r="M29" i="4"/>
  <c r="N29" i="4"/>
  <c r="K15" i="4"/>
  <c r="Q19" i="4"/>
  <c r="Q20" i="4"/>
  <c r="Q24" i="4"/>
  <c r="Q25" i="4"/>
  <c r="L15" i="4"/>
  <c r="R15" i="4"/>
  <c r="L16" i="4"/>
  <c r="R16" i="4"/>
  <c r="R24" i="4"/>
  <c r="L25" i="4"/>
  <c r="R25" i="4"/>
  <c r="G15" i="4"/>
  <c r="M15" i="4"/>
  <c r="G16" i="4"/>
  <c r="M16" i="4"/>
  <c r="G19" i="4"/>
  <c r="M19" i="4"/>
  <c r="G20" i="4"/>
  <c r="M20" i="4"/>
  <c r="G24" i="4"/>
  <c r="M24" i="4"/>
  <c r="G25" i="4"/>
  <c r="M25" i="4"/>
  <c r="K16" i="4"/>
  <c r="K20" i="4"/>
  <c r="K24" i="4"/>
  <c r="Q28" i="4"/>
  <c r="R28" i="4"/>
  <c r="N15" i="4"/>
  <c r="N16" i="4"/>
  <c r="N19" i="4"/>
  <c r="N20" i="4"/>
  <c r="N24" i="4"/>
  <c r="N25" i="4"/>
  <c r="Q15" i="4"/>
  <c r="K19" i="4"/>
  <c r="K25" i="4"/>
  <c r="L19" i="4"/>
  <c r="R19" i="4"/>
  <c r="L20" i="4"/>
  <c r="L24" i="4"/>
  <c r="O15" i="4"/>
  <c r="O16" i="4"/>
  <c r="O19" i="4"/>
  <c r="O20" i="4"/>
  <c r="O24" i="4"/>
  <c r="O25" i="4"/>
  <c r="J15" i="4"/>
  <c r="P15" i="4"/>
  <c r="J16" i="4"/>
  <c r="P16" i="4"/>
  <c r="J19" i="4"/>
  <c r="P19" i="4"/>
  <c r="J20" i="4"/>
  <c r="P20" i="4"/>
  <c r="J24" i="4"/>
  <c r="P24" i="4"/>
  <c r="J25" i="4"/>
  <c r="P25" i="4"/>
  <c r="O28" i="3"/>
  <c r="O52" i="3"/>
  <c r="O76" i="3"/>
  <c r="O100" i="3"/>
  <c r="M115" i="3"/>
  <c r="O115" i="3" s="1"/>
  <c r="O108" i="3"/>
  <c r="T28" i="3" l="1"/>
  <c r="V28" i="3" s="1"/>
  <c r="V29" i="3" s="1"/>
  <c r="P20" i="3"/>
  <c r="S20" i="3" s="1"/>
  <c r="S19" i="3"/>
  <c r="T19" i="3" s="1"/>
  <c r="V19" i="3" s="1"/>
  <c r="S59" i="3"/>
  <c r="T59" i="3" s="1"/>
  <c r="V59" i="3" s="1"/>
  <c r="P60" i="3"/>
  <c r="S60" i="3" s="1"/>
  <c r="T60" i="3" s="1"/>
  <c r="V60" i="3" s="1"/>
  <c r="P84" i="3"/>
  <c r="P36" i="3"/>
  <c r="S36" i="3" s="1"/>
  <c r="T36" i="3" s="1"/>
  <c r="V36" i="3" s="1"/>
  <c r="S35" i="3"/>
  <c r="T35" i="3" s="1"/>
  <c r="V35" i="3" s="1"/>
  <c r="S67" i="3"/>
  <c r="T67" i="3" s="1"/>
  <c r="V67" i="3" s="1"/>
  <c r="P68" i="3"/>
  <c r="S68" i="3" s="1"/>
  <c r="T68" i="3" s="1"/>
  <c r="S11" i="3"/>
  <c r="T11" i="3" s="1"/>
  <c r="V11" i="3" s="1"/>
  <c r="P12" i="3"/>
  <c r="S12" i="3" s="1"/>
  <c r="T12" i="3" s="1"/>
  <c r="T76" i="3"/>
  <c r="T77" i="3" s="1"/>
  <c r="T52" i="3"/>
  <c r="V52" i="3" s="1"/>
  <c r="V53" i="3" s="1"/>
  <c r="S43" i="3"/>
  <c r="T43" i="3" s="1"/>
  <c r="V43" i="3" s="1"/>
  <c r="P44" i="3"/>
  <c r="S44" i="3" s="1"/>
  <c r="T44" i="3" s="1"/>
  <c r="V44" i="3" s="1"/>
  <c r="P92" i="3"/>
  <c r="T20" i="3"/>
  <c r="V20" i="3" s="1"/>
  <c r="V76" i="3" l="1"/>
  <c r="V77" i="3" s="1"/>
  <c r="V45" i="3"/>
  <c r="V61" i="3"/>
  <c r="T29" i="3"/>
  <c r="V21" i="3"/>
  <c r="V37" i="3"/>
  <c r="T61" i="3"/>
  <c r="T53" i="3"/>
  <c r="T37" i="3"/>
  <c r="V12" i="3"/>
  <c r="V13" i="3" s="1"/>
  <c r="T13" i="3"/>
  <c r="V68" i="3"/>
  <c r="V69" i="3" s="1"/>
  <c r="T69" i="3"/>
  <c r="T45" i="3"/>
  <c r="T21" i="3"/>
  <c r="J113" i="3"/>
  <c r="H113" i="3"/>
  <c r="G113" i="3"/>
  <c r="F113" i="3"/>
  <c r="E113" i="3"/>
  <c r="I113" i="3" s="1"/>
  <c r="D113" i="3"/>
  <c r="C113" i="3"/>
  <c r="J111" i="3"/>
  <c r="I111" i="3"/>
  <c r="J108" i="3"/>
  <c r="I108" i="3"/>
  <c r="H105" i="3"/>
  <c r="G105" i="3"/>
  <c r="F105" i="3"/>
  <c r="E105" i="3"/>
  <c r="D105" i="3"/>
  <c r="C105" i="3"/>
  <c r="J103" i="3"/>
  <c r="I103" i="3"/>
  <c r="J100" i="3"/>
  <c r="I100" i="3"/>
  <c r="H97" i="3"/>
  <c r="G97" i="3"/>
  <c r="F97" i="3"/>
  <c r="E97" i="3"/>
  <c r="D97" i="3"/>
  <c r="C97" i="3"/>
  <c r="J95" i="3"/>
  <c r="I95" i="3"/>
  <c r="J92" i="3"/>
  <c r="I92" i="3"/>
  <c r="H89" i="3"/>
  <c r="G89" i="3"/>
  <c r="F89" i="3"/>
  <c r="E89" i="3"/>
  <c r="D89" i="3"/>
  <c r="C89" i="3"/>
  <c r="J87" i="3"/>
  <c r="I87" i="3"/>
  <c r="J84" i="3"/>
  <c r="I84" i="3"/>
  <c r="H81" i="3"/>
  <c r="G81" i="3"/>
  <c r="F81" i="3"/>
  <c r="E81" i="3"/>
  <c r="D81" i="3"/>
  <c r="C81" i="3"/>
  <c r="J79" i="3"/>
  <c r="I79" i="3"/>
  <c r="J76" i="3"/>
  <c r="I76" i="3"/>
  <c r="H73" i="3"/>
  <c r="G73" i="3"/>
  <c r="F73" i="3"/>
  <c r="E73" i="3"/>
  <c r="D73" i="3"/>
  <c r="C73" i="3"/>
  <c r="J71" i="3"/>
  <c r="I71" i="3"/>
  <c r="J68" i="3"/>
  <c r="I68" i="3"/>
  <c r="H65" i="3"/>
  <c r="J65" i="3" s="1"/>
  <c r="G65" i="3"/>
  <c r="F65" i="3"/>
  <c r="E65" i="3"/>
  <c r="I65" i="3" s="1"/>
  <c r="D65" i="3"/>
  <c r="C65" i="3"/>
  <c r="J63" i="3"/>
  <c r="I63" i="3"/>
  <c r="J60" i="3"/>
  <c r="I60" i="3"/>
  <c r="H57" i="3"/>
  <c r="G57" i="3"/>
  <c r="F57" i="3"/>
  <c r="E57" i="3"/>
  <c r="D57" i="3"/>
  <c r="C57" i="3"/>
  <c r="J55" i="3"/>
  <c r="I55" i="3"/>
  <c r="J52" i="3"/>
  <c r="I52" i="3"/>
  <c r="H49" i="3"/>
  <c r="G49" i="3"/>
  <c r="F49" i="3"/>
  <c r="E49" i="3"/>
  <c r="D49" i="3"/>
  <c r="I49" i="3" s="1"/>
  <c r="C49" i="3"/>
  <c r="J47" i="3"/>
  <c r="I47" i="3"/>
  <c r="J44" i="3"/>
  <c r="I44" i="3"/>
  <c r="H41" i="3"/>
  <c r="G41" i="3"/>
  <c r="F41" i="3"/>
  <c r="E41" i="3"/>
  <c r="D41" i="3"/>
  <c r="C41" i="3"/>
  <c r="J39" i="3"/>
  <c r="I39" i="3"/>
  <c r="J36" i="3"/>
  <c r="I36" i="3"/>
  <c r="H33" i="3"/>
  <c r="G33" i="3"/>
  <c r="F33" i="3"/>
  <c r="E33" i="3"/>
  <c r="D33" i="3"/>
  <c r="C33" i="3"/>
  <c r="J31" i="3"/>
  <c r="I31" i="3"/>
  <c r="J28" i="3"/>
  <c r="I28" i="3"/>
  <c r="H25" i="3"/>
  <c r="G25" i="3"/>
  <c r="F25" i="3"/>
  <c r="E25" i="3"/>
  <c r="D25" i="3"/>
  <c r="I25" i="3" s="1"/>
  <c r="C25" i="3"/>
  <c r="J23" i="3"/>
  <c r="I23" i="3"/>
  <c r="J20" i="3"/>
  <c r="I20" i="3"/>
  <c r="H17" i="3"/>
  <c r="G17" i="3"/>
  <c r="F17" i="3"/>
  <c r="E17" i="3"/>
  <c r="I17" i="3" s="1"/>
  <c r="D17" i="3"/>
  <c r="C17" i="3"/>
  <c r="J15" i="3"/>
  <c r="I15" i="3"/>
  <c r="J12" i="3"/>
  <c r="I12" i="3"/>
  <c r="J81" i="3" l="1"/>
  <c r="J97" i="3"/>
  <c r="J33" i="3"/>
  <c r="J57" i="3"/>
  <c r="I41" i="3"/>
  <c r="J89" i="3"/>
  <c r="J25" i="3"/>
  <c r="J49" i="3"/>
  <c r="I89" i="3"/>
  <c r="J105" i="3"/>
  <c r="I81" i="3"/>
  <c r="I33" i="3"/>
  <c r="J41" i="3"/>
  <c r="J73" i="3"/>
  <c r="I97" i="3"/>
  <c r="J17" i="3"/>
  <c r="I57" i="3"/>
  <c r="I73" i="3"/>
  <c r="I105" i="3"/>
  <c r="R6" i="2"/>
  <c r="Q6" i="2"/>
  <c r="P6" i="2"/>
  <c r="O6" i="2"/>
  <c r="N6" i="2"/>
  <c r="M6" i="2"/>
  <c r="L6" i="2"/>
  <c r="K6" i="2"/>
  <c r="J6" i="2"/>
  <c r="I6" i="2"/>
  <c r="H6" i="2"/>
  <c r="G6" i="2"/>
  <c r="R108" i="1" l="1"/>
  <c r="Q108" i="1"/>
  <c r="P108" i="1"/>
  <c r="O108" i="1"/>
  <c r="N108" i="1"/>
  <c r="M108" i="1"/>
  <c r="L108" i="1"/>
  <c r="K108" i="1"/>
  <c r="J108" i="1"/>
  <c r="I108" i="1"/>
  <c r="H108" i="1"/>
  <c r="G108" i="1"/>
  <c r="R104" i="1"/>
  <c r="Q104" i="1"/>
  <c r="P104" i="1"/>
  <c r="O104" i="1"/>
  <c r="N104" i="1"/>
  <c r="M104" i="1"/>
  <c r="L104" i="1"/>
  <c r="K104" i="1"/>
  <c r="J104" i="1"/>
  <c r="I104" i="1"/>
  <c r="H104" i="1"/>
  <c r="G104" i="1"/>
  <c r="R103" i="1"/>
  <c r="Q103" i="1"/>
  <c r="P103" i="1"/>
  <c r="O103" i="1"/>
  <c r="N103" i="1"/>
  <c r="M103" i="1"/>
  <c r="L103" i="1"/>
  <c r="K103" i="1"/>
  <c r="J103" i="1"/>
  <c r="I103" i="1"/>
  <c r="H103" i="1"/>
  <c r="G103" i="1"/>
  <c r="R99" i="1"/>
  <c r="Q99" i="1"/>
  <c r="P99" i="1"/>
  <c r="O99" i="1"/>
  <c r="N99" i="1"/>
  <c r="M99" i="1"/>
  <c r="L99" i="1"/>
  <c r="K99" i="1"/>
  <c r="J99" i="1"/>
  <c r="I99" i="1"/>
  <c r="H99" i="1"/>
  <c r="G99" i="1"/>
  <c r="R95" i="1"/>
  <c r="Q95" i="1"/>
  <c r="P95" i="1"/>
  <c r="O95" i="1"/>
  <c r="N95" i="1"/>
  <c r="M95" i="1"/>
  <c r="L95" i="1"/>
  <c r="K95" i="1"/>
  <c r="J95" i="1"/>
  <c r="I95" i="1"/>
  <c r="H95" i="1"/>
  <c r="G95" i="1"/>
  <c r="R94" i="1"/>
  <c r="Q94" i="1"/>
  <c r="P94" i="1"/>
  <c r="O94" i="1"/>
  <c r="N94" i="1"/>
  <c r="M94" i="1"/>
  <c r="L94" i="1"/>
  <c r="K94" i="1"/>
  <c r="J94" i="1"/>
  <c r="I94" i="1"/>
  <c r="H94" i="1"/>
  <c r="G94" i="1"/>
  <c r="R90" i="1"/>
  <c r="Q90" i="1"/>
  <c r="P90" i="1"/>
  <c r="O90" i="1"/>
  <c r="N90" i="1"/>
  <c r="M90" i="1"/>
  <c r="L90" i="1"/>
  <c r="K90" i="1"/>
  <c r="J90" i="1"/>
  <c r="I90" i="1"/>
  <c r="H90" i="1"/>
  <c r="G90" i="1"/>
  <c r="R86" i="1"/>
  <c r="Q86" i="1"/>
  <c r="P86" i="1"/>
  <c r="O86" i="1"/>
  <c r="N86" i="1"/>
  <c r="M86" i="1"/>
  <c r="L86" i="1"/>
  <c r="K86" i="1"/>
  <c r="J86" i="1"/>
  <c r="I86" i="1"/>
  <c r="H86" i="1"/>
  <c r="G86" i="1"/>
  <c r="R85" i="1"/>
  <c r="Q85" i="1"/>
  <c r="P85" i="1"/>
  <c r="O85" i="1"/>
  <c r="N85" i="1"/>
  <c r="M85" i="1"/>
  <c r="L85" i="1"/>
  <c r="K85" i="1"/>
  <c r="J85" i="1"/>
  <c r="I85" i="1"/>
  <c r="H85" i="1"/>
  <c r="G85" i="1"/>
  <c r="R81" i="1"/>
  <c r="Q81" i="1"/>
  <c r="P81" i="1"/>
  <c r="O81" i="1"/>
  <c r="N81" i="1"/>
  <c r="M81" i="1"/>
  <c r="L81" i="1"/>
  <c r="K81" i="1"/>
  <c r="J81" i="1"/>
  <c r="I81" i="1"/>
  <c r="H81" i="1"/>
  <c r="G81" i="1"/>
  <c r="R77" i="1"/>
  <c r="Q77" i="1"/>
  <c r="P77" i="1"/>
  <c r="O77" i="1"/>
  <c r="N77" i="1"/>
  <c r="M77" i="1"/>
  <c r="L77" i="1"/>
  <c r="K77" i="1"/>
  <c r="J77" i="1"/>
  <c r="I77" i="1"/>
  <c r="H77" i="1"/>
  <c r="G77" i="1"/>
  <c r="R76" i="1"/>
  <c r="Q76" i="1"/>
  <c r="P76" i="1"/>
  <c r="O76" i="1"/>
  <c r="N76" i="1"/>
  <c r="M76" i="1"/>
  <c r="L76" i="1"/>
  <c r="K76" i="1"/>
  <c r="J76" i="1"/>
  <c r="I76" i="1"/>
  <c r="H76" i="1"/>
  <c r="G76" i="1"/>
  <c r="R68" i="1"/>
  <c r="Q68" i="1"/>
  <c r="Q74" i="1" s="1"/>
  <c r="P68" i="1"/>
  <c r="P71" i="1" s="1"/>
  <c r="O68" i="1"/>
  <c r="N68" i="1"/>
  <c r="M68" i="1"/>
  <c r="L68" i="1"/>
  <c r="K68" i="1"/>
  <c r="K75" i="1" s="1"/>
  <c r="J68" i="1"/>
  <c r="J75" i="1" s="1"/>
  <c r="I68" i="1"/>
  <c r="H68" i="1"/>
  <c r="G68" i="1"/>
  <c r="R63" i="1"/>
  <c r="Q63" i="1"/>
  <c r="P63" i="1"/>
  <c r="O63" i="1"/>
  <c r="N63" i="1"/>
  <c r="M63" i="1"/>
  <c r="L63" i="1"/>
  <c r="K63" i="1"/>
  <c r="J63" i="1"/>
  <c r="I63" i="1"/>
  <c r="H63" i="1"/>
  <c r="G63" i="1"/>
  <c r="R59" i="1"/>
  <c r="Q59" i="1"/>
  <c r="P59" i="1"/>
  <c r="O59" i="1"/>
  <c r="N59" i="1"/>
  <c r="M59" i="1"/>
  <c r="L59" i="1"/>
  <c r="K59" i="1"/>
  <c r="J59" i="1"/>
  <c r="I59" i="1"/>
  <c r="H59" i="1"/>
  <c r="G59" i="1"/>
  <c r="N58" i="1"/>
  <c r="M58" i="1"/>
  <c r="L58" i="1"/>
  <c r="K58" i="1"/>
  <c r="J58" i="1"/>
  <c r="I58" i="1"/>
  <c r="H58" i="1"/>
  <c r="G58" i="1"/>
  <c r="R54" i="1"/>
  <c r="Q54" i="1"/>
  <c r="P54" i="1"/>
  <c r="O54" i="1"/>
  <c r="N54" i="1"/>
  <c r="M54" i="1"/>
  <c r="L54" i="1"/>
  <c r="K54" i="1"/>
  <c r="J54" i="1"/>
  <c r="I54" i="1"/>
  <c r="H54" i="1"/>
  <c r="G54" i="1"/>
  <c r="R50" i="1"/>
  <c r="Q50" i="1"/>
  <c r="P50" i="1"/>
  <c r="O50" i="1"/>
  <c r="N50" i="1"/>
  <c r="M50" i="1"/>
  <c r="L50" i="1"/>
  <c r="K50" i="1"/>
  <c r="J50" i="1"/>
  <c r="I50" i="1"/>
  <c r="H50" i="1"/>
  <c r="G50" i="1"/>
  <c r="N49" i="1"/>
  <c r="M49" i="1"/>
  <c r="L49" i="1"/>
  <c r="K49" i="1"/>
  <c r="J49" i="1"/>
  <c r="I49" i="1"/>
  <c r="H49" i="1"/>
  <c r="G49" i="1"/>
  <c r="R24" i="1"/>
  <c r="Q24" i="1"/>
  <c r="P24" i="1"/>
  <c r="O24" i="1"/>
  <c r="N24" i="1"/>
  <c r="M24" i="1"/>
  <c r="L24" i="1"/>
  <c r="K24" i="1"/>
  <c r="J24" i="1"/>
  <c r="I24" i="1"/>
  <c r="H24" i="1"/>
  <c r="G24" i="1"/>
  <c r="R20" i="1"/>
  <c r="Q20" i="1"/>
  <c r="P20" i="1"/>
  <c r="O20" i="1"/>
  <c r="N20" i="1"/>
  <c r="M20" i="1"/>
  <c r="L20" i="1"/>
  <c r="K20" i="1"/>
  <c r="J20" i="1"/>
  <c r="G20" i="1"/>
  <c r="R16" i="1"/>
  <c r="Q16" i="1"/>
  <c r="P16" i="1"/>
  <c r="O16" i="1"/>
  <c r="N16" i="1"/>
  <c r="M16" i="1"/>
  <c r="L16" i="1"/>
  <c r="K16" i="1"/>
  <c r="J16" i="1"/>
  <c r="G16" i="1"/>
  <c r="R11" i="1"/>
  <c r="Q11" i="1"/>
  <c r="P11" i="1"/>
  <c r="O11" i="1"/>
  <c r="N11" i="1"/>
  <c r="M11" i="1"/>
  <c r="L11" i="1"/>
  <c r="K11" i="1"/>
  <c r="J11" i="1"/>
  <c r="G11" i="1"/>
  <c r="R7" i="1"/>
  <c r="Q7" i="1"/>
  <c r="P7" i="1"/>
  <c r="O7" i="1"/>
  <c r="N7" i="1"/>
  <c r="M7" i="1"/>
  <c r="L7" i="1"/>
  <c r="K7" i="1"/>
  <c r="J7" i="1"/>
  <c r="G7" i="1"/>
  <c r="R6" i="1"/>
  <c r="Q6" i="1"/>
  <c r="P6" i="1"/>
  <c r="O6" i="1"/>
  <c r="N6" i="1"/>
  <c r="M6" i="1"/>
  <c r="L6" i="1"/>
  <c r="K6" i="1"/>
  <c r="J6" i="1"/>
  <c r="I6" i="1"/>
  <c r="H6" i="1"/>
  <c r="G6" i="1"/>
  <c r="G21" i="1" s="1"/>
  <c r="L56" i="1" l="1"/>
  <c r="J61" i="1"/>
  <c r="M56" i="1"/>
  <c r="I65" i="1"/>
  <c r="Q9" i="1"/>
  <c r="R12" i="1"/>
  <c r="G75" i="1"/>
  <c r="J17" i="1"/>
  <c r="M75" i="1"/>
  <c r="O21" i="1"/>
  <c r="G56" i="1"/>
  <c r="G22" i="1"/>
  <c r="N65" i="1"/>
  <c r="H65" i="1"/>
  <c r="M21" i="1"/>
  <c r="M22" i="1"/>
  <c r="Q21" i="1"/>
  <c r="J65" i="1"/>
  <c r="R17" i="1"/>
  <c r="N21" i="1"/>
  <c r="L8" i="1"/>
  <c r="R13" i="1"/>
  <c r="P17" i="1"/>
  <c r="P75" i="1"/>
  <c r="K17" i="1"/>
  <c r="Q18" i="1"/>
  <c r="J52" i="1"/>
  <c r="J56" i="1"/>
  <c r="J60" i="1"/>
  <c r="J71" i="1"/>
  <c r="L12" i="1"/>
  <c r="R22" i="1"/>
  <c r="N8" i="1"/>
  <c r="N13" i="1"/>
  <c r="R9" i="1"/>
  <c r="J74" i="1"/>
  <c r="K13" i="1"/>
  <c r="O22" i="1"/>
  <c r="R18" i="1"/>
  <c r="K65" i="1"/>
  <c r="K22" i="1"/>
  <c r="I56" i="1"/>
  <c r="J51" i="1"/>
  <c r="J64" i="1"/>
  <c r="R8" i="1"/>
  <c r="Q22" i="1"/>
  <c r="H56" i="1"/>
  <c r="N56" i="1"/>
  <c r="R21" i="1"/>
  <c r="J13" i="1"/>
  <c r="P21" i="1"/>
  <c r="J22" i="1"/>
  <c r="P22" i="1"/>
  <c r="Q17" i="1"/>
  <c r="J55" i="1"/>
  <c r="J70" i="1"/>
  <c r="L65" i="1"/>
  <c r="H75" i="1"/>
  <c r="N75" i="1"/>
  <c r="L21" i="1"/>
  <c r="L22" i="1"/>
  <c r="K56" i="1"/>
  <c r="G65" i="1"/>
  <c r="M65" i="1"/>
  <c r="I75" i="1"/>
  <c r="O75" i="1"/>
  <c r="J9" i="1"/>
  <c r="N22" i="1"/>
  <c r="N18" i="1"/>
  <c r="K9" i="1"/>
  <c r="L75" i="1"/>
  <c r="L74" i="1"/>
  <c r="P8" i="1"/>
  <c r="L9" i="1"/>
  <c r="J12" i="1"/>
  <c r="P13" i="1"/>
  <c r="L17" i="1"/>
  <c r="J18" i="1"/>
  <c r="J21" i="1"/>
  <c r="K74" i="1"/>
  <c r="Q75" i="1"/>
  <c r="Q8" i="1"/>
  <c r="N9" i="1"/>
  <c r="K12" i="1"/>
  <c r="Q13" i="1"/>
  <c r="N17" i="1"/>
  <c r="K18" i="1"/>
  <c r="K21" i="1"/>
  <c r="K51" i="1"/>
  <c r="K52" i="1"/>
  <c r="K55" i="1"/>
  <c r="K60" i="1"/>
  <c r="K61" i="1"/>
  <c r="K64" i="1"/>
  <c r="K70" i="1"/>
  <c r="K71" i="1"/>
  <c r="P74" i="1"/>
  <c r="P12" i="1"/>
  <c r="L13" i="1"/>
  <c r="Q70" i="1"/>
  <c r="Q71" i="1"/>
  <c r="Q12" i="1"/>
  <c r="R75" i="1"/>
  <c r="R74" i="1"/>
  <c r="R71" i="1"/>
  <c r="R70" i="1"/>
  <c r="J8" i="1"/>
  <c r="P9" i="1"/>
  <c r="L18" i="1"/>
  <c r="L51" i="1"/>
  <c r="L52" i="1"/>
  <c r="L55" i="1"/>
  <c r="L60" i="1"/>
  <c r="L61" i="1"/>
  <c r="L64" i="1"/>
  <c r="L70" i="1"/>
  <c r="L71" i="1"/>
  <c r="K8" i="1"/>
  <c r="N12" i="1"/>
  <c r="P18" i="1"/>
  <c r="P70" i="1"/>
  <c r="G8" i="1"/>
  <c r="M8" i="1"/>
  <c r="G9" i="1"/>
  <c r="M9" i="1"/>
  <c r="G12" i="1"/>
  <c r="M12" i="1"/>
  <c r="G13" i="1"/>
  <c r="M13" i="1"/>
  <c r="G17" i="1"/>
  <c r="M17" i="1"/>
  <c r="G18" i="1"/>
  <c r="M18" i="1"/>
  <c r="G51" i="1"/>
  <c r="M51" i="1"/>
  <c r="G52" i="1"/>
  <c r="M52" i="1"/>
  <c r="G55" i="1"/>
  <c r="M55" i="1"/>
  <c r="G60" i="1"/>
  <c r="M60" i="1"/>
  <c r="G61" i="1"/>
  <c r="M61" i="1"/>
  <c r="G64" i="1"/>
  <c r="M64" i="1"/>
  <c r="G70" i="1"/>
  <c r="M70" i="1"/>
  <c r="G71" i="1"/>
  <c r="M71" i="1"/>
  <c r="G74" i="1"/>
  <c r="M74" i="1"/>
  <c r="H51" i="1"/>
  <c r="N51" i="1"/>
  <c r="H52" i="1"/>
  <c r="N52" i="1"/>
  <c r="H55" i="1"/>
  <c r="N55" i="1"/>
  <c r="H60" i="1"/>
  <c r="N60" i="1"/>
  <c r="H61" i="1"/>
  <c r="N61" i="1"/>
  <c r="H64" i="1"/>
  <c r="N64" i="1"/>
  <c r="H70" i="1"/>
  <c r="N70" i="1"/>
  <c r="H71" i="1"/>
  <c r="N71" i="1"/>
  <c r="H74" i="1"/>
  <c r="N74" i="1"/>
  <c r="O8" i="1"/>
  <c r="O9" i="1"/>
  <c r="O12" i="1"/>
  <c r="O13" i="1"/>
  <c r="O17" i="1"/>
  <c r="O18" i="1"/>
  <c r="I51" i="1"/>
  <c r="I52" i="1"/>
  <c r="I55" i="1"/>
  <c r="I60" i="1"/>
  <c r="I61" i="1"/>
  <c r="I64" i="1"/>
  <c r="I70" i="1"/>
  <c r="O70" i="1"/>
  <c r="I71" i="1"/>
  <c r="O71" i="1"/>
  <c r="I74" i="1"/>
  <c r="O74" i="1"/>
  <c r="N25" i="1" l="1"/>
  <c r="N7" i="2"/>
  <c r="L23" i="2"/>
  <c r="L24" i="2" s="1"/>
  <c r="L41" i="1"/>
  <c r="P41" i="1"/>
  <c r="P23" i="2"/>
  <c r="P24" i="2" s="1"/>
  <c r="O19" i="2"/>
  <c r="O37" i="1"/>
  <c r="J41" i="1"/>
  <c r="J23" i="2"/>
  <c r="J24" i="2" s="1"/>
  <c r="Q11" i="2"/>
  <c r="Q29" i="1"/>
  <c r="Q30" i="1" s="1"/>
  <c r="P7" i="2"/>
  <c r="P25" i="1"/>
  <c r="N11" i="2"/>
  <c r="N29" i="1"/>
  <c r="N30" i="1" s="1"/>
  <c r="M25" i="1"/>
  <c r="M7" i="2"/>
  <c r="K11" i="2"/>
  <c r="K29" i="1"/>
  <c r="K30" i="1" s="1"/>
  <c r="J7" i="2"/>
  <c r="J25" i="1"/>
  <c r="H11" i="2"/>
  <c r="H29" i="1"/>
  <c r="H30" i="1" s="1"/>
  <c r="G25" i="1"/>
  <c r="G7" i="2"/>
  <c r="R11" i="2"/>
  <c r="R29" i="1"/>
  <c r="R30" i="1" s="1"/>
  <c r="I11" i="2"/>
  <c r="I29" i="1"/>
  <c r="I30" i="1" s="1"/>
  <c r="R23" i="2"/>
  <c r="R24" i="2" s="1"/>
  <c r="R41" i="1"/>
  <c r="N37" i="1"/>
  <c r="N19" i="2"/>
  <c r="Q23" i="2"/>
  <c r="Q24" i="2" s="1"/>
  <c r="Q41" i="1"/>
  <c r="P37" i="1"/>
  <c r="P19" i="2"/>
  <c r="N41" i="1"/>
  <c r="N23" i="2"/>
  <c r="N24" i="2" s="1"/>
  <c r="M37" i="1"/>
  <c r="M19" i="2"/>
  <c r="K23" i="2"/>
  <c r="K24" i="2" s="1"/>
  <c r="K41" i="1"/>
  <c r="J37" i="1"/>
  <c r="J19" i="2"/>
  <c r="H41" i="1"/>
  <c r="H23" i="2"/>
  <c r="H24" i="2" s="1"/>
  <c r="G19" i="2"/>
  <c r="G37" i="1"/>
  <c r="H25" i="1"/>
  <c r="H7" i="2"/>
  <c r="K7" i="2"/>
  <c r="K25" i="1"/>
  <c r="O23" i="2"/>
  <c r="O24" i="2" s="1"/>
  <c r="O41" i="1"/>
  <c r="Q7" i="2"/>
  <c r="Q25" i="1"/>
  <c r="L11" i="2"/>
  <c r="L29" i="1"/>
  <c r="L30" i="1" s="1"/>
  <c r="Q19" i="2"/>
  <c r="Q37" i="1"/>
  <c r="I23" i="2"/>
  <c r="I24" i="2" s="1"/>
  <c r="I41" i="1"/>
  <c r="R7" i="2"/>
  <c r="R25" i="1"/>
  <c r="P11" i="2"/>
  <c r="P29" i="1"/>
  <c r="P30" i="1" s="1"/>
  <c r="O25" i="1"/>
  <c r="O7" i="2"/>
  <c r="M11" i="2"/>
  <c r="M29" i="1"/>
  <c r="M30" i="1" s="1"/>
  <c r="L7" i="2"/>
  <c r="L25" i="1"/>
  <c r="J11" i="2"/>
  <c r="J29" i="1"/>
  <c r="J30" i="1" s="1"/>
  <c r="I25" i="1"/>
  <c r="I7" i="2"/>
  <c r="G11" i="2"/>
  <c r="G29" i="1"/>
  <c r="G30" i="1" s="1"/>
  <c r="O11" i="2"/>
  <c r="O29" i="1"/>
  <c r="O30" i="1" s="1"/>
  <c r="K19" i="2"/>
  <c r="K37" i="1"/>
  <c r="R19" i="2"/>
  <c r="R37" i="1"/>
  <c r="M41" i="1"/>
  <c r="M23" i="2"/>
  <c r="M24" i="2" s="1"/>
  <c r="L19" i="2"/>
  <c r="L37" i="1"/>
  <c r="H37" i="1"/>
  <c r="I19" i="2"/>
  <c r="H19" i="2"/>
  <c r="I37" i="1"/>
  <c r="G23" i="2"/>
  <c r="G41" i="1"/>
  <c r="G34" i="2" l="1"/>
  <c r="G24" i="2"/>
  <c r="G35" i="2"/>
  <c r="G32" i="2"/>
  <c r="G33" i="2"/>
  <c r="J21" i="2"/>
  <c r="J20" i="2"/>
  <c r="L20" i="2"/>
  <c r="L21" i="2"/>
  <c r="K21" i="2"/>
  <c r="K20" i="2"/>
  <c r="I8" i="2"/>
  <c r="I9" i="2"/>
  <c r="R27" i="1"/>
  <c r="R26" i="1"/>
  <c r="K26" i="1"/>
  <c r="K27" i="1"/>
  <c r="M21" i="2"/>
  <c r="M20" i="2"/>
  <c r="M9" i="2"/>
  <c r="M8" i="2"/>
  <c r="R15" i="2"/>
  <c r="R16" i="2" s="1"/>
  <c r="R33" i="1"/>
  <c r="I39" i="1"/>
  <c r="I38" i="1"/>
  <c r="I26" i="1"/>
  <c r="I27" i="1"/>
  <c r="M13" i="2"/>
  <c r="M12" i="2"/>
  <c r="R9" i="2"/>
  <c r="R8" i="2"/>
  <c r="L13" i="2"/>
  <c r="L12" i="2"/>
  <c r="K9" i="2"/>
  <c r="K8" i="2"/>
  <c r="M39" i="1"/>
  <c r="M38" i="1"/>
  <c r="I13" i="2"/>
  <c r="I12" i="2"/>
  <c r="H13" i="2"/>
  <c r="H12" i="2"/>
  <c r="M27" i="1"/>
  <c r="M26" i="1"/>
  <c r="Q12" i="2"/>
  <c r="Q13" i="2"/>
  <c r="O8" i="2"/>
  <c r="O9" i="2"/>
  <c r="Q26" i="1"/>
  <c r="Q27" i="1"/>
  <c r="N21" i="2"/>
  <c r="N20" i="2"/>
  <c r="J27" i="1"/>
  <c r="J26" i="1"/>
  <c r="H21" i="2"/>
  <c r="H20" i="2"/>
  <c r="I20" i="2"/>
  <c r="I21" i="2"/>
  <c r="Q8" i="2"/>
  <c r="Q9" i="2"/>
  <c r="J9" i="2"/>
  <c r="J8" i="2"/>
  <c r="O13" i="2"/>
  <c r="O12" i="2"/>
  <c r="H8" i="2"/>
  <c r="H9" i="2"/>
  <c r="R38" i="1"/>
  <c r="R39" i="1"/>
  <c r="J13" i="2"/>
  <c r="J12" i="2"/>
  <c r="H26" i="1"/>
  <c r="H27" i="1"/>
  <c r="J39" i="1"/>
  <c r="J38" i="1"/>
  <c r="N39" i="1"/>
  <c r="N38" i="1"/>
  <c r="R13" i="2"/>
  <c r="R12" i="2"/>
  <c r="N12" i="2"/>
  <c r="N13" i="2"/>
  <c r="R27" i="2"/>
  <c r="R28" i="2" s="1"/>
  <c r="R45" i="1"/>
  <c r="H38" i="1"/>
  <c r="H39" i="1"/>
  <c r="R21" i="2"/>
  <c r="R20" i="2"/>
  <c r="L27" i="1"/>
  <c r="L26" i="1"/>
  <c r="Q39" i="1"/>
  <c r="Q38" i="1"/>
  <c r="G38" i="1"/>
  <c r="G39" i="1"/>
  <c r="P21" i="2"/>
  <c r="P20" i="2"/>
  <c r="G9" i="2"/>
  <c r="G8" i="2"/>
  <c r="P26" i="1"/>
  <c r="P27" i="1"/>
  <c r="O39" i="1"/>
  <c r="O38" i="1"/>
  <c r="N8" i="2"/>
  <c r="N9" i="2"/>
  <c r="O27" i="1"/>
  <c r="O26" i="1"/>
  <c r="L39" i="1"/>
  <c r="L38" i="1"/>
  <c r="K39" i="1"/>
  <c r="K38" i="1"/>
  <c r="G13" i="2"/>
  <c r="G12" i="2"/>
  <c r="L8" i="2"/>
  <c r="L9" i="2"/>
  <c r="P13" i="2"/>
  <c r="P12" i="2"/>
  <c r="Q20" i="2"/>
  <c r="Q21" i="2"/>
  <c r="G21" i="2"/>
  <c r="G20" i="2"/>
  <c r="P38" i="1"/>
  <c r="P39" i="1"/>
  <c r="G26" i="1"/>
  <c r="G27" i="1"/>
  <c r="K12" i="2"/>
  <c r="K13" i="2"/>
  <c r="P8" i="2"/>
  <c r="P9" i="2"/>
  <c r="O20" i="2"/>
  <c r="O21" i="2"/>
  <c r="N26" i="1"/>
  <c r="N27" i="1"/>
  <c r="J15" i="2" l="1"/>
  <c r="J16" i="2" s="1"/>
  <c r="J33" i="1"/>
  <c r="P33" i="1"/>
  <c r="P15" i="2"/>
  <c r="P16" i="2" s="1"/>
  <c r="Q33" i="1"/>
  <c r="Q15" i="2"/>
  <c r="Q16" i="2" s="1"/>
  <c r="K15" i="2"/>
  <c r="K16" i="2" s="1"/>
  <c r="K33" i="1"/>
  <c r="L45" i="1"/>
  <c r="L27" i="2"/>
  <c r="L28" i="2" s="1"/>
  <c r="I15" i="2"/>
  <c r="I16" i="2" s="1"/>
  <c r="I33" i="1"/>
  <c r="J27" i="2"/>
  <c r="J28" i="2" s="1"/>
  <c r="J45" i="1"/>
  <c r="G15" i="2"/>
  <c r="G33" i="1"/>
  <c r="Q45" i="1"/>
  <c r="Q27" i="2"/>
  <c r="Q28" i="2" s="1"/>
  <c r="I27" i="2"/>
  <c r="I28" i="2" s="1"/>
  <c r="I45" i="1"/>
  <c r="N27" i="2"/>
  <c r="N28" i="2" s="1"/>
  <c r="N45" i="1"/>
  <c r="G27" i="2"/>
  <c r="G45" i="1"/>
  <c r="O33" i="1"/>
  <c r="O15" i="2"/>
  <c r="O16" i="2" s="1"/>
  <c r="M27" i="2"/>
  <c r="M28" i="2" s="1"/>
  <c r="M45" i="1"/>
  <c r="O27" i="2"/>
  <c r="O28" i="2" s="1"/>
  <c r="O45" i="1"/>
  <c r="P45" i="1"/>
  <c r="P27" i="2"/>
  <c r="P28" i="2" s="1"/>
  <c r="N15" i="2"/>
  <c r="N16" i="2" s="1"/>
  <c r="N33" i="1"/>
  <c r="M33" i="1"/>
  <c r="M15" i="2"/>
  <c r="M16" i="2" s="1"/>
  <c r="K27" i="2"/>
  <c r="K28" i="2" s="1"/>
  <c r="K45" i="1"/>
  <c r="H33" i="1"/>
  <c r="H15" i="2"/>
  <c r="H16" i="2" s="1"/>
  <c r="L15" i="2"/>
  <c r="L16" i="2" s="1"/>
  <c r="L33" i="1"/>
  <c r="H27" i="2"/>
  <c r="H28" i="2" s="1"/>
  <c r="H45" i="1"/>
  <c r="G28" i="2" l="1"/>
  <c r="G37" i="2"/>
  <c r="G16" i="2"/>
  <c r="G36" i="2"/>
  <c r="I23" i="4"/>
  <c r="I16" i="1"/>
  <c r="H23" i="4"/>
  <c r="H16" i="1"/>
  <c r="H14" i="4"/>
  <c r="H7" i="1"/>
  <c r="I14" i="4"/>
  <c r="I7" i="1"/>
  <c r="T14" i="4" l="1"/>
  <c r="T23" i="4"/>
  <c r="H17" i="1"/>
  <c r="H18" i="1"/>
  <c r="I8" i="1"/>
  <c r="I9" i="1"/>
  <c r="I16" i="4"/>
  <c r="I15" i="4"/>
  <c r="H25" i="4"/>
  <c r="H24" i="4"/>
  <c r="H9" i="1"/>
  <c r="H8" i="1"/>
  <c r="I17" i="1"/>
  <c r="I18" i="1"/>
  <c r="H15" i="4"/>
  <c r="H16" i="4"/>
  <c r="I25" i="4"/>
  <c r="I24" i="4"/>
  <c r="H27" i="4" l="1"/>
  <c r="H20" i="1"/>
  <c r="H18" i="4"/>
  <c r="H11" i="1"/>
  <c r="I27" i="4"/>
  <c r="I20" i="1"/>
  <c r="I18" i="4"/>
  <c r="I11" i="1"/>
  <c r="T18" i="4" l="1"/>
  <c r="T27" i="4"/>
  <c r="I13" i="1"/>
  <c r="I12" i="1"/>
  <c r="H12" i="1"/>
  <c r="H13" i="1"/>
  <c r="I19" i="4"/>
  <c r="I20" i="4"/>
  <c r="H19" i="4"/>
  <c r="H20" i="4"/>
  <c r="I21" i="1"/>
  <c r="I22" i="1"/>
  <c r="H21" i="1"/>
  <c r="H22" i="1"/>
  <c r="I29" i="4"/>
  <c r="I28" i="4"/>
  <c r="H29" i="4"/>
  <c r="H28" i="4"/>
  <c r="W108" i="3" l="1"/>
  <c r="Q108" i="3" s="1"/>
  <c r="S108" i="3" l="1"/>
  <c r="T108" i="3" s="1"/>
  <c r="S107" i="3"/>
  <c r="T107" i="3" s="1"/>
  <c r="U108" i="3" l="1"/>
  <c r="V107" i="3" s="1"/>
  <c r="T109" i="3"/>
  <c r="V108" i="3" l="1"/>
  <c r="V109" i="3" s="1"/>
  <c r="W84" i="3"/>
  <c r="Q84" i="3" s="1"/>
  <c r="W92" i="3"/>
  <c r="Q92" i="3" s="1"/>
  <c r="W100" i="3"/>
  <c r="Q100" i="3" s="1"/>
  <c r="S100" i="3" l="1"/>
  <c r="T100" i="3" s="1"/>
  <c r="S99" i="3"/>
  <c r="T99" i="3" s="1"/>
  <c r="S92" i="3"/>
  <c r="T92" i="3" s="1"/>
  <c r="S91" i="3"/>
  <c r="T91" i="3" s="1"/>
  <c r="S84" i="3"/>
  <c r="T84" i="3" s="1"/>
  <c r="S83" i="3"/>
  <c r="T83" i="3" s="1"/>
  <c r="T85" i="3" l="1"/>
  <c r="T101" i="3"/>
  <c r="U100" i="3"/>
  <c r="U84" i="3"/>
  <c r="V83" i="3" s="1"/>
  <c r="U92" i="3"/>
  <c r="V91" i="3" s="1"/>
  <c r="T93" i="3"/>
  <c r="T115" i="3" l="1"/>
  <c r="V84" i="3"/>
  <c r="V85" i="3" s="1"/>
  <c r="V92" i="3"/>
  <c r="V93" i="3" s="1"/>
  <c r="U115" i="3"/>
  <c r="V99" i="3"/>
  <c r="V100" i="3"/>
  <c r="V101" i="3" l="1"/>
  <c r="V115" i="3" s="1"/>
  <c r="R49" i="1" l="1"/>
  <c r="R55" i="1" l="1"/>
  <c r="R52" i="1"/>
  <c r="R56" i="1"/>
  <c r="R51" i="1"/>
  <c r="Q49" i="1" l="1"/>
  <c r="Q52" i="1" l="1"/>
  <c r="Q51" i="1"/>
  <c r="Q55" i="1"/>
  <c r="Q56" i="1"/>
  <c r="P49" i="1" l="1"/>
  <c r="P56" i="1" l="1"/>
  <c r="P51" i="1"/>
  <c r="P52" i="1"/>
  <c r="P55" i="1"/>
  <c r="O49" i="1" l="1"/>
  <c r="O51" i="1" l="1"/>
  <c r="O56" i="1"/>
  <c r="O52" i="1"/>
  <c r="O55" i="1"/>
  <c r="P9" i="7" l="1"/>
  <c r="P58" i="1"/>
  <c r="Q9" i="7" l="1"/>
  <c r="Q58" i="1"/>
  <c r="O9" i="7"/>
  <c r="O58" i="1"/>
  <c r="P61" i="1"/>
  <c r="P64" i="1"/>
  <c r="P65" i="1"/>
  <c r="P60" i="1"/>
  <c r="P16" i="7"/>
  <c r="P11" i="7"/>
  <c r="P12" i="7"/>
  <c r="P15" i="7"/>
  <c r="R9" i="7" l="1"/>
  <c r="T14" i="7" s="1"/>
  <c r="R58" i="1"/>
  <c r="O65" i="1"/>
  <c r="O60" i="1"/>
  <c r="O61" i="1"/>
  <c r="O64" i="1"/>
  <c r="O12" i="7"/>
  <c r="O15" i="7"/>
  <c r="O11" i="7"/>
  <c r="O16" i="7"/>
  <c r="Q60" i="1"/>
  <c r="Q61" i="1"/>
  <c r="Q64" i="1"/>
  <c r="Q65" i="1"/>
  <c r="Q16" i="7"/>
  <c r="Q15" i="7"/>
  <c r="Q11" i="7"/>
  <c r="Q12" i="7"/>
  <c r="T20" i="7" l="1"/>
  <c r="T19" i="7"/>
  <c r="T10" i="7"/>
  <c r="R60" i="1"/>
  <c r="R61" i="1"/>
  <c r="R64" i="1"/>
  <c r="R65" i="1"/>
  <c r="R11" i="7"/>
  <c r="R15" i="7"/>
  <c r="R16" i="7"/>
  <c r="R12" i="7"/>
</calcChain>
</file>

<file path=xl/comments1.xml><?xml version="1.0" encoding="utf-8"?>
<comments xmlns="http://schemas.openxmlformats.org/spreadsheetml/2006/main">
  <authors>
    <author>Weiß, Dietmar</author>
  </authors>
  <commentList>
    <comment ref="F16" authorId="0" shapeId="0">
      <text>
        <r>
          <rPr>
            <b/>
            <sz val="9"/>
            <color indexed="81"/>
            <rFont val="Segoe UI"/>
            <family val="2"/>
          </rPr>
          <t>White, Dietmar:</t>
        </r>
        <r>
          <rPr>
            <sz val="9"/>
            <color indexed="81"/>
            <rFont val="Segoe UI"/>
            <family val="2"/>
          </rPr>
          <t xml:space="preserve">
The number of imports of calves recorded has fallen sharply over the years, resulting in large price fluctuations due to the small population.</t>
        </r>
      </text>
    </comment>
    <comment ref="F25" authorId="0" shapeId="0">
      <text>
        <r>
          <rPr>
            <b/>
            <sz val="9"/>
            <color indexed="81"/>
            <rFont val="Segoe UI"/>
            <family val="2"/>
          </rPr>
          <t>White, Dietmar:</t>
        </r>
        <r>
          <rPr>
            <sz val="9"/>
            <color indexed="81"/>
            <rFont val="Segoe UI"/>
            <family val="2"/>
          </rPr>
          <t xml:space="preserve">
Breeding pigs and piglets</t>
        </r>
      </text>
    </comment>
    <comment ref="F29" authorId="0" shapeId="0">
      <text>
        <r>
          <rPr>
            <b/>
            <sz val="9"/>
            <color indexed="81"/>
            <rFont val="Segoe UI"/>
            <family val="2"/>
          </rPr>
          <t>White, Dietmar:</t>
        </r>
        <r>
          <rPr>
            <sz val="9"/>
            <color indexed="81"/>
            <rFont val="Segoe UI"/>
            <family val="2"/>
          </rPr>
          <t xml:space="preserve">
From 50 kg WA 01039219</t>
        </r>
      </text>
    </comment>
    <comment ref="F33" authorId="0" shapeId="0">
      <text>
        <r>
          <rPr>
            <b/>
            <sz val="9"/>
            <color indexed="81"/>
            <rFont val="Segoe UI"/>
            <family val="2"/>
          </rPr>
          <t>White, Dietmar:</t>
        </r>
        <r>
          <rPr>
            <sz val="9"/>
            <color indexed="81"/>
            <rFont val="Segoe UI"/>
            <family val="2"/>
          </rPr>
          <t xml:space="preserve">
Breeding pigs and piglets</t>
        </r>
      </text>
    </comment>
    <comment ref="F37" authorId="0" shapeId="0">
      <text>
        <r>
          <rPr>
            <b/>
            <sz val="9"/>
            <color indexed="81"/>
            <rFont val="Segoe UI"/>
            <family val="2"/>
          </rPr>
          <t>White, Dietmar:</t>
        </r>
        <r>
          <rPr>
            <sz val="9"/>
            <color indexed="81"/>
            <rFont val="Segoe UI"/>
            <family val="2"/>
          </rPr>
          <t xml:space="preserve">
Pigs for breeding, production and slaughter</t>
        </r>
      </text>
    </comment>
    <comment ref="F41" authorId="0" shapeId="0">
      <text>
        <r>
          <rPr>
            <b/>
            <sz val="9"/>
            <color indexed="81"/>
            <rFont val="Segoe UI"/>
            <family val="2"/>
          </rPr>
          <t>White, Dietmar:</t>
        </r>
        <r>
          <rPr>
            <sz val="9"/>
            <color indexed="81"/>
            <rFont val="Segoe UI"/>
            <family val="2"/>
          </rPr>
          <t xml:space="preserve">
Pigs for breeding, production and slaughter</t>
        </r>
      </text>
    </comment>
    <comment ref="F45" authorId="0" shapeId="0">
      <text>
        <r>
          <rPr>
            <b/>
            <sz val="9"/>
            <color indexed="81"/>
            <rFont val="Segoe UI"/>
            <family val="2"/>
          </rPr>
          <t>White, Dietmar:</t>
        </r>
        <r>
          <rPr>
            <sz val="9"/>
            <color indexed="81"/>
            <rFont val="Segoe UI"/>
            <family val="2"/>
          </rPr>
          <t xml:space="preserve">
Pigs for breeding, production and slaughter</t>
        </r>
      </text>
    </comment>
  </commentList>
</comments>
</file>

<file path=xl/comments2.xml><?xml version="1.0" encoding="utf-8"?>
<comments xmlns="http://schemas.openxmlformats.org/spreadsheetml/2006/main">
  <authors>
    <author>Weiß, Dietmar</author>
  </authors>
  <commentList>
    <comment ref="F7" authorId="0" shapeId="0">
      <text>
        <r>
          <rPr>
            <b/>
            <sz val="9"/>
            <color indexed="81"/>
            <rFont val="Segoe UI"/>
            <family val="2"/>
          </rPr>
          <t>Weiß:</t>
        </r>
        <r>
          <rPr>
            <sz val="9"/>
            <color indexed="81"/>
            <rFont val="Segoe UI"/>
            <family val="2"/>
          </rPr>
          <t xml:space="preserve">
Breeding pigs and piglets. HS 01301000 and HS 01033910</t>
        </r>
      </text>
    </comment>
    <comment ref="F11" authorId="0" shapeId="0">
      <text>
        <r>
          <rPr>
            <b/>
            <sz val="9"/>
            <color indexed="81"/>
            <rFont val="Segoe UI"/>
            <family val="2"/>
          </rPr>
          <t>Weiß:</t>
        </r>
        <r>
          <rPr>
            <sz val="9"/>
            <color indexed="81"/>
            <rFont val="Segoe UI"/>
            <family val="2"/>
          </rPr>
          <t xml:space="preserve">
Slughter pigs and sows from 50 kg. WA 01039211 and 01039219 </t>
        </r>
      </text>
    </comment>
    <comment ref="F15" authorId="0" shapeId="0">
      <text>
        <r>
          <rPr>
            <b/>
            <sz val="9"/>
            <color indexed="81"/>
            <rFont val="Segoe UI"/>
            <family val="2"/>
          </rPr>
          <t>Weiß:</t>
        </r>
        <r>
          <rPr>
            <sz val="9"/>
            <color indexed="81"/>
            <rFont val="Segoe UI"/>
            <family val="2"/>
          </rPr>
          <t xml:space="preserve">
Total breeding and slaughter pigs</t>
        </r>
      </text>
    </comment>
    <comment ref="F19" authorId="0" shapeId="0">
      <text>
        <r>
          <rPr>
            <b/>
            <sz val="9"/>
            <color indexed="81"/>
            <rFont val="Segoe UI"/>
            <family val="2"/>
          </rPr>
          <t>Weiß:
Breeding pigs and piglets. HS 01301000 and HS 01033910</t>
        </r>
      </text>
    </comment>
    <comment ref="F23" authorId="0" shapeId="0">
      <text>
        <r>
          <rPr>
            <b/>
            <sz val="9"/>
            <color indexed="81"/>
            <rFont val="Segoe UI"/>
            <family val="2"/>
          </rPr>
          <t xml:space="preserve">Weiß:
Slughter pigs and sows from 50 kg. WA 01039211 and 01039219 </t>
        </r>
      </text>
    </comment>
    <comment ref="F27" authorId="0" shapeId="0">
      <text>
        <r>
          <rPr>
            <b/>
            <sz val="9"/>
            <color indexed="81"/>
            <rFont val="Segoe UI"/>
            <family val="2"/>
          </rPr>
          <t>Weiß:</t>
        </r>
        <r>
          <rPr>
            <sz val="9"/>
            <color indexed="81"/>
            <rFont val="Segoe UI"/>
            <family val="2"/>
          </rPr>
          <t xml:space="preserve">
Total pigs for breeding, production and slaughter</t>
        </r>
      </text>
    </comment>
  </commentList>
</comments>
</file>

<file path=xl/comments3.xml><?xml version="1.0" encoding="utf-8"?>
<comments xmlns="http://schemas.openxmlformats.org/spreadsheetml/2006/main">
  <authors>
    <author>Weiß, Dietmar</author>
  </authors>
  <commentList>
    <comment ref="R8" authorId="0" shapeId="0">
      <text>
        <r>
          <rPr>
            <b/>
            <sz val="9"/>
            <color indexed="81"/>
            <rFont val="Segoe UI"/>
            <family val="2"/>
          </rPr>
          <t>White, Dietmar:</t>
        </r>
        <r>
          <rPr>
            <sz val="9"/>
            <color indexed="81"/>
            <rFont val="Segoe UI"/>
            <family val="2"/>
          </rPr>
          <t xml:space="preserve">
After deduction of losses in piglets and fattening.</t>
        </r>
      </text>
    </comment>
    <comment ref="T8" authorId="0" shapeId="0">
      <text>
        <r>
          <rPr>
            <b/>
            <sz val="9"/>
            <color rgb="FF000000"/>
            <rFont val="Segoe UI"/>
            <family val="2"/>
          </rPr>
          <t>White, Dietmar:</t>
        </r>
        <r>
          <rPr>
            <sz val="9"/>
            <color rgb="FF000000"/>
            <rFont val="Segoe UI"/>
            <family val="2"/>
          </rPr>
          <t xml:space="preserve">
Assumption 3% animal losses in fattening after piglet import. Source: Thuringia State Institute for Agriculture (tlllr) Guiding values for pig fattening</t>
        </r>
      </text>
    </comment>
    <comment ref="W8" authorId="0" shapeId="0">
      <text>
        <r>
          <rPr>
            <b/>
            <sz val="9"/>
            <color indexed="81"/>
            <rFont val="Segoe UI"/>
            <family val="2"/>
          </rPr>
          <t>Weiß, Dietmar:</t>
        </r>
        <r>
          <rPr>
            <sz val="9"/>
            <color indexed="81"/>
            <rFont val="Segoe UI"/>
            <family val="2"/>
          </rPr>
          <t xml:space="preserve">
Revenue price from EAA</t>
        </r>
      </text>
    </comment>
    <comment ref="S11" authorId="0" shapeId="0">
      <text>
        <r>
          <rPr>
            <b/>
            <sz val="9"/>
            <color indexed="81"/>
            <rFont val="Segoe UI"/>
            <family val="2"/>
          </rPr>
          <t>Weiß, Dietmar:</t>
        </r>
        <r>
          <rPr>
            <sz val="9"/>
            <color indexed="81"/>
            <rFont val="Segoe UI"/>
            <family val="2"/>
          </rPr>
          <t xml:space="preserve">
1 imported sow = 30 slaughter pigs/year x live weight at slaughter x slaughter pig price in live weight (lw).  </t>
        </r>
      </text>
    </comment>
    <comment ref="B14" authorId="0" shapeId="0">
      <text>
        <r>
          <rPr>
            <b/>
            <sz val="9"/>
            <color indexed="81"/>
            <rFont val="Segoe UI"/>
            <family val="2"/>
          </rPr>
          <t>White, Dietmar:</t>
        </r>
        <r>
          <rPr>
            <sz val="9"/>
            <color indexed="81"/>
            <rFont val="Segoe UI"/>
            <family val="2"/>
          </rPr>
          <t xml:space="preserve">
Live sows "domestic pigs", weighing &gt;= 160 kg, which have been pigged at least once (excl. pure-bred breeding animals) </t>
        </r>
      </text>
    </comment>
  </commentList>
</comments>
</file>

<file path=xl/comments4.xml><?xml version="1.0" encoding="utf-8"?>
<comments xmlns="http://schemas.openxmlformats.org/spreadsheetml/2006/main">
  <authors>
    <author>Weiß, Dietmar</author>
  </authors>
  <commentList>
    <comment ref="J37" authorId="0" shapeId="0">
      <text>
        <r>
          <rPr>
            <b/>
            <sz val="9"/>
            <color indexed="81"/>
            <rFont val="Segoe UI"/>
            <family val="2"/>
          </rPr>
          <t>White, Dietmar:</t>
        </r>
        <r>
          <rPr>
            <sz val="9"/>
            <color indexed="81"/>
            <rFont val="Segoe UI"/>
            <family val="2"/>
          </rPr>
          <t xml:space="preserve">
Import price appears very high= 8,12 Euro per chick</t>
        </r>
      </text>
    </comment>
    <comment ref="L55" authorId="0" shapeId="0">
      <text>
        <r>
          <rPr>
            <b/>
            <sz val="9"/>
            <color indexed="81"/>
            <rFont val="Segoe UI"/>
            <family val="2"/>
          </rPr>
          <t>White, Dietmar:</t>
        </r>
        <r>
          <rPr>
            <sz val="9"/>
            <color indexed="81"/>
            <rFont val="Segoe UI"/>
            <family val="2"/>
          </rPr>
          <t xml:space="preserve">
No import realistic?</t>
        </r>
      </text>
    </comment>
    <comment ref="L77" authorId="0" shapeId="0">
      <text>
        <r>
          <rPr>
            <b/>
            <sz val="9"/>
            <color indexed="81"/>
            <rFont val="Segoe UI"/>
            <family val="2"/>
          </rPr>
          <t>White, Dietmar:</t>
        </r>
        <r>
          <rPr>
            <sz val="9"/>
            <color indexed="81"/>
            <rFont val="Segoe UI"/>
            <family val="2"/>
          </rPr>
          <t xml:space="preserve">
No import realistic?</t>
        </r>
      </text>
    </comment>
    <comment ref="F99" authorId="0" shapeId="0">
      <text>
        <r>
          <rPr>
            <b/>
            <sz val="9"/>
            <color indexed="81"/>
            <rFont val="Segoe UI"/>
            <family val="2"/>
          </rPr>
          <t>White, Dietmar:</t>
        </r>
        <r>
          <rPr>
            <sz val="9"/>
            <color indexed="81"/>
            <rFont val="Segoe UI"/>
            <family val="2"/>
          </rPr>
          <t xml:space="preserve">
Extreme increase compared to previous year</t>
        </r>
      </text>
    </comment>
    <comment ref="L144" authorId="0" shapeId="0">
      <text>
        <r>
          <rPr>
            <b/>
            <sz val="9"/>
            <color indexed="81"/>
            <rFont val="Segoe UI"/>
            <family val="2"/>
          </rPr>
          <t>White, Dietmar:</t>
        </r>
        <r>
          <rPr>
            <sz val="9"/>
            <color indexed="81"/>
            <rFont val="Segoe UI"/>
            <family val="2"/>
          </rPr>
          <t xml:space="preserve">
Value too high</t>
        </r>
      </text>
    </comment>
    <comment ref="N144" authorId="0" shapeId="0">
      <text>
        <r>
          <rPr>
            <b/>
            <sz val="9"/>
            <color indexed="81"/>
            <rFont val="Segoe UI"/>
            <family val="2"/>
          </rPr>
          <t>White, Dietmar:</t>
        </r>
        <r>
          <rPr>
            <sz val="9"/>
            <color indexed="81"/>
            <rFont val="Segoe UI"/>
            <family val="2"/>
          </rPr>
          <t xml:space="preserve">
Value too high</t>
        </r>
      </text>
    </comment>
    <comment ref="F145" authorId="0" shapeId="0">
      <text>
        <r>
          <rPr>
            <b/>
            <sz val="9"/>
            <color indexed="81"/>
            <rFont val="Segoe UI"/>
            <family val="2"/>
          </rPr>
          <t>White, Dietmar:</t>
        </r>
        <r>
          <rPr>
            <sz val="9"/>
            <color indexed="81"/>
            <rFont val="Segoe UI"/>
            <family val="2"/>
          </rPr>
          <t xml:space="preserve">
Duplication of imports likely due to the ban on the killing of male chicks and the increase in the prices of chickens reared for laying.</t>
        </r>
      </text>
    </comment>
    <comment ref="F154" authorId="0" shapeId="0">
      <text>
        <r>
          <rPr>
            <b/>
            <sz val="9"/>
            <color indexed="81"/>
            <rFont val="Segoe UI"/>
            <family val="2"/>
          </rPr>
          <t>White, Dietmar:</t>
        </r>
        <r>
          <rPr>
            <sz val="9"/>
            <color indexed="81"/>
            <rFont val="Segoe UI"/>
            <family val="2"/>
          </rPr>
          <t xml:space="preserve">
Record level, strong increase</t>
        </r>
      </text>
    </comment>
    <comment ref="L155" authorId="0" shapeId="0">
      <text>
        <r>
          <rPr>
            <b/>
            <sz val="9"/>
            <color indexed="81"/>
            <rFont val="Segoe UI"/>
            <family val="2"/>
          </rPr>
          <t>White, Dietmar:</t>
        </r>
        <r>
          <rPr>
            <sz val="9"/>
            <color indexed="81"/>
            <rFont val="Segoe UI"/>
            <family val="2"/>
          </rPr>
          <t xml:space="preserve">
Value too high!</t>
        </r>
      </text>
    </comment>
    <comment ref="N155" authorId="0" shapeId="0">
      <text>
        <r>
          <rPr>
            <b/>
            <sz val="9"/>
            <color indexed="81"/>
            <rFont val="Segoe UI"/>
            <family val="2"/>
          </rPr>
          <t>White, Dietmar:</t>
        </r>
        <r>
          <rPr>
            <sz val="9"/>
            <color indexed="81"/>
            <rFont val="Segoe UI"/>
            <family val="2"/>
          </rPr>
          <t xml:space="preserve">
Value too high</t>
        </r>
      </text>
    </comment>
  </commentList>
</comments>
</file>

<file path=xl/comments5.xml><?xml version="1.0" encoding="utf-8"?>
<comments xmlns="http://schemas.openxmlformats.org/spreadsheetml/2006/main">
  <authors>
    <author>Weiß, Dietmar</author>
  </authors>
  <commentList>
    <comment ref="F23" authorId="0" shapeId="0">
      <text>
        <r>
          <rPr>
            <b/>
            <sz val="9"/>
            <color indexed="81"/>
            <rFont val="Segoe UI"/>
            <family val="2"/>
          </rPr>
          <t>White, Dietmar:</t>
        </r>
        <r>
          <rPr>
            <sz val="9"/>
            <color indexed="81"/>
            <rFont val="Segoe UI"/>
            <family val="2"/>
          </rPr>
          <t xml:space="preserve">
The number of imports of calves recorded has fallen sharply over the years, resulting in large price fluctuations due to the small population.</t>
        </r>
      </text>
    </comment>
  </commentList>
</comments>
</file>

<file path=xl/sharedStrings.xml><?xml version="1.0" encoding="utf-8"?>
<sst xmlns="http://schemas.openxmlformats.org/spreadsheetml/2006/main" count="1066" uniqueCount="824">
  <si>
    <t>Cronos</t>
  </si>
  <si>
    <t>ANIMALS</t>
  </si>
  <si>
    <t>ANIMALS</t>
  </si>
  <si>
    <t>11.1</t>
  </si>
  <si>
    <t>Cattle total</t>
  </si>
  <si>
    <t>Total bovine animals</t>
  </si>
  <si>
    <t>Prices in Euro/t</t>
  </si>
  <si>
    <t>11.1/1</t>
  </si>
  <si>
    <t>11110</t>
  </si>
  <si>
    <t>Cattle</t>
  </si>
  <si>
    <t>Large bovine animals</t>
  </si>
  <si>
    <t>EAA</t>
  </si>
  <si>
    <t>Import price</t>
  </si>
  <si>
    <t>The difference abs.</t>
  </si>
  <si>
    <t>EAA at import price in %</t>
  </si>
  <si>
    <t>Export price</t>
  </si>
  <si>
    <t>The difference abs.</t>
  </si>
  <si>
    <t>EAA at export price in %</t>
  </si>
  <si>
    <t>11.1/2</t>
  </si>
  <si>
    <t>11120</t>
  </si>
  <si>
    <t>Calves</t>
  </si>
  <si>
    <t>calves</t>
  </si>
  <si>
    <t>EAA</t>
  </si>
  <si>
    <t>Import price</t>
  </si>
  <si>
    <t>The difference abs.</t>
  </si>
  <si>
    <t>EAA at import price in %</t>
  </si>
  <si>
    <t>Export price</t>
  </si>
  <si>
    <t>The difference abs.</t>
  </si>
  <si>
    <t>EAA at export price in %</t>
  </si>
  <si>
    <t>11.2</t>
  </si>
  <si>
    <t>Pigs</t>
  </si>
  <si>
    <t>pigs</t>
  </si>
  <si>
    <t>EAA</t>
  </si>
  <si>
    <t>Import price (breeding + use)</t>
  </si>
  <si>
    <t>The difference abs.</t>
  </si>
  <si>
    <t>EAA at import price in %</t>
  </si>
  <si>
    <t>Import price (slaughter animals)</t>
  </si>
  <si>
    <t>The difference abs.</t>
  </si>
  <si>
    <t>EAA at import price in %</t>
  </si>
  <si>
    <t>Import price (all pigs)</t>
  </si>
  <si>
    <t>The difference abs.</t>
  </si>
  <si>
    <t>EAA at import price in %</t>
  </si>
  <si>
    <t>Export price (Breeding+Use)</t>
  </si>
  <si>
    <t>The difference abs.</t>
  </si>
  <si>
    <t>EAA at export price in %</t>
  </si>
  <si>
    <t>Export price (slaughter animals)</t>
  </si>
  <si>
    <t>The difference abs.</t>
  </si>
  <si>
    <t>EAA at export price in %</t>
  </si>
  <si>
    <t>Export price (all pigs)</t>
  </si>
  <si>
    <t>The difference abs.</t>
  </si>
  <si>
    <t>EAA at export price in %</t>
  </si>
  <si>
    <t>11.3</t>
  </si>
  <si>
    <t>Equines</t>
  </si>
  <si>
    <t>solipeds</t>
  </si>
  <si>
    <t>EAA</t>
  </si>
  <si>
    <t>Import price</t>
  </si>
  <si>
    <t>The difference abs.</t>
  </si>
  <si>
    <t>EAA at import price in %</t>
  </si>
  <si>
    <t>Export price</t>
  </si>
  <si>
    <t>The difference abs.</t>
  </si>
  <si>
    <t>EAA at export price in %</t>
  </si>
  <si>
    <t>11.4</t>
  </si>
  <si>
    <t>Sheep and goats</t>
  </si>
  <si>
    <r>
      <t>Sheep and goats</t>
    </r>
    <r>
      <rPr>
        <vertAlign val="superscript"/>
        <sz val="8"/>
        <color theme="1"/>
        <rFont val="Arial"/>
        <family val="2"/>
      </rPr>
      <t>1)</t>
    </r>
  </si>
  <si>
    <t>EAA</t>
  </si>
  <si>
    <t>Import price</t>
  </si>
  <si>
    <t>The difference abs.</t>
  </si>
  <si>
    <t>EAA at import price in %</t>
  </si>
  <si>
    <t>Export price</t>
  </si>
  <si>
    <t>The difference abs.</t>
  </si>
  <si>
    <t>EAA at export price in %</t>
  </si>
  <si>
    <t>1) Breeding animals and percentage of lambs from calculation slaughter minus import (import agriculture)</t>
  </si>
  <si>
    <t>11.5</t>
  </si>
  <si>
    <t>Poultry</t>
  </si>
  <si>
    <t>Total poultry</t>
  </si>
  <si>
    <t>EAA</t>
  </si>
  <si>
    <t>Import price</t>
  </si>
  <si>
    <t>The difference abs.</t>
  </si>
  <si>
    <t>EAA at import price in %</t>
  </si>
  <si>
    <t>Export price</t>
  </si>
  <si>
    <t>The difference abs.</t>
  </si>
  <si>
    <t>EAA at export price in %</t>
  </si>
  <si>
    <t>11.5/1+2</t>
  </si>
  <si>
    <t>11510 + 11520</t>
  </si>
  <si>
    <t>chickens</t>
  </si>
  <si>
    <t>EAA</t>
  </si>
  <si>
    <t>Import price</t>
  </si>
  <si>
    <t>The difference abs.</t>
  </si>
  <si>
    <t>Difference in % to EAA</t>
  </si>
  <si>
    <t>Export price</t>
  </si>
  <si>
    <t>The difference abs.</t>
  </si>
  <si>
    <t>Difference in % on EAA</t>
  </si>
  <si>
    <t>11.5/3</t>
  </si>
  <si>
    <t>11530</t>
  </si>
  <si>
    <t>Turkeys</t>
  </si>
  <si>
    <t>EAA</t>
  </si>
  <si>
    <t>Import price</t>
  </si>
  <si>
    <t>The difference abs.</t>
  </si>
  <si>
    <t>Difference in % to EAA</t>
  </si>
  <si>
    <t>Export price</t>
  </si>
  <si>
    <t>The difference abs.</t>
  </si>
  <si>
    <t>Difference in % on EAA</t>
  </si>
  <si>
    <t>11.5/4</t>
  </si>
  <si>
    <t>11540</t>
  </si>
  <si>
    <t>goose</t>
  </si>
  <si>
    <t>EAA</t>
  </si>
  <si>
    <t>Import price</t>
  </si>
  <si>
    <t>The difference abs.</t>
  </si>
  <si>
    <t>Difference in % to EAA</t>
  </si>
  <si>
    <t>Export price</t>
  </si>
  <si>
    <t>The difference abs.</t>
  </si>
  <si>
    <t>Difference in % on EAA</t>
  </si>
  <si>
    <t>11.5/5</t>
  </si>
  <si>
    <t>11550</t>
  </si>
  <si>
    <t>ducks</t>
  </si>
  <si>
    <t>EAA</t>
  </si>
  <si>
    <t>Import price</t>
  </si>
  <si>
    <t>The difference abs.</t>
  </si>
  <si>
    <t>Difference in % to EAA</t>
  </si>
  <si>
    <t>Export price</t>
  </si>
  <si>
    <t>The difference abs.</t>
  </si>
  <si>
    <t>Difference in % on EAA</t>
  </si>
  <si>
    <t>Cronos</t>
  </si>
  <si>
    <t>ANIMALS</t>
  </si>
  <si>
    <t>ANIMALS</t>
  </si>
  <si>
    <t>Prices in Euro/t</t>
  </si>
  <si>
    <t>11.2</t>
  </si>
  <si>
    <t>Pigs</t>
  </si>
  <si>
    <t>pigs</t>
  </si>
  <si>
    <t>EAA at import price in %</t>
  </si>
  <si>
    <t>Import price (slaughter animals)</t>
  </si>
  <si>
    <t>EAA at import price in %</t>
  </si>
  <si>
    <t>Import price (all pigs)</t>
  </si>
  <si>
    <t>EAA at import price in %</t>
  </si>
  <si>
    <t>EAA at export price in %</t>
  </si>
  <si>
    <t>Export price (slaughter animals)</t>
  </si>
  <si>
    <t>EAA at export price in %</t>
  </si>
  <si>
    <t>Export price (all pigs)</t>
  </si>
  <si>
    <t>EAA at export price in %</t>
  </si>
  <si>
    <t>Export and import (foreign trade): Germany, years,
List of goods (8-pc)</t>
  </si>
  <si>
    <t>trade</t>
  </si>
  <si>
    <t>Germany</t>
  </si>
  <si>
    <t>List of goods Foreign trade statistics (8-digit)</t>
  </si>
  <si>
    <t>Export price</t>
  </si>
  <si>
    <t>Import price</t>
  </si>
  <si>
    <t>Slaughtered fattening pigs per gilt/year</t>
  </si>
  <si>
    <t>number</t>
  </si>
  <si>
    <t>t</t>
  </si>
  <si>
    <t>EUR 1 000</t>
  </si>
  <si>
    <t>number</t>
  </si>
  <si>
    <t>t</t>
  </si>
  <si>
    <t>EUR 1 000</t>
  </si>
  <si>
    <t>Euro / t</t>
  </si>
  <si>
    <t>Euro / t</t>
  </si>
  <si>
    <t>2011</t>
  </si>
  <si>
    <t>WA01031000</t>
  </si>
  <si>
    <t>Pigs as purebred breeding animals St</t>
  </si>
  <si>
    <t>WA01039110</t>
  </si>
  <si>
    <t>Domestic pigs, live, up to 50kg pcs</t>
  </si>
  <si>
    <t>WA01039190</t>
  </si>
  <si>
    <t>Pigs, live, up to 50kg pcs</t>
  </si>
  <si>
    <t>-</t>
  </si>
  <si>
    <t>-</t>
  </si>
  <si>
    <t>-</t>
  </si>
  <si>
    <t>-</t>
  </si>
  <si>
    <t>-</t>
  </si>
  <si>
    <t>-</t>
  </si>
  <si>
    <t>WA01039211</t>
  </si>
  <si>
    <t>Sows, live, 160kg &amp; more St</t>
  </si>
  <si>
    <t>WA01039219</t>
  </si>
  <si>
    <t>Domestic pigs, and., live, 50kg &amp; more St</t>
  </si>
  <si>
    <t>WA01039290</t>
  </si>
  <si>
    <t>Pigs, live, 50kg &amp; more St</t>
  </si>
  <si>
    <t>-</t>
  </si>
  <si>
    <t>-</t>
  </si>
  <si>
    <t>-</t>
  </si>
  <si>
    <t>-</t>
  </si>
  <si>
    <t>-</t>
  </si>
  <si>
    <t>-</t>
  </si>
  <si>
    <t>All pigs</t>
  </si>
  <si>
    <t>2012</t>
  </si>
  <si>
    <t>WA01031000</t>
  </si>
  <si>
    <t>Pigs as purebred breeding animals St</t>
  </si>
  <si>
    <t>WA01039110</t>
  </si>
  <si>
    <t>Domestic pigs, live, up to 50kg pcs</t>
  </si>
  <si>
    <t>WA01039190</t>
  </si>
  <si>
    <t>Pigs, live, up to 50kg pcs</t>
  </si>
  <si>
    <t>-</t>
  </si>
  <si>
    <t>-</t>
  </si>
  <si>
    <t>-</t>
  </si>
  <si>
    <t>-</t>
  </si>
  <si>
    <t>-</t>
  </si>
  <si>
    <t>-</t>
  </si>
  <si>
    <t>WA01039211</t>
  </si>
  <si>
    <t>Sows, live, 160kg &amp; more St</t>
  </si>
  <si>
    <t>WA01039219</t>
  </si>
  <si>
    <t>Domestic pigs, and., live, 50kg &amp; more St</t>
  </si>
  <si>
    <t>WA01039290</t>
  </si>
  <si>
    <t>Pigs, live, 50kg &amp; more St</t>
  </si>
  <si>
    <t>-</t>
  </si>
  <si>
    <t>-</t>
  </si>
  <si>
    <t>-</t>
  </si>
  <si>
    <t>All pigs</t>
  </si>
  <si>
    <t>2013</t>
  </si>
  <si>
    <t>WA01031000</t>
  </si>
  <si>
    <t>Pigs as purebred breeding animals St</t>
  </si>
  <si>
    <t>WA01039110</t>
  </si>
  <si>
    <t>Domestic pigs, live, up to 50kg pcs</t>
  </si>
  <si>
    <t>WA01039190</t>
  </si>
  <si>
    <t>Pigs, live, up to 50kg pcs</t>
  </si>
  <si>
    <t>-</t>
  </si>
  <si>
    <t>-</t>
  </si>
  <si>
    <t>-</t>
  </si>
  <si>
    <t>-</t>
  </si>
  <si>
    <t>-</t>
  </si>
  <si>
    <t>-</t>
  </si>
  <si>
    <t>WA01039211</t>
  </si>
  <si>
    <t>Sows, live, 160kg &amp; more St</t>
  </si>
  <si>
    <t>-</t>
  </si>
  <si>
    <t>-</t>
  </si>
  <si>
    <t>-</t>
  </si>
  <si>
    <t>WA01039219</t>
  </si>
  <si>
    <t>Domestic pigs, and., live, 50kg &amp; more St</t>
  </si>
  <si>
    <t>WA01039290</t>
  </si>
  <si>
    <t>Pigs, live, 50kg &amp; more St</t>
  </si>
  <si>
    <t>-</t>
  </si>
  <si>
    <t>-</t>
  </si>
  <si>
    <t>-</t>
  </si>
  <si>
    <t>-</t>
  </si>
  <si>
    <t>-</t>
  </si>
  <si>
    <t>-</t>
  </si>
  <si>
    <t>All pigs</t>
  </si>
  <si>
    <t>2014</t>
  </si>
  <si>
    <t>WA01031000</t>
  </si>
  <si>
    <t>Pigs as purebred breeding animals St</t>
  </si>
  <si>
    <t>WA01039110</t>
  </si>
  <si>
    <t>Domestic pigs, live, up to 50kg pcs</t>
  </si>
  <si>
    <t>WA01039190</t>
  </si>
  <si>
    <t>Pigs, live, up to 50kg pcs</t>
  </si>
  <si>
    <t>-</t>
  </si>
  <si>
    <t>-</t>
  </si>
  <si>
    <t>-</t>
  </si>
  <si>
    <t>-</t>
  </si>
  <si>
    <t>-</t>
  </si>
  <si>
    <t>-</t>
  </si>
  <si>
    <t>WA01039211</t>
  </si>
  <si>
    <t>Sows, live, 160kg &amp; more St</t>
  </si>
  <si>
    <t>-</t>
  </si>
  <si>
    <t>-</t>
  </si>
  <si>
    <t>-</t>
  </si>
  <si>
    <t>WA01039219</t>
  </si>
  <si>
    <t>Domestic pigs, and., live, 50kg &amp; more St</t>
  </si>
  <si>
    <t>WA01039290</t>
  </si>
  <si>
    <t>Pigs, live, 50kg &amp; more St</t>
  </si>
  <si>
    <t>-</t>
  </si>
  <si>
    <t>-</t>
  </si>
  <si>
    <t>-</t>
  </si>
  <si>
    <t>-</t>
  </si>
  <si>
    <t>-</t>
  </si>
  <si>
    <t>-</t>
  </si>
  <si>
    <t>All pigs</t>
  </si>
  <si>
    <t>2015</t>
  </si>
  <si>
    <t>WA01031000</t>
  </si>
  <si>
    <t>Pigs as purebred breeding animals St</t>
  </si>
  <si>
    <t>WA01039110</t>
  </si>
  <si>
    <t>Domestic pigs, live, up to 50kg pcs</t>
  </si>
  <si>
    <t>WA01039190</t>
  </si>
  <si>
    <t>Pigs, live, up to 50kg pcs</t>
  </si>
  <si>
    <t>-</t>
  </si>
  <si>
    <t>-</t>
  </si>
  <si>
    <t>-</t>
  </si>
  <si>
    <t>-</t>
  </si>
  <si>
    <t>-</t>
  </si>
  <si>
    <t>-</t>
  </si>
  <si>
    <t>WA01039211</t>
  </si>
  <si>
    <t>Sows, live, 160kg &amp; more St</t>
  </si>
  <si>
    <t>-</t>
  </si>
  <si>
    <t>-</t>
  </si>
  <si>
    <t>-</t>
  </si>
  <si>
    <t>WA01039219</t>
  </si>
  <si>
    <t>Domestic pigs, and., live, 50kg &amp; more St</t>
  </si>
  <si>
    <t>WA01039290</t>
  </si>
  <si>
    <t>Pigs, live, 50kg &amp; more St</t>
  </si>
  <si>
    <t>-</t>
  </si>
  <si>
    <t>-</t>
  </si>
  <si>
    <t>-</t>
  </si>
  <si>
    <t>-</t>
  </si>
  <si>
    <t>-</t>
  </si>
  <si>
    <t>-</t>
  </si>
  <si>
    <t>All pigs</t>
  </si>
  <si>
    <t>2016</t>
  </si>
  <si>
    <t>WA01031000</t>
  </si>
  <si>
    <t>Pigs as purebred breeding animals St</t>
  </si>
  <si>
    <t>WA01039110</t>
  </si>
  <si>
    <t>Domestic pigs, live, up to 50kg pcs</t>
  </si>
  <si>
    <t>WA01039190</t>
  </si>
  <si>
    <t>Pigs, live, up to 50kg pcs</t>
  </si>
  <si>
    <t>-</t>
  </si>
  <si>
    <t>-</t>
  </si>
  <si>
    <t>-</t>
  </si>
  <si>
    <t>-</t>
  </si>
  <si>
    <t>-</t>
  </si>
  <si>
    <t>-</t>
  </si>
  <si>
    <t>WA01039211</t>
  </si>
  <si>
    <t>Sows, live, 160kg &amp; more St</t>
  </si>
  <si>
    <t>-</t>
  </si>
  <si>
    <t>-</t>
  </si>
  <si>
    <t>-</t>
  </si>
  <si>
    <t>WA01039219</t>
  </si>
  <si>
    <t>Domestic pigs, and., live, 50kg &amp; more St</t>
  </si>
  <si>
    <t>WA01039290</t>
  </si>
  <si>
    <t>Pigs, live, 50kg &amp; more St</t>
  </si>
  <si>
    <t>-</t>
  </si>
  <si>
    <t>-</t>
  </si>
  <si>
    <t>-</t>
  </si>
  <si>
    <t>-</t>
  </si>
  <si>
    <t>-</t>
  </si>
  <si>
    <t>-</t>
  </si>
  <si>
    <t>All pigs</t>
  </si>
  <si>
    <t>2017</t>
  </si>
  <si>
    <t>WA01031000</t>
  </si>
  <si>
    <t>Pigs as purebred breeding animals St</t>
  </si>
  <si>
    <t>WA01039110</t>
  </si>
  <si>
    <t>Domestic pigs, live, up to 50kg pcs</t>
  </si>
  <si>
    <t>WA01039190</t>
  </si>
  <si>
    <t>Pigs, live, up to 50kg pcs</t>
  </si>
  <si>
    <t>-</t>
  </si>
  <si>
    <t>-</t>
  </si>
  <si>
    <t>-</t>
  </si>
  <si>
    <t>-</t>
  </si>
  <si>
    <t>-</t>
  </si>
  <si>
    <t>-</t>
  </si>
  <si>
    <t>WA01039211</t>
  </si>
  <si>
    <t>Sows, live, 160kg &amp; more St</t>
  </si>
  <si>
    <t>WA01039219</t>
  </si>
  <si>
    <t>Domestic pigs, and., live, 50kg &amp; more St</t>
  </si>
  <si>
    <t>WA01039290</t>
  </si>
  <si>
    <t>Pigs, live, 50kg &amp; more St</t>
  </si>
  <si>
    <t>-</t>
  </si>
  <si>
    <t>-</t>
  </si>
  <si>
    <t>-</t>
  </si>
  <si>
    <t>-</t>
  </si>
  <si>
    <t>-</t>
  </si>
  <si>
    <t>-</t>
  </si>
  <si>
    <t>All pigs</t>
  </si>
  <si>
    <t>2018</t>
  </si>
  <si>
    <t>WA01031000</t>
  </si>
  <si>
    <t>Pigs as purebred breeding animals St</t>
  </si>
  <si>
    <t>WA01039110</t>
  </si>
  <si>
    <t>Domestic pigs, live, up to 50kg pcs</t>
  </si>
  <si>
    <t>WA01039190</t>
  </si>
  <si>
    <t>Pigs, live, up to 50kg pcs</t>
  </si>
  <si>
    <t>-</t>
  </si>
  <si>
    <t>-</t>
  </si>
  <si>
    <t>-</t>
  </si>
  <si>
    <t>-</t>
  </si>
  <si>
    <t>-</t>
  </si>
  <si>
    <t>-</t>
  </si>
  <si>
    <t>WA01039211</t>
  </si>
  <si>
    <t>Sows, live, 160kg &amp; more St</t>
  </si>
  <si>
    <t>-</t>
  </si>
  <si>
    <t>-</t>
  </si>
  <si>
    <t>-</t>
  </si>
  <si>
    <t>WA01039219</t>
  </si>
  <si>
    <t>Domestic pigs, and., live, 50kg &amp; more St</t>
  </si>
  <si>
    <t>WA01039290</t>
  </si>
  <si>
    <t>Pigs, live, 50kg &amp; more St</t>
  </si>
  <si>
    <t>-</t>
  </si>
  <si>
    <t>-</t>
  </si>
  <si>
    <t>-</t>
  </si>
  <si>
    <t>-</t>
  </si>
  <si>
    <t>-</t>
  </si>
  <si>
    <t>-</t>
  </si>
  <si>
    <t>All pigs</t>
  </si>
  <si>
    <t>2019</t>
  </si>
  <si>
    <t>WA01031000</t>
  </si>
  <si>
    <t>Pigs as purebred breeding animals St</t>
  </si>
  <si>
    <t>WA01039110</t>
  </si>
  <si>
    <t>Domestic pigs, live, up to 50kg pcs</t>
  </si>
  <si>
    <t>WA01039190</t>
  </si>
  <si>
    <t>Pigs, live, up to 50kg pcs</t>
  </si>
  <si>
    <t>-</t>
  </si>
  <si>
    <t>-</t>
  </si>
  <si>
    <t>-</t>
  </si>
  <si>
    <t>-</t>
  </si>
  <si>
    <t>-</t>
  </si>
  <si>
    <t>-</t>
  </si>
  <si>
    <t>WA01039211</t>
  </si>
  <si>
    <t>Sows, live, 160kg &amp; more St</t>
  </si>
  <si>
    <t>WA01039219</t>
  </si>
  <si>
    <t>Domestic pigs, and., live, 50kg &amp; more St</t>
  </si>
  <si>
    <t>WA01039290</t>
  </si>
  <si>
    <t>Pigs, live, 50kg &amp; more St</t>
  </si>
  <si>
    <t>-</t>
  </si>
  <si>
    <t>-</t>
  </si>
  <si>
    <t>-</t>
  </si>
  <si>
    <t>-</t>
  </si>
  <si>
    <t>-</t>
  </si>
  <si>
    <t>-</t>
  </si>
  <si>
    <t>All pigs</t>
  </si>
  <si>
    <t>2020</t>
  </si>
  <si>
    <t>WA01031000</t>
  </si>
  <si>
    <t>Pigs as purebred breeding animals St</t>
  </si>
  <si>
    <t>WA01039110</t>
  </si>
  <si>
    <t>Domestic pigs, live, up to 50kg pcs</t>
  </si>
  <si>
    <t>WA01039190</t>
  </si>
  <si>
    <t>Pigs, live, up to 50kg pcs</t>
  </si>
  <si>
    <t>-</t>
  </si>
  <si>
    <t>-</t>
  </si>
  <si>
    <t>-</t>
  </si>
  <si>
    <t>-</t>
  </si>
  <si>
    <t>-</t>
  </si>
  <si>
    <t>-</t>
  </si>
  <si>
    <t>WA01039211</t>
  </si>
  <si>
    <t>Sows, live, 160kg &amp; more St</t>
  </si>
  <si>
    <t>WA01039219</t>
  </si>
  <si>
    <t>Domestic pigs, and., live, 50kg &amp; more St</t>
  </si>
  <si>
    <t>WA01039290</t>
  </si>
  <si>
    <t>Pigs, live, 50kg &amp; more St</t>
  </si>
  <si>
    <t>-</t>
  </si>
  <si>
    <t>-</t>
  </si>
  <si>
    <t>-</t>
  </si>
  <si>
    <t>-</t>
  </si>
  <si>
    <t>-</t>
  </si>
  <si>
    <t>-</t>
  </si>
  <si>
    <t>All pigs</t>
  </si>
  <si>
    <t>2021</t>
  </si>
  <si>
    <t>WA01031000</t>
  </si>
  <si>
    <t>Pigs as purebred breeding animals St</t>
  </si>
  <si>
    <t>WA01039110</t>
  </si>
  <si>
    <t>Domestic pigs, live, up to 50kg pcs</t>
  </si>
  <si>
    <t>WA01039190</t>
  </si>
  <si>
    <t>Pigs, live, up to 50kg pcs</t>
  </si>
  <si>
    <t>-</t>
  </si>
  <si>
    <t>-</t>
  </si>
  <si>
    <t>-</t>
  </si>
  <si>
    <t>-</t>
  </si>
  <si>
    <t>-</t>
  </si>
  <si>
    <t>-</t>
  </si>
  <si>
    <t>WA01039211</t>
  </si>
  <si>
    <t>Sows, live, 160kg &amp; more St</t>
  </si>
  <si>
    <t>WA01039219</t>
  </si>
  <si>
    <t>Domestic pigs, and., live, 50kg &amp; more St</t>
  </si>
  <si>
    <t>WA01039290</t>
  </si>
  <si>
    <t>Pigs, live, 50kg &amp; more St</t>
  </si>
  <si>
    <t>-</t>
  </si>
  <si>
    <t>-</t>
  </si>
  <si>
    <t>-</t>
  </si>
  <si>
    <t>-</t>
  </si>
  <si>
    <t>-</t>
  </si>
  <si>
    <t>-</t>
  </si>
  <si>
    <t>All pigs</t>
  </si>
  <si>
    <t>2022</t>
  </si>
  <si>
    <t>WA01031000</t>
  </si>
  <si>
    <t>Pigs as purebred breeding animals St</t>
  </si>
  <si>
    <t>WA01039110</t>
  </si>
  <si>
    <t>Domestic pigs, live, up to 50kg pcs</t>
  </si>
  <si>
    <t>WA01039190</t>
  </si>
  <si>
    <t>Pigs, live, up to 50kg pcs</t>
  </si>
  <si>
    <t>-</t>
  </si>
  <si>
    <t>-</t>
  </si>
  <si>
    <t>-</t>
  </si>
  <si>
    <t>-</t>
  </si>
  <si>
    <t>-</t>
  </si>
  <si>
    <t>-</t>
  </si>
  <si>
    <t>WA01039211</t>
  </si>
  <si>
    <t>Sows, live, 160kg &amp; more St</t>
  </si>
  <si>
    <t>WA01039219</t>
  </si>
  <si>
    <t>Domestic pigs, and., live, 50kg &amp; more St</t>
  </si>
  <si>
    <t>WA01039290</t>
  </si>
  <si>
    <t>Pigs, live, 50kg &amp; more St</t>
  </si>
  <si>
    <t>-</t>
  </si>
  <si>
    <t>-</t>
  </si>
  <si>
    <t>-</t>
  </si>
  <si>
    <t>All pigs</t>
  </si>
  <si>
    <t>2023</t>
  </si>
  <si>
    <t>WA01031000</t>
  </si>
  <si>
    <t>Pigs as purebred breeding animals St</t>
  </si>
  <si>
    <t>WA01039110</t>
  </si>
  <si>
    <t>Domestic pigs, live, up to 50kg pcs</t>
  </si>
  <si>
    <t>WA01039190</t>
  </si>
  <si>
    <t>Pigs, live, up to 50kg pcs</t>
  </si>
  <si>
    <t>-</t>
  </si>
  <si>
    <t>-</t>
  </si>
  <si>
    <t>-</t>
  </si>
  <si>
    <t>-</t>
  </si>
  <si>
    <t>-</t>
  </si>
  <si>
    <t>-</t>
  </si>
  <si>
    <t>WA01039211</t>
  </si>
  <si>
    <t>Sows, live, 160kg &amp; more St</t>
  </si>
  <si>
    <t>-</t>
  </si>
  <si>
    <t>-</t>
  </si>
  <si>
    <t>-</t>
  </si>
  <si>
    <t>WA01039219</t>
  </si>
  <si>
    <t>Domestic pigs, and., live, 50kg &amp; more St</t>
  </si>
  <si>
    <t>WA01039290</t>
  </si>
  <si>
    <t>Pigs, live, 50kg &amp; more St</t>
  </si>
  <si>
    <t>-</t>
  </si>
  <si>
    <t>-</t>
  </si>
  <si>
    <t>-</t>
  </si>
  <si>
    <t>-</t>
  </si>
  <si>
    <t>-</t>
  </si>
  <si>
    <t>-</t>
  </si>
  <si>
    <t>______________</t>
  </si>
  <si>
    <t>All pigs</t>
  </si>
  <si>
    <t>Prices in Euro/t</t>
  </si>
  <si>
    <t>11.5</t>
  </si>
  <si>
    <t>Poultry</t>
  </si>
  <si>
    <t>Total poultry</t>
  </si>
  <si>
    <t>Import price</t>
  </si>
  <si>
    <t>Export price</t>
  </si>
  <si>
    <t>11.5/1+2</t>
  </si>
  <si>
    <t>11510 + 11520</t>
  </si>
  <si>
    <t>chickens</t>
  </si>
  <si>
    <t>EAA</t>
  </si>
  <si>
    <t>Import price</t>
  </si>
  <si>
    <t>Export price</t>
  </si>
  <si>
    <t>11.5/3</t>
  </si>
  <si>
    <t>11530</t>
  </si>
  <si>
    <t>Turkeys</t>
  </si>
  <si>
    <t>EAA</t>
  </si>
  <si>
    <t>Import price</t>
  </si>
  <si>
    <t>Export price</t>
  </si>
  <si>
    <t>Chicken soup</t>
  </si>
  <si>
    <t xml:space="preserve">Turkeys </t>
  </si>
  <si>
    <t>Trade balance Euro</t>
  </si>
  <si>
    <t>List of goods Foreign trade statistics (8pcs)</t>
  </si>
  <si>
    <t>Export: Special unit of measurement</t>
  </si>
  <si>
    <t>Export: weight</t>
  </si>
  <si>
    <t>Export: value</t>
  </si>
  <si>
    <t>Importation: Special unit of measurement</t>
  </si>
  <si>
    <t>Importation: weight</t>
  </si>
  <si>
    <t>Importation: value</t>
  </si>
  <si>
    <t>Export price</t>
  </si>
  <si>
    <t>Import price</t>
  </si>
  <si>
    <t>Factor calculation import animal = x production animals</t>
  </si>
  <si>
    <t>Laying hens / broilers by import</t>
  </si>
  <si>
    <r>
      <rPr>
        <sz val="10"/>
        <rFont val="Calibri"/>
        <family val="2"/>
      </rPr>
      <t xml:space="preserve">Ø </t>
    </r>
    <r>
      <rPr>
        <sz val="10"/>
        <rFont val="Arial"/>
        <family val="2"/>
      </rPr>
      <t>Production</t>
    </r>
    <r>
      <rPr>
        <sz val="10"/>
        <color theme="1"/>
        <rFont val="Arial"/>
        <family val="2"/>
      </rPr>
      <t xml:space="preserve"> </t>
    </r>
    <r>
      <rPr>
        <b/>
        <sz val="11"/>
        <color rgb="FFFFC000"/>
        <rFont val="Arial"/>
        <family val="2"/>
      </rPr>
      <t>Eggs</t>
    </r>
    <r>
      <rPr>
        <sz val="11"/>
        <color rgb="FFFFC000"/>
        <rFont val="Arial"/>
        <family val="2"/>
      </rPr>
      <t>r</t>
    </r>
    <r>
      <rPr>
        <sz val="10"/>
        <rFont val="Arial"/>
        <family val="2"/>
      </rPr>
      <t xml:space="preserve">/year Meat SG/animal in kg </t>
    </r>
    <r>
      <rPr>
        <vertAlign val="superscript"/>
        <sz val="10"/>
        <rFont val="Arial"/>
        <family val="2"/>
      </rPr>
      <t>1)</t>
    </r>
  </si>
  <si>
    <r>
      <t xml:space="preserve">Price </t>
    </r>
    <r>
      <rPr>
        <sz val="10"/>
        <color rgb="FFFFC000"/>
        <rFont val="Arial"/>
        <family val="2"/>
      </rPr>
      <t>Eggs</t>
    </r>
    <r>
      <rPr>
        <sz val="10"/>
        <rFont val="Arial"/>
        <family val="2"/>
      </rPr>
      <t xml:space="preserve"> / Meat per t </t>
    </r>
    <r>
      <rPr>
        <vertAlign val="superscript"/>
        <sz val="10"/>
        <rFont val="Arial"/>
        <family val="2"/>
      </rPr>
      <t>3)</t>
    </r>
  </si>
  <si>
    <r>
      <t xml:space="preserve">Slaughter weight soup chicken kg/animal </t>
    </r>
    <r>
      <rPr>
        <vertAlign val="superscript"/>
        <sz val="10"/>
        <rFont val="Arial"/>
        <family val="2"/>
      </rPr>
      <t>1)</t>
    </r>
  </si>
  <si>
    <t>Production of soup meat in t</t>
  </si>
  <si>
    <r>
      <t xml:space="preserve">Meat price laying hen per t (soup chicken) </t>
    </r>
    <r>
      <rPr>
        <vertAlign val="superscript"/>
        <sz val="10"/>
        <rFont val="Arial"/>
        <family val="2"/>
      </rPr>
      <t>3)</t>
    </r>
  </si>
  <si>
    <t>Value due to imports in million euros</t>
  </si>
  <si>
    <t>Production value EAA million Euro</t>
  </si>
  <si>
    <t>Production value EAA million Euro</t>
  </si>
  <si>
    <t>Share of production value in %</t>
  </si>
  <si>
    <t>Import weight/g</t>
  </si>
  <si>
    <t>H-balance piece</t>
  </si>
  <si>
    <t>H-balance sheet Euro/t</t>
  </si>
  <si>
    <t>Ancillary calculation</t>
  </si>
  <si>
    <t>number</t>
  </si>
  <si>
    <t>t</t>
  </si>
  <si>
    <t>EUR 1 000</t>
  </si>
  <si>
    <t>number</t>
  </si>
  <si>
    <t>t</t>
  </si>
  <si>
    <t>EUR 1 000</t>
  </si>
  <si>
    <t>Euro / t</t>
  </si>
  <si>
    <t>Euro / t</t>
  </si>
  <si>
    <t>2012</t>
  </si>
  <si>
    <t>meat</t>
  </si>
  <si>
    <t>eggs</t>
  </si>
  <si>
    <t>Together</t>
  </si>
  <si>
    <t xml:space="preserve">eggs </t>
  </si>
  <si>
    <t>meat</t>
  </si>
  <si>
    <t>WA01051111</t>
  </si>
  <si>
    <t>Chicken for fattening and soup</t>
  </si>
  <si>
    <t>WA01051119</t>
  </si>
  <si>
    <t>WA01051191</t>
  </si>
  <si>
    <t>WA01051199</t>
  </si>
  <si>
    <t>WA01051200</t>
  </si>
  <si>
    <t>Turkeys, live, up to 185g St</t>
  </si>
  <si>
    <t>WA01051300</t>
  </si>
  <si>
    <t>Ducks, live, up to 185g St</t>
  </si>
  <si>
    <t>WA01051400</t>
  </si>
  <si>
    <t>Geese, live, up to 185g St</t>
  </si>
  <si>
    <t>WA01051500</t>
  </si>
  <si>
    <t>Guinea fowl, live, up to 185g St</t>
  </si>
  <si>
    <t>Total meat</t>
  </si>
  <si>
    <t>2013</t>
  </si>
  <si>
    <t>meat</t>
  </si>
  <si>
    <t>eggs</t>
  </si>
  <si>
    <t>Together</t>
  </si>
  <si>
    <t xml:space="preserve">eggs </t>
  </si>
  <si>
    <t>meat</t>
  </si>
  <si>
    <t>Chicken for fattening and soup</t>
  </si>
  <si>
    <t>Total meat</t>
  </si>
  <si>
    <t>2014</t>
  </si>
  <si>
    <t>meat</t>
  </si>
  <si>
    <t>eggs</t>
  </si>
  <si>
    <t>Together</t>
  </si>
  <si>
    <t xml:space="preserve">eggs </t>
  </si>
  <si>
    <t>meat</t>
  </si>
  <si>
    <t>Chicken for fattening and soup</t>
  </si>
  <si>
    <t>Total meat</t>
  </si>
  <si>
    <t>2015</t>
  </si>
  <si>
    <t>meat</t>
  </si>
  <si>
    <t>eggs</t>
  </si>
  <si>
    <t>Together</t>
  </si>
  <si>
    <t xml:space="preserve">eggs </t>
  </si>
  <si>
    <t>meat</t>
  </si>
  <si>
    <t>Chicken for fattening and soup</t>
  </si>
  <si>
    <t>Total meat</t>
  </si>
  <si>
    <t>2016</t>
  </si>
  <si>
    <t>meat</t>
  </si>
  <si>
    <t>eggs</t>
  </si>
  <si>
    <t>Together</t>
  </si>
  <si>
    <t xml:space="preserve">eggs </t>
  </si>
  <si>
    <t>meat</t>
  </si>
  <si>
    <t>Chicken for fattening and soup</t>
  </si>
  <si>
    <t>Total meat</t>
  </si>
  <si>
    <t>2017</t>
  </si>
  <si>
    <t>meat</t>
  </si>
  <si>
    <t>eggs</t>
  </si>
  <si>
    <t>Together</t>
  </si>
  <si>
    <t xml:space="preserve">eggs </t>
  </si>
  <si>
    <t>meat</t>
  </si>
  <si>
    <t>Chicken for fattening and soup</t>
  </si>
  <si>
    <t>Total meat</t>
  </si>
  <si>
    <t>2018</t>
  </si>
  <si>
    <t>meat</t>
  </si>
  <si>
    <t>eggs</t>
  </si>
  <si>
    <t>Together</t>
  </si>
  <si>
    <t xml:space="preserve">eggs </t>
  </si>
  <si>
    <t>meat</t>
  </si>
  <si>
    <t>Chicken for fattening and soup</t>
  </si>
  <si>
    <t>Total meat</t>
  </si>
  <si>
    <t>2019</t>
  </si>
  <si>
    <t>meat</t>
  </si>
  <si>
    <t>eggs</t>
  </si>
  <si>
    <t>Together</t>
  </si>
  <si>
    <t xml:space="preserve">eggs </t>
  </si>
  <si>
    <t>meat</t>
  </si>
  <si>
    <t>Chicken for fattening and soup</t>
  </si>
  <si>
    <t>Total meat</t>
  </si>
  <si>
    <t>2020</t>
  </si>
  <si>
    <t>meat</t>
  </si>
  <si>
    <t>eggs</t>
  </si>
  <si>
    <t>Together</t>
  </si>
  <si>
    <t xml:space="preserve">eggs </t>
  </si>
  <si>
    <t>meat</t>
  </si>
  <si>
    <t>Chicken for fattening and soup</t>
  </si>
  <si>
    <t>Total meat</t>
  </si>
  <si>
    <t>2021</t>
  </si>
  <si>
    <t>meat</t>
  </si>
  <si>
    <t>eggs</t>
  </si>
  <si>
    <t>Together</t>
  </si>
  <si>
    <t xml:space="preserve">eggs </t>
  </si>
  <si>
    <t>meat</t>
  </si>
  <si>
    <t>Chicken for fattening and soup</t>
  </si>
  <si>
    <t>Total meat</t>
  </si>
  <si>
    <t>2022</t>
  </si>
  <si>
    <t>meat</t>
  </si>
  <si>
    <t>eggs</t>
  </si>
  <si>
    <t>Together</t>
  </si>
  <si>
    <t xml:space="preserve">eggs </t>
  </si>
  <si>
    <t>meat</t>
  </si>
  <si>
    <t>Chicken for fattening and soup</t>
  </si>
  <si>
    <t>Total meat</t>
  </si>
  <si>
    <t>2023</t>
  </si>
  <si>
    <t>meat</t>
  </si>
  <si>
    <t>eggs</t>
  </si>
  <si>
    <t>Together</t>
  </si>
  <si>
    <t xml:space="preserve">eggs </t>
  </si>
  <si>
    <t>meat</t>
  </si>
  <si>
    <t>Chicken for fattening and soup</t>
  </si>
  <si>
    <t>Total meat</t>
  </si>
  <si>
    <t>______________</t>
  </si>
  <si>
    <t>1) Data from Tab 3110610 BMEL statistics and average weights from poultry slaughter statistics Destatis</t>
  </si>
  <si>
    <t>3) Sales values or revenue prices from the EAA calculation table</t>
  </si>
  <si>
    <t>Grandparent and parent female chicks of fowls of the species Gallus domesticus laying stocks of a weight of &lt;= 185 g</t>
  </si>
  <si>
    <t xml:space="preserve"> </t>
  </si>
  <si>
    <r>
      <t xml:space="preserve">LK Niedersachsen Guide to Poultry Farming (: </t>
    </r>
    <r>
      <rPr>
        <b/>
        <sz val="10"/>
        <rFont val="Arial"/>
        <family val="2"/>
      </rPr>
      <t>Parents (mast</t>
    </r>
    <r>
      <rPr>
        <sz val="10"/>
        <rFont val="Arial"/>
        <family val="2"/>
      </rPr>
      <t>) Production period 42 weeks with about 185 hatching eggs, after deduction of losses about 130 chicks remain per master hen.</t>
    </r>
  </si>
  <si>
    <t>LOHMANN-Breeders Homepage:</t>
  </si>
  <si>
    <t>Laying hens Parents</t>
  </si>
  <si>
    <r>
      <t>Eggs</t>
    </r>
    <r>
      <rPr>
        <sz val="11"/>
        <color theme="1"/>
        <rFont val="Calibri"/>
        <family val="2"/>
        <scheme val="minor"/>
      </rPr>
      <t>/Early hen</t>
    </r>
  </si>
  <si>
    <r>
      <t>Eggs capable of incubation/early</t>
    </r>
    <r>
      <rPr>
        <sz val="11"/>
        <color theme="1"/>
        <rFont val="Calibri"/>
        <family val="2"/>
        <scheme val="minor"/>
      </rPr>
      <t>hen</t>
    </r>
  </si>
  <si>
    <r>
      <t>Sellable chicks/beginning</t>
    </r>
    <r>
      <rPr>
        <sz val="11"/>
        <color theme="1"/>
        <rFont val="Calibri"/>
        <family val="2"/>
        <scheme val="minor"/>
      </rPr>
      <t>hen</t>
    </r>
  </si>
  <si>
    <t>in 68 weeks</t>
  </si>
  <si>
    <t>plus loss of rearing 3% + laying period 7%</t>
  </si>
  <si>
    <t>in 72 weeks</t>
  </si>
  <si>
    <t>Live fowls of the species Gallus domesticus, weighing 185 g (excl. turkeys and guinea fowls)</t>
  </si>
  <si>
    <t>Live fowls of the species Gallus domesticus, weighing 185 g (excl. turkeys, guinea fowls, female breeding and propagating chicks and laying hens)</t>
  </si>
  <si>
    <t>Losses of chicken fattening 3.6% 
DLG leaflet 406 
Keeping chickens for fattening p.23</t>
  </si>
  <si>
    <t>Parents (GGÖ Poultry Cooperative)</t>
  </si>
  <si>
    <t>The hatching eggs for the fattening chicks are produced in the parent animal laying plant. Roosters and hens are kept in a common stable to obtain fertilized eggs.</t>
  </si>
  <si>
    <t xml:space="preserve">Propagating chicks laying hens: According to the company Lohmann (https://lohmann-breeders.com/en/strains/lohmann-brown/), after the hatchery, there are around 110 commercially available domestic chicks per parent animal for rearing pullets. Thereafter, there are 3% losses in the rearing and 7% in the laying period (of which 50% are counted). An imported breeding chick thus brings about 103 laying hens </t>
  </si>
  <si>
    <t xml:space="preserve">Reproductive chicks fattening. According to the LK Niedersachsen (Guide to Poultry Farming 2020), around 130 chicks per master hen can be produced after losses and hatching. The Austrian Poultry Farm Cooperative (GGÖ) also reports 130 fattening animals (https://www.gefluegelmast.at/parents/). According to DLG leaflet 406 p.23, the average losses in the chicken chemast are 3.6%. One imported breeding chick fattening = 130 broilers/1,036 = 125 broilers </t>
  </si>
  <si>
    <t>Chickens start at 21. to lay eggs for a week of life. From an egg weight of 50 grams, the hatching eggs are picked up from the hatcheries once or twice a week.</t>
  </si>
  <si>
    <t>Import Legerasse. 1 import animal = 1 laying chicken - 7% loss (of which 3.5% valued) ~ 0.965 laying chicken * number of eggs per year * egg price + (soup chicken * price)</t>
  </si>
  <si>
    <t>In the hatchery, the hatching eggs are then placed in the incubator. After 21 days, the chicks hatch and are delivered to the fattening farm.</t>
  </si>
  <si>
    <t xml:space="preserve">Import broiler chicks. 1 import animal = 1/1,036 loss) = 0,965 broilers + price. </t>
  </si>
  <si>
    <t>01051200-1500</t>
  </si>
  <si>
    <t>An imported animal after losses of 3.5% = 0.965 animals for slaughter</t>
  </si>
  <si>
    <t>There are about 60 propagating holdings (parent holdings) in Austria. Important parameters for the economic efficiency of a parent animal laying plant are the laying performance and hatching. In the course of its lifetime, a hen optimally produces 160 eggs with hatching of about 80% (about 130 chicks).</t>
  </si>
  <si>
    <t>Provieh: Today, there are only a handful of companies in the poultry sector that dominate the market (EW-Group, Hendrix/ISA, Grimaud, Tetra and Tyson). These determine the breeding goals of future generations and keep the purebred animals (grandparents). The chickens from these lines are crossed with each other in three or four generations until the desired results are achieved in the animals. The resulting parent animals are then propagated in certain farms and the fertilized eggs hatched in hatcheries. Depending on the breeding line, these are distributed as laying hen or broiler chicks to the holdings keeping chickens. Both sexes are used in chickens for fattening. When a fattening passage is finished, the barn is cleaned and new chicks are put in. In the case of laying hens, only the females are placed in a pullet farm and reared there for about 18 weeks. Then they come to another barn (usually on another farm) and are used as laying hens for another 12 to 14 months. New chicks have to be bought from both lines after each “passing”, as own breeding would be too expensive and the offspring of the hybrid animals would not reach their parents in their performances. In this way, the companies also secure their market power.</t>
  </si>
  <si>
    <t>Parent holding: This is how the parents breed.</t>
  </si>
  <si>
    <t>The eggs from which the laying hens hatch are laid on their own parent farms. They make up about five percent of the places and produce a large part of the eggs from which Austrian laying hens hatch.</t>
  </si>
  <si>
    <t>The stable of a parent holding is similar to a laying hen stable. With a big difference, there are also taps. They “tread” the hens – as the sexual intercourse of chickens is called. Roosters don't have a penis. They pass on the seed to the hen via a cloaca. There are about nine hens per rooster. If there are too many cocks in the barn, they fight over the hens. If there are too many hens, they go to the rooster when he no longer feels like it. The hatching eggs are delivered to the hatchery that hatches them.</t>
  </si>
  <si>
    <t>In the parent farm, hygiene is very important, as diseases would be passed on to many laying hen farms. There is therefore no outlet at parent animal farms. In the organic sector, an external charr room is required. Once a year, the parents are replaced by new ones. Predicting the sex of the chicks over the semen of the cock is impossible, because it is decided only in the body of the hen.</t>
  </si>
  <si>
    <t>Cronos</t>
  </si>
  <si>
    <t>ANIMALS</t>
  </si>
  <si>
    <t>ANIMALS</t>
  </si>
  <si>
    <t>11.1</t>
  </si>
  <si>
    <t>Cattle total</t>
  </si>
  <si>
    <t>Total bovine animals</t>
  </si>
  <si>
    <t>Prices in Euro/t</t>
  </si>
  <si>
    <t>11.1/1</t>
  </si>
  <si>
    <t>11110</t>
  </si>
  <si>
    <t>Cattle</t>
  </si>
  <si>
    <t>Import price</t>
  </si>
  <si>
    <t>Export price</t>
  </si>
  <si>
    <t>11.1/2</t>
  </si>
  <si>
    <t>11120</t>
  </si>
  <si>
    <t>Calves</t>
  </si>
  <si>
    <t>calves</t>
  </si>
  <si>
    <t>Import price</t>
  </si>
  <si>
    <t>The difference abs.</t>
  </si>
  <si>
    <t>EAA at import price in %</t>
  </si>
  <si>
    <t>Export price</t>
  </si>
  <si>
    <t>The difference abs.</t>
  </si>
  <si>
    <t>EAA at export price in %</t>
  </si>
  <si>
    <t>Livestock sector: Comparison of Unit Value from EAA (LGR) with average prices of imports and exports of breeding cattle excluding slaughter from foreign trade statistics</t>
  </si>
  <si>
    <t>11.4</t>
  </si>
  <si>
    <t>Sheep and goats</t>
  </si>
  <si>
    <r>
      <t>Sheep and goats</t>
    </r>
    <r>
      <rPr>
        <vertAlign val="superscript"/>
        <sz val="8"/>
        <color theme="1"/>
        <rFont val="Arial"/>
        <family val="2"/>
      </rPr>
      <t>1)</t>
    </r>
  </si>
  <si>
    <r>
      <t>Import price</t>
    </r>
    <r>
      <rPr>
        <vertAlign val="superscript"/>
        <sz val="11"/>
        <color theme="1"/>
        <rFont val="Calibri"/>
        <family val="2"/>
        <scheme val="minor"/>
      </rPr>
      <t>1)</t>
    </r>
  </si>
  <si>
    <t>Export price</t>
  </si>
  <si>
    <t>1) Breeding animals and percentage of lambs from calculation slaughter minus import (import agriculture)</t>
  </si>
  <si>
    <t>Import price (breeding + piglets)</t>
  </si>
  <si>
    <t xml:space="preserve">The absolute difference </t>
  </si>
  <si>
    <t>Export price (Breeding+piglets)</t>
  </si>
  <si>
    <t>EAA Pigs</t>
  </si>
  <si>
    <t>Correlation calculation</t>
  </si>
  <si>
    <t>Coefficient</t>
  </si>
  <si>
    <t>Price EAA with  import price for breeding and piglets</t>
  </si>
  <si>
    <t>Price EAA with import price slaughter pigs</t>
  </si>
  <si>
    <t>Price EAA with  export price breeding and piglets</t>
  </si>
  <si>
    <t>Price EAA with price total pig export</t>
  </si>
  <si>
    <t>Price EAA with price total pig import</t>
  </si>
  <si>
    <t>Calculation of the share of imports of breeding sows and piglets in the total pork production value</t>
  </si>
  <si>
    <t>Import weight</t>
  </si>
  <si>
    <t>Import special unit of measurement</t>
  </si>
  <si>
    <t>Export special unit of measurement</t>
  </si>
  <si>
    <t>Export weight</t>
  </si>
  <si>
    <t>Export value</t>
  </si>
  <si>
    <t>Import value</t>
  </si>
  <si>
    <t>Difference kg sw</t>
  </si>
  <si>
    <t>Value added Euro per imported sow</t>
  </si>
  <si>
    <t>Total value added Million Euro</t>
  </si>
  <si>
    <t>Total production value pigs Million Euro</t>
  </si>
  <si>
    <t>Slaughter Pig Price (lw)</t>
  </si>
  <si>
    <t>Difference in kg (lw)</t>
  </si>
  <si>
    <t>Live weight (lw) slaughter pig</t>
  </si>
  <si>
    <t>Import piglet kg live weight (lw)</t>
  </si>
  <si>
    <t>Slaughter weight  (sw)  pig in kg</t>
  </si>
  <si>
    <t>Share of piglet and sow import on pig production value in %</t>
  </si>
  <si>
    <t>Slaughter pig price (sw) in t</t>
  </si>
  <si>
    <t>Trade Data from Federal Statistical Office (Destatis), 2024 08.08.2024</t>
  </si>
  <si>
    <t>Average 2011 to 2023</t>
  </si>
  <si>
    <t>Pigs: Comparison of Unit Values from EAA with average import and export prices from foreign trade statistics</t>
  </si>
  <si>
    <t>EAA price (unit value)</t>
  </si>
  <si>
    <t>0105 11 11</t>
  </si>
  <si>
    <t>0105 11 19</t>
  </si>
  <si>
    <t>Grandparent and parent female chicks fowls of the species Gallus domesticus of a weight of &lt;= 185 g (excl. laying stocks)</t>
  </si>
  <si>
    <t>0105 11 91</t>
  </si>
  <si>
    <t>Laying stock "fowls of the species Gallus domesticus" of a weight of &lt;= 185 g (excl. grandparent and parent female chicks)</t>
  </si>
  <si>
    <t>0105 11 99</t>
  </si>
  <si>
    <t>Live fowls of the species Gallus domesticus of a weight of &lt;= 185 g (excl. grandparent and parent female chicks and laying stocks)</t>
  </si>
  <si>
    <t>0105 12 00</t>
  </si>
  <si>
    <t>Live domestic turkeys, weighing &lt;= 185 g</t>
  </si>
  <si>
    <t>0105 13 00</t>
  </si>
  <si>
    <t>Live domestic ducks, weighing &lt;= 185 g</t>
  </si>
  <si>
    <t>0105 14 00</t>
  </si>
  <si>
    <t>Live domestic geese, weighing &lt;= 185 g</t>
  </si>
  <si>
    <t>0105 15 00</t>
  </si>
  <si>
    <t>Live domestic guinea fowls, weighing &lt;= 185 g</t>
  </si>
  <si>
    <t>0105 94 00</t>
  </si>
  <si>
    <t>Live fowls of the species Gallus domesticus, weighing &gt; 185</t>
  </si>
  <si>
    <t>0105 99 10</t>
  </si>
  <si>
    <t>Live domestic ducks, weighing &gt; 185 g</t>
  </si>
  <si>
    <t>0105 99 20</t>
  </si>
  <si>
    <t>Live domestic geese, weighing &gt; 185 g</t>
  </si>
  <si>
    <t>0105 99 30</t>
  </si>
  <si>
    <t>Live domestic turkeys, weighing &gt; 185 g</t>
  </si>
  <si>
    <t>0105 99 50</t>
  </si>
  <si>
    <t>Live domestic guinea fowls, weighing &gt; 185 g</t>
  </si>
  <si>
    <t>Poultry: Comparison of Unit Values from EAA with average import and export prices for chicks and folws &lt; 185 g.</t>
  </si>
  <si>
    <t>Correlation</t>
  </si>
  <si>
    <t>Coeficient</t>
  </si>
  <si>
    <t>EAA and import price</t>
  </si>
  <si>
    <t>Producer price  EAA Euro/t</t>
  </si>
  <si>
    <t>Broilers</t>
  </si>
  <si>
    <t>Goose</t>
  </si>
  <si>
    <t>Ducks</t>
  </si>
  <si>
    <t>Eggs</t>
  </si>
  <si>
    <t>Producer price EAA Euro/t</t>
  </si>
  <si>
    <t>Traded  chicks and fowls in numbers</t>
  </si>
  <si>
    <t>Import</t>
  </si>
  <si>
    <t>Export</t>
  </si>
  <si>
    <t>EAA an import price</t>
  </si>
  <si>
    <t>EAA and export price</t>
  </si>
  <si>
    <t>The import of breeding and productive cattle into Germany has decreased significantly in the past few years and amounted to an yearly average of 6.160 units worth 7,1 Million Euros over the period 2019-2023. This compares with an annual export value of around EUR 150 Million (2019 to 2023). The import value, compared with the production value of the EAA, is only 0,2%. Imports of cattle have little or no effect on the value of production or on the income of producers.</t>
  </si>
  <si>
    <t xml:space="preserve">Imports of domestic cattle weighing less than 80 kg (calves) collapsed in 2018 to a few hundred animals a year and have hardly recovered since then. Larger price jumps are the result. The import value was initially less than 100.000 and is negligible compared to the export value of just over 100 Million Euro. The import value, compared with the production value of the EAA, is lower than 0,2%. Imports of calves have little or no effect on the value of production or on the income of producers. </t>
  </si>
  <si>
    <t>Price comparison cattle</t>
  </si>
  <si>
    <t>Bovine animals</t>
  </si>
  <si>
    <t>Absolute difference</t>
  </si>
  <si>
    <t>EAA to import price in %</t>
  </si>
  <si>
    <t>EAA to export price in %</t>
  </si>
  <si>
    <t>EAA with import price</t>
  </si>
  <si>
    <t>EAA with export price</t>
  </si>
  <si>
    <t>EAA producer price</t>
  </si>
  <si>
    <t>The unit number of imported  breeding ovine and caprine animals is small and does not have a major impact on the value of production. Imports of lambs are significant, but most of them are imported as animals for slaughter and are therefore not relevant for the EAA.</t>
  </si>
  <si>
    <t>Import price all animals*</t>
  </si>
  <si>
    <t>Export price all animals*</t>
  </si>
  <si>
    <t>* including lambs for slaughtering</t>
  </si>
  <si>
    <t xml:space="preserve">Calculation the importance of imports in the poultry sector </t>
  </si>
  <si>
    <t>^^</t>
  </si>
  <si>
    <t>Poultry Chicks total</t>
  </si>
  <si>
    <r>
      <t>Production of eggs/meat in t</t>
    </r>
    <r>
      <rPr>
        <vertAlign val="superscript"/>
        <sz val="10"/>
        <rFont val="Arial"/>
        <family val="2"/>
      </rPr>
      <t>2)</t>
    </r>
    <r>
      <rPr>
        <sz val="10"/>
        <rFont val="Arial"/>
        <family val="2"/>
      </rPr>
      <t xml:space="preserve"> </t>
    </r>
    <r>
      <rPr>
        <vertAlign val="superscript"/>
        <sz val="10"/>
        <rFont val="Arial"/>
        <family val="2"/>
      </rPr>
      <t xml:space="preserve"> </t>
    </r>
  </si>
  <si>
    <t xml:space="preserve">2) One egg has a weight of 62g according to the supply balance </t>
  </si>
  <si>
    <t xml:space="preserve">Livestock sector: Comparison of producer prices (unit value from EAA) with average prices of imports and exports of breeding and livestock animals (excluding slaughter animals) </t>
  </si>
  <si>
    <t>Price EAA with export price slaughter pigs</t>
  </si>
  <si>
    <t>not plausible/ overestimation</t>
  </si>
  <si>
    <t>sharp increase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</si>
</sst>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 &quot;€&quot;"/>
    <numFmt numFmtId="165" formatCode="0.0"/>
    <numFmt numFmtId="166" formatCode="#\ ##0_)"/>
    <numFmt numFmtId="167" formatCode="0.000"/>
    <numFmt numFmtId="168" formatCode="#,##0.0"/>
  </numFmts>
  <fonts count="36" x14ac:knownFonts="1">
    <font>
      <sz val="11"/>
      <color theme="1"/>
      <name val="Calibri"/>
      <family val="2"/>
      <scheme val="minor"/>
    </font>
    <font>
      <sz val="12"/>
      <color theme="1"/>
      <name val="Calibri"/>
      <family val="2"/>
      <scheme val="minor"/>
    </font>
    <font>
      <b/>
      <sz val="8"/>
      <color theme="1"/>
      <name val="Arial"/>
      <family val="2"/>
    </font>
    <font>
      <sz val="8"/>
      <color theme="1"/>
      <name val="Arial"/>
      <family val="2"/>
    </font>
    <font>
      <vertAlign val="superscript"/>
      <sz val="8"/>
      <color theme="1"/>
      <name val="Arial"/>
      <family val="2"/>
    </font>
    <font>
      <b/>
      <sz val="9"/>
      <color indexed="81"/>
      <name val="Segoe UI"/>
      <family val="2"/>
    </font>
    <font>
      <sz val="9"/>
      <color indexed="81"/>
      <name val="Segoe UI"/>
      <family val="2"/>
    </font>
    <font>
      <sz val="10"/>
      <color indexed="8"/>
      <name val="Calibri"/>
      <family val="2"/>
      <scheme val="minor"/>
    </font>
    <font>
      <sz val="10"/>
      <name val="Arial"/>
      <family val="2"/>
    </font>
    <font>
      <b/>
      <sz val="10"/>
      <name val="Arial"/>
      <family val="2"/>
    </font>
    <font>
      <i/>
      <sz val="10"/>
      <name val="Arial"/>
      <family val="2"/>
    </font>
    <font>
      <b/>
      <sz val="9"/>
      <color rgb="FF000000"/>
      <name val="Segoe UI"/>
      <family val="2"/>
    </font>
    <font>
      <sz val="9"/>
      <color rgb="FF000000"/>
      <name val="Segoe UI"/>
      <family val="2"/>
    </font>
    <font>
      <b/>
      <sz val="12"/>
      <color rgb="FFFF0000"/>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b/>
      <sz val="18"/>
      <color theme="1"/>
      <name val="Calibri"/>
      <family val="2"/>
      <scheme val="minor"/>
    </font>
    <font>
      <sz val="10"/>
      <color theme="4" tint="-0.249977111117893"/>
      <name val="Arial"/>
      <family val="2"/>
    </font>
    <font>
      <b/>
      <sz val="13.5"/>
      <color theme="1"/>
      <name val="Calibri"/>
      <family val="2"/>
      <scheme val="minor"/>
    </font>
    <font>
      <u/>
      <sz val="11"/>
      <color theme="10"/>
      <name val="Calibri"/>
      <family val="2"/>
      <scheme val="minor"/>
    </font>
    <font>
      <sz val="10"/>
      <color rgb="FFFF0000"/>
      <name val="Arial"/>
      <family val="2"/>
    </font>
    <font>
      <vertAlign val="superscript"/>
      <sz val="11"/>
      <color theme="1"/>
      <name val="Calibri"/>
      <family val="2"/>
      <scheme val="minor"/>
    </font>
    <font>
      <b/>
      <sz val="10"/>
      <color rgb="FFFF0000"/>
      <name val="Arial"/>
      <family val="2"/>
    </font>
    <font>
      <b/>
      <sz val="11"/>
      <color rgb="FFFF0000"/>
      <name val="Calibri"/>
      <family val="2"/>
      <scheme val="minor"/>
    </font>
    <font>
      <b/>
      <sz val="11"/>
      <color rgb="FFFF0000"/>
      <name val="Calibri"/>
      <family val="2"/>
    </font>
    <font>
      <sz val="8"/>
      <name val="Times New Roman"/>
      <family val="1"/>
    </font>
    <font>
      <sz val="10"/>
      <name val="Calibri"/>
      <family val="2"/>
    </font>
    <font>
      <vertAlign val="superscript"/>
      <sz val="10"/>
      <name val="Arial"/>
      <family val="2"/>
    </font>
    <font>
      <sz val="10"/>
      <color theme="1"/>
      <name val="Arial"/>
      <family val="2"/>
    </font>
    <font>
      <sz val="10"/>
      <color rgb="FFFFC000"/>
      <name val="Arial"/>
      <family val="2"/>
    </font>
    <font>
      <b/>
      <sz val="11"/>
      <color rgb="FFFFC000"/>
      <name val="Arial"/>
      <family val="2"/>
    </font>
    <font>
      <sz val="11"/>
      <color rgb="FFFFC000"/>
      <name val="Arial"/>
      <family val="2"/>
    </font>
    <font>
      <b/>
      <sz val="16"/>
      <color theme="1"/>
      <name val="Calibri"/>
      <family val="2"/>
      <scheme val="minor"/>
    </font>
    <font>
      <b/>
      <sz val="14"/>
      <color theme="1"/>
      <name val="Calibri"/>
      <family val="2"/>
      <scheme val="minor"/>
    </font>
  </fonts>
  <fills count="12">
    <fill>
      <patternFill patternType="none"/>
    </fill>
    <fill>
      <patternFill patternType="gray125"/>
    </fill>
    <fill>
      <patternFill patternType="solid">
        <fgColor theme="9" tint="0.59999389629810485"/>
        <bgColor indexed="64"/>
      </patternFill>
    </fill>
    <fill>
      <patternFill patternType="solid">
        <fgColor rgb="FFFFCCCC"/>
        <bgColor indexed="64"/>
      </patternFill>
    </fill>
    <fill>
      <patternFill patternType="solid">
        <fgColor rgb="FFFCE4D6"/>
        <bgColor rgb="FF000000"/>
      </patternFill>
    </fill>
    <fill>
      <patternFill patternType="solid">
        <fgColor theme="5" tint="0.79998168889431442"/>
        <bgColor indexed="64"/>
      </patternFill>
    </fill>
    <fill>
      <patternFill patternType="solid">
        <fgColor rgb="FFFF9999"/>
        <bgColor indexed="64"/>
      </patternFill>
    </fill>
    <fill>
      <patternFill patternType="solid">
        <fgColor theme="4" tint="0.39997558519241921"/>
        <bgColor indexed="64"/>
      </patternFill>
    </fill>
    <fill>
      <patternFill patternType="solid">
        <fgColor rgb="FFFFC000"/>
        <bgColor indexed="64"/>
      </patternFill>
    </fill>
    <fill>
      <patternFill patternType="solid">
        <fgColor rgb="FFF8503E"/>
        <bgColor indexed="64"/>
      </patternFill>
    </fill>
    <fill>
      <patternFill patternType="solid">
        <fgColor rgb="FFFF0000"/>
        <bgColor indexed="64"/>
      </patternFill>
    </fill>
    <fill>
      <patternFill patternType="solid">
        <fgColor theme="5" tint="0.59999389629810485"/>
        <bgColor indexed="64"/>
      </patternFill>
    </fill>
  </fills>
  <borders count="16">
    <border>
      <left/>
      <right/>
      <top/>
      <bottom/>
      <diagonal/>
    </border>
    <border>
      <left style="thin">
        <color theme="1" tint="0.499984740745262"/>
      </left>
      <right style="thin">
        <color theme="1" tint="0.499984740745262"/>
      </right>
      <top style="thin">
        <color indexed="64"/>
      </top>
      <bottom style="thin">
        <color indexed="64"/>
      </bottom>
      <diagonal/>
    </border>
    <border>
      <left style="thin">
        <color theme="1" tint="0.499984740745262"/>
      </left>
      <right style="thin">
        <color auto="1"/>
      </right>
      <top style="thin">
        <color indexed="64"/>
      </top>
      <bottom style="thin">
        <color indexed="64"/>
      </bottom>
      <diagonal/>
    </border>
    <border>
      <left/>
      <right/>
      <top style="medium">
        <color indexed="8"/>
      </top>
      <bottom style="medium">
        <color indexed="8"/>
      </bottom>
      <diagonal/>
    </border>
    <border>
      <left/>
      <right style="thin">
        <color indexed="8"/>
      </right>
      <top style="medium">
        <color indexed="8"/>
      </top>
      <bottom style="medium">
        <color indexed="8"/>
      </bottom>
      <diagonal/>
    </border>
    <border>
      <left/>
      <right style="medium">
        <color auto="1"/>
      </right>
      <top/>
      <bottom/>
      <diagonal/>
    </border>
    <border>
      <left/>
      <right/>
      <top/>
      <bottom style="thin">
        <color indexed="64"/>
      </bottom>
      <diagonal/>
    </border>
    <border>
      <left/>
      <right style="thin">
        <color indexed="64"/>
      </right>
      <top/>
      <bottom/>
      <diagonal/>
    </border>
    <border>
      <left style="medium">
        <color auto="1"/>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thin">
        <color indexed="64"/>
      </top>
      <bottom style="thin">
        <color indexed="64"/>
      </bottom>
      <diagonal/>
    </border>
    <border>
      <left/>
      <right style="thin">
        <color auto="1"/>
      </right>
      <top style="thin">
        <color auto="1"/>
      </top>
      <bottom style="thin">
        <color auto="1"/>
      </bottom>
      <diagonal/>
    </border>
    <border>
      <left style="thin">
        <color theme="1" tint="0.499984740745262"/>
      </left>
      <right style="thin">
        <color theme="1" tint="0.499984740745262"/>
      </right>
      <top style="thin">
        <color indexed="64"/>
      </top>
      <bottom/>
      <diagonal/>
    </border>
    <border>
      <left style="thin">
        <color theme="1" tint="0.499984740745262"/>
      </left>
      <right style="thin">
        <color auto="1"/>
      </right>
      <top style="thin">
        <color indexed="64"/>
      </top>
      <bottom/>
      <diagonal/>
    </border>
    <border>
      <left/>
      <right/>
      <top style="thin">
        <color indexed="64"/>
      </top>
      <bottom style="thin">
        <color indexed="64"/>
      </bottom>
      <diagonal/>
    </border>
    <border>
      <left/>
      <right style="medium">
        <color auto="1"/>
      </right>
      <top/>
      <bottom style="thin">
        <color indexed="64"/>
      </bottom>
      <diagonal/>
    </border>
  </borders>
  <cellStyleXfs count="3">
    <xf numFmtId="0" fontId="0" fillId="0" borderId="0"/>
    <xf numFmtId="0" fontId="7" fillId="0" borderId="0"/>
    <xf numFmtId="0" fontId="21" fillId="0" borderId="0" applyNumberFormat="0" applyFill="0" applyBorder="0" applyAlignment="0" applyProtection="0"/>
  </cellStyleXfs>
  <cellXfs count="189">
    <xf numFmtId="0" fontId="0" fillId="0" borderId="0" xfId="0"/>
    <xf numFmtId="0" fontId="1" fillId="0" borderId="0" xfId="0" applyFont="1"/>
    <xf numFmtId="2" fontId="0" fillId="0" borderId="0" xfId="0" applyNumberFormat="1"/>
    <xf numFmtId="49" fontId="2" fillId="0" borderId="1" xfId="0" applyNumberFormat="1" applyFont="1" applyBorder="1" applyAlignment="1">
      <alignment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2" borderId="2" xfId="0" applyFont="1" applyFill="1" applyBorder="1" applyAlignment="1">
      <alignment vertical="center" wrapText="1"/>
    </xf>
    <xf numFmtId="0" fontId="2" fillId="0" borderId="1" xfId="0" applyFont="1" applyBorder="1" applyAlignment="1">
      <alignment horizontal="left" vertical="center" wrapText="1" indent="1"/>
    </xf>
    <xf numFmtId="0" fontId="2" fillId="0" borderId="2" xfId="0" applyFont="1" applyBorder="1" applyAlignment="1">
      <alignment horizontal="left" vertical="center" wrapText="1" indent="1"/>
    </xf>
    <xf numFmtId="49" fontId="3" fillId="3" borderId="1" xfId="0" applyNumberFormat="1" applyFont="1" applyFill="1" applyBorder="1" applyAlignment="1">
      <alignment vertical="center" wrapText="1"/>
    </xf>
    <xf numFmtId="49"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indent="1"/>
    </xf>
    <xf numFmtId="0" fontId="3" fillId="3" borderId="2" xfId="0" applyFont="1" applyFill="1" applyBorder="1" applyAlignment="1">
      <alignment horizontal="left" vertical="center" wrapText="1" indent="2"/>
    </xf>
    <xf numFmtId="0" fontId="0" fillId="3" borderId="0" xfId="0" applyFill="1"/>
    <xf numFmtId="4" fontId="0" fillId="3" borderId="0" xfId="0" applyNumberFormat="1" applyFill="1"/>
    <xf numFmtId="49" fontId="3" fillId="0" borderId="1" xfId="0" applyNumberFormat="1" applyFont="1" applyBorder="1" applyAlignment="1">
      <alignment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indent="1"/>
    </xf>
    <xf numFmtId="0" fontId="3" fillId="0" borderId="2" xfId="0" applyFont="1" applyBorder="1" applyAlignment="1">
      <alignment horizontal="left" vertical="center" wrapText="1" indent="2"/>
    </xf>
    <xf numFmtId="4" fontId="0" fillId="0" borderId="0" xfId="0" applyNumberFormat="1"/>
    <xf numFmtId="0" fontId="3" fillId="3" borderId="2" xfId="0" applyFont="1" applyFill="1" applyBorder="1" applyAlignment="1">
      <alignment horizontal="left" vertical="center" wrapText="1" indent="1"/>
    </xf>
    <xf numFmtId="0" fontId="3" fillId="0" borderId="2" xfId="0" applyFont="1" applyBorder="1" applyAlignment="1">
      <alignment horizontal="left" vertical="center" wrapText="1" indent="1"/>
    </xf>
    <xf numFmtId="49" fontId="2" fillId="3" borderId="1" xfId="0" applyNumberFormat="1" applyFont="1" applyFill="1" applyBorder="1" applyAlignment="1">
      <alignment vertical="center" wrapText="1"/>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indent="1"/>
    </xf>
    <xf numFmtId="0" fontId="2" fillId="3" borderId="2" xfId="0" applyFont="1" applyFill="1" applyBorder="1" applyAlignment="1">
      <alignment horizontal="left" vertical="center" wrapText="1" indent="1"/>
    </xf>
    <xf numFmtId="0" fontId="0" fillId="0" borderId="0" xfId="0" applyAlignment="1">
      <alignment horizontal="center"/>
    </xf>
    <xf numFmtId="0" fontId="8" fillId="0" borderId="0" xfId="1" applyFont="1"/>
    <xf numFmtId="0" fontId="8" fillId="0" borderId="3" xfId="1" applyFont="1" applyBorder="1" applyAlignment="1">
      <alignment horizontal="center" vertical="center" wrapText="1"/>
    </xf>
    <xf numFmtId="0" fontId="8" fillId="0" borderId="0" xfId="1" applyFont="1" applyAlignment="1">
      <alignment wrapText="1"/>
    </xf>
    <xf numFmtId="0" fontId="9" fillId="0" borderId="0" xfId="1" applyFont="1" applyFill="1" applyAlignment="1">
      <alignment wrapText="1"/>
    </xf>
    <xf numFmtId="0" fontId="9" fillId="0" borderId="0" xfId="1" applyFont="1" applyFill="1"/>
    <xf numFmtId="49" fontId="8" fillId="0" borderId="0" xfId="1" applyNumberFormat="1" applyFont="1" applyAlignment="1">
      <alignment horizontal="left"/>
    </xf>
    <xf numFmtId="49" fontId="8" fillId="0" borderId="5" xfId="1" applyNumberFormat="1" applyFont="1" applyBorder="1" applyAlignment="1">
      <alignment horizontal="left"/>
    </xf>
    <xf numFmtId="0" fontId="8" fillId="0" borderId="0" xfId="1" applyFont="1" applyAlignment="1">
      <alignment horizontal="right"/>
    </xf>
    <xf numFmtId="2" fontId="8" fillId="0" borderId="0" xfId="1" applyNumberFormat="1" applyFont="1"/>
    <xf numFmtId="4" fontId="8" fillId="0" borderId="0" xfId="1" applyNumberFormat="1" applyFont="1"/>
    <xf numFmtId="2" fontId="9" fillId="0" borderId="0" xfId="1" applyNumberFormat="1" applyFont="1" applyFill="1"/>
    <xf numFmtId="49" fontId="8" fillId="0" borderId="0" xfId="1" applyNumberFormat="1" applyFont="1" applyBorder="1" applyAlignment="1">
      <alignment horizontal="left"/>
    </xf>
    <xf numFmtId="0" fontId="7" fillId="0" borderId="0" xfId="1"/>
    <xf numFmtId="49" fontId="10" fillId="0" borderId="0" xfId="1" applyNumberFormat="1" applyFont="1" applyAlignment="1">
      <alignment horizontal="left"/>
    </xf>
    <xf numFmtId="0" fontId="8" fillId="0" borderId="0" xfId="1" applyFont="1"/>
    <xf numFmtId="0" fontId="8" fillId="0" borderId="0" xfId="1" applyFont="1" applyFill="1" applyBorder="1" applyAlignment="1">
      <alignment wrapText="1"/>
    </xf>
    <xf numFmtId="0" fontId="9" fillId="4" borderId="0" xfId="1" applyFont="1" applyFill="1" applyBorder="1" applyAlignment="1">
      <alignment wrapText="1"/>
    </xf>
    <xf numFmtId="0" fontId="8" fillId="0" borderId="0" xfId="1" applyFont="1" applyFill="1" applyBorder="1"/>
    <xf numFmtId="0" fontId="9" fillId="4" borderId="0" xfId="1" applyFont="1" applyFill="1" applyBorder="1"/>
    <xf numFmtId="2" fontId="8" fillId="0" borderId="0" xfId="1" applyNumberFormat="1" applyFont="1" applyFill="1" applyBorder="1"/>
    <xf numFmtId="4" fontId="8" fillId="0" borderId="0" xfId="1" applyNumberFormat="1" applyFont="1" applyFill="1" applyBorder="1"/>
    <xf numFmtId="2" fontId="9" fillId="4" borderId="0" xfId="1" applyNumberFormat="1" applyFont="1" applyFill="1" applyBorder="1"/>
    <xf numFmtId="4" fontId="9" fillId="4" borderId="6" xfId="1" applyNumberFormat="1" applyFont="1" applyFill="1" applyBorder="1"/>
    <xf numFmtId="2" fontId="9" fillId="4" borderId="6" xfId="1" applyNumberFormat="1" applyFont="1" applyFill="1" applyBorder="1"/>
    <xf numFmtId="4" fontId="9" fillId="4" borderId="0" xfId="1" applyNumberFormat="1" applyFont="1" applyFill="1" applyBorder="1"/>
    <xf numFmtId="3" fontId="0" fillId="0" borderId="0" xfId="0" applyNumberFormat="1"/>
    <xf numFmtId="3" fontId="0" fillId="3" borderId="0" xfId="0" applyNumberFormat="1" applyFill="1"/>
    <xf numFmtId="0" fontId="8" fillId="0" borderId="0" xfId="1" applyFont="1"/>
    <xf numFmtId="0" fontId="8" fillId="0" borderId="3" xfId="1" applyFont="1" applyBorder="1" applyAlignment="1">
      <alignment horizontal="center" vertical="center" wrapText="1"/>
    </xf>
    <xf numFmtId="0" fontId="8" fillId="0" borderId="0" xfId="1" applyFont="1"/>
    <xf numFmtId="0" fontId="7" fillId="0" borderId="0" xfId="1"/>
    <xf numFmtId="3" fontId="8" fillId="0" borderId="0" xfId="1" applyNumberFormat="1" applyFont="1"/>
    <xf numFmtId="49" fontId="9" fillId="0" borderId="0" xfId="1" applyNumberFormat="1" applyFont="1" applyBorder="1" applyAlignment="1">
      <alignment horizontal="left"/>
    </xf>
    <xf numFmtId="3" fontId="9" fillId="0" borderId="0" xfId="1" applyNumberFormat="1" applyFont="1" applyAlignment="1">
      <alignment horizontal="right"/>
    </xf>
    <xf numFmtId="4" fontId="9" fillId="0" borderId="0" xfId="1" applyNumberFormat="1" applyFont="1"/>
    <xf numFmtId="0" fontId="16" fillId="0" borderId="0" xfId="0" applyFont="1"/>
    <xf numFmtId="0" fontId="15" fillId="0" borderId="0" xfId="0" applyFont="1"/>
    <xf numFmtId="0" fontId="0" fillId="0" borderId="0" xfId="0" applyAlignment="1">
      <alignment vertical="center"/>
    </xf>
    <xf numFmtId="0" fontId="15" fillId="0" borderId="0" xfId="0" applyFont="1" applyAlignment="1">
      <alignment vertical="center" wrapText="1"/>
    </xf>
    <xf numFmtId="0" fontId="17" fillId="0" borderId="0" xfId="0" applyFont="1" applyAlignment="1">
      <alignment vertical="center" wrapText="1"/>
    </xf>
    <xf numFmtId="0" fontId="17" fillId="0" borderId="0" xfId="0" applyFont="1" applyAlignment="1">
      <alignment vertical="center"/>
    </xf>
    <xf numFmtId="0" fontId="0" fillId="0" borderId="0" xfId="0" applyAlignment="1">
      <alignment vertical="center" wrapText="1"/>
    </xf>
    <xf numFmtId="0" fontId="18" fillId="0" borderId="0" xfId="0" applyFont="1" applyAlignment="1">
      <alignment vertical="center"/>
    </xf>
    <xf numFmtId="0" fontId="19" fillId="0" borderId="0" xfId="1" applyFont="1"/>
    <xf numFmtId="0" fontId="20" fillId="0" borderId="0" xfId="0" applyFont="1" applyAlignment="1">
      <alignment vertical="center"/>
    </xf>
    <xf numFmtId="0" fontId="21" fillId="0" borderId="0" xfId="2"/>
    <xf numFmtId="165" fontId="8" fillId="0" borderId="0" xfId="1" applyNumberFormat="1" applyFont="1"/>
    <xf numFmtId="3" fontId="0" fillId="0" borderId="0" xfId="0" applyNumberFormat="1" applyFont="1"/>
    <xf numFmtId="3" fontId="8" fillId="0" borderId="0" xfId="1" applyNumberFormat="1" applyFont="1" applyAlignment="1">
      <alignment horizontal="right"/>
    </xf>
    <xf numFmtId="3" fontId="10" fillId="0" borderId="0" xfId="1" applyNumberFormat="1" applyFont="1"/>
    <xf numFmtId="0" fontId="14" fillId="0" borderId="0" xfId="0" applyFont="1"/>
    <xf numFmtId="0" fontId="22" fillId="0" borderId="0" xfId="1" applyFont="1"/>
    <xf numFmtId="0" fontId="8" fillId="0" borderId="0" xfId="1" applyFont="1"/>
    <xf numFmtId="0" fontId="24" fillId="0" borderId="0" xfId="1" applyFont="1"/>
    <xf numFmtId="0" fontId="8" fillId="0" borderId="0" xfId="1" applyFont="1"/>
    <xf numFmtId="0" fontId="0" fillId="0" borderId="0" xfId="0" applyAlignment="1">
      <alignment vertical="top"/>
    </xf>
    <xf numFmtId="49" fontId="3" fillId="0" borderId="0" xfId="0" applyNumberFormat="1" applyFont="1" applyBorder="1" applyAlignment="1">
      <alignment vertical="center" wrapText="1"/>
    </xf>
    <xf numFmtId="49" fontId="3" fillId="0" borderId="0" xfId="0" applyNumberFormat="1" applyFont="1" applyBorder="1" applyAlignment="1">
      <alignment horizontal="center" vertical="center" wrapText="1"/>
    </xf>
    <xf numFmtId="0" fontId="3" fillId="0" borderId="0" xfId="0" applyFont="1" applyBorder="1" applyAlignment="1">
      <alignment horizontal="left" vertical="center" wrapText="1" indent="1"/>
    </xf>
    <xf numFmtId="0" fontId="3" fillId="0" borderId="0" xfId="0" applyFont="1" applyBorder="1" applyAlignment="1">
      <alignment horizontal="left" vertical="center" wrapText="1" indent="2"/>
    </xf>
    <xf numFmtId="1" fontId="0" fillId="0" borderId="0" xfId="0" applyNumberFormat="1"/>
    <xf numFmtId="0" fontId="0" fillId="6" borderId="0" xfId="0" applyFill="1"/>
    <xf numFmtId="166" fontId="27" fillId="0" borderId="0" xfId="0" applyNumberFormat="1" applyFont="1" applyBorder="1" applyAlignment="1">
      <alignment vertical="center"/>
    </xf>
    <xf numFmtId="166" fontId="27" fillId="0" borderId="0" xfId="0" applyNumberFormat="1" applyFont="1" applyFill="1" applyBorder="1" applyAlignment="1">
      <alignment vertical="center"/>
    </xf>
    <xf numFmtId="166" fontId="27" fillId="0" borderId="7" xfId="0" applyNumberFormat="1" applyFont="1" applyFill="1" applyBorder="1" applyAlignment="1">
      <alignment vertical="center"/>
    </xf>
    <xf numFmtId="0" fontId="28" fillId="0" borderId="0" xfId="1" applyFont="1"/>
    <xf numFmtId="3" fontId="7" fillId="0" borderId="0" xfId="1" applyNumberFormat="1"/>
    <xf numFmtId="3" fontId="8" fillId="0" borderId="3" xfId="1" applyNumberFormat="1" applyFont="1" applyBorder="1" applyAlignment="1">
      <alignment horizontal="center" vertical="center" wrapText="1"/>
    </xf>
    <xf numFmtId="3" fontId="15" fillId="0" borderId="0" xfId="0" applyNumberFormat="1" applyFont="1" applyAlignment="1">
      <alignment vertical="center" wrapText="1"/>
    </xf>
    <xf numFmtId="3" fontId="8" fillId="5" borderId="0" xfId="1" applyNumberFormat="1" applyFont="1" applyFill="1" applyAlignment="1">
      <alignment horizontal="right"/>
    </xf>
    <xf numFmtId="3" fontId="0" fillId="0" borderId="0" xfId="0" applyNumberFormat="1" applyAlignment="1">
      <alignment vertical="center" wrapText="1"/>
    </xf>
    <xf numFmtId="1" fontId="8" fillId="0" borderId="0" xfId="1" applyNumberFormat="1" applyFont="1"/>
    <xf numFmtId="0" fontId="8" fillId="0" borderId="0" xfId="1" applyFont="1"/>
    <xf numFmtId="0" fontId="15" fillId="0" borderId="0" xfId="0" applyFont="1" applyAlignment="1">
      <alignment vertical="top" wrapText="1"/>
    </xf>
    <xf numFmtId="0" fontId="26" fillId="0" borderId="0" xfId="0" applyFont="1" applyAlignment="1">
      <alignment vertical="top" wrapText="1"/>
    </xf>
    <xf numFmtId="0" fontId="8" fillId="0" borderId="0" xfId="1" applyFont="1" applyBorder="1" applyAlignment="1">
      <alignment wrapText="1"/>
    </xf>
    <xf numFmtId="0" fontId="8" fillId="0" borderId="0" xfId="1" applyFont="1" applyBorder="1"/>
    <xf numFmtId="3" fontId="8" fillId="0" borderId="0" xfId="1" applyNumberFormat="1" applyFont="1" applyBorder="1"/>
    <xf numFmtId="0" fontId="8" fillId="0" borderId="8" xfId="1" applyFont="1" applyBorder="1" applyAlignment="1">
      <alignment horizontal="center" vertical="center" wrapText="1"/>
    </xf>
    <xf numFmtId="0" fontId="8" fillId="0" borderId="8" xfId="1" applyFont="1" applyBorder="1"/>
    <xf numFmtId="4" fontId="8" fillId="0" borderId="8" xfId="1" applyNumberFormat="1" applyFont="1" applyBorder="1"/>
    <xf numFmtId="4" fontId="9" fillId="0" borderId="8" xfId="1" applyNumberFormat="1" applyFont="1" applyBorder="1"/>
    <xf numFmtId="167" fontId="8" fillId="0" borderId="8" xfId="1" applyNumberFormat="1" applyFont="1" applyBorder="1"/>
    <xf numFmtId="0" fontId="8" fillId="0" borderId="0" xfId="1" applyFont="1" applyAlignment="1">
      <alignment vertical="top" wrapText="1"/>
    </xf>
    <xf numFmtId="2" fontId="22" fillId="0" borderId="0" xfId="1" applyNumberFormat="1" applyFont="1"/>
    <xf numFmtId="3" fontId="30" fillId="0" borderId="0" xfId="1" applyNumberFormat="1" applyFont="1"/>
    <xf numFmtId="0" fontId="8" fillId="5" borderId="0" xfId="1" applyFont="1" applyFill="1"/>
    <xf numFmtId="0" fontId="8" fillId="0" borderId="0" xfId="1" applyFont="1"/>
    <xf numFmtId="168" fontId="8" fillId="0" borderId="0" xfId="1" applyNumberFormat="1" applyFont="1"/>
    <xf numFmtId="4" fontId="8" fillId="5" borderId="6" xfId="1" applyNumberFormat="1" applyFont="1" applyFill="1" applyBorder="1"/>
    <xf numFmtId="0" fontId="8" fillId="0" borderId="6" xfId="1" applyFont="1" applyBorder="1"/>
    <xf numFmtId="0" fontId="8" fillId="5" borderId="6" xfId="1" applyFont="1" applyFill="1" applyBorder="1"/>
    <xf numFmtId="0" fontId="8" fillId="5" borderId="6" xfId="1" applyFont="1" applyFill="1" applyBorder="1" applyAlignment="1">
      <alignment wrapText="1"/>
    </xf>
    <xf numFmtId="0" fontId="8" fillId="0" borderId="6" xfId="1" applyFont="1" applyBorder="1" applyAlignment="1">
      <alignment wrapText="1"/>
    </xf>
    <xf numFmtId="0" fontId="8" fillId="0" borderId="9" xfId="1" applyFont="1" applyBorder="1"/>
    <xf numFmtId="0" fontId="8" fillId="5" borderId="9" xfId="1" applyFont="1" applyFill="1" applyBorder="1"/>
    <xf numFmtId="4" fontId="8" fillId="0" borderId="9" xfId="1" applyNumberFormat="1" applyFont="1" applyBorder="1"/>
    <xf numFmtId="168" fontId="8" fillId="5" borderId="9" xfId="1" applyNumberFormat="1" applyFont="1" applyFill="1" applyBorder="1"/>
    <xf numFmtId="4" fontId="8" fillId="0" borderId="11" xfId="1" applyNumberFormat="1" applyFont="1" applyBorder="1"/>
    <xf numFmtId="0" fontId="8" fillId="0" borderId="11" xfId="1" applyFont="1" applyBorder="1"/>
    <xf numFmtId="4" fontId="8" fillId="5" borderId="10" xfId="1" applyNumberFormat="1" applyFont="1" applyFill="1" applyBorder="1"/>
    <xf numFmtId="3" fontId="8" fillId="7" borderId="0" xfId="1" applyNumberFormat="1" applyFont="1" applyFill="1" applyBorder="1"/>
    <xf numFmtId="0" fontId="8" fillId="0" borderId="0" xfId="1" applyFont="1"/>
    <xf numFmtId="0" fontId="8" fillId="0" borderId="0" xfId="1" applyFont="1"/>
    <xf numFmtId="166" fontId="8" fillId="8" borderId="0" xfId="0" applyNumberFormat="1" applyFont="1" applyFill="1" applyBorder="1" applyAlignment="1">
      <alignment vertical="center"/>
    </xf>
    <xf numFmtId="3" fontId="8" fillId="8" borderId="0" xfId="1" applyNumberFormat="1" applyFont="1" applyFill="1"/>
    <xf numFmtId="165" fontId="27" fillId="0" borderId="0" xfId="0" applyNumberFormat="1" applyFont="1" applyBorder="1" applyAlignment="1">
      <alignment vertical="center"/>
    </xf>
    <xf numFmtId="0" fontId="8" fillId="0" borderId="0" xfId="1" applyFont="1"/>
    <xf numFmtId="0" fontId="7" fillId="0" borderId="0" xfId="1"/>
    <xf numFmtId="49" fontId="3" fillId="0" borderId="12" xfId="0" applyNumberFormat="1" applyFont="1" applyBorder="1" applyAlignment="1">
      <alignment vertical="center" wrapText="1"/>
    </xf>
    <xf numFmtId="49" fontId="3" fillId="0" borderId="12" xfId="0" applyNumberFormat="1" applyFont="1" applyBorder="1" applyAlignment="1">
      <alignment horizontal="center" vertical="center" wrapText="1"/>
    </xf>
    <xf numFmtId="0" fontId="3" fillId="0" borderId="12" xfId="0" applyFont="1" applyBorder="1" applyAlignment="1">
      <alignment horizontal="left" vertical="center" wrapText="1" indent="1"/>
    </xf>
    <xf numFmtId="0" fontId="3" fillId="0" borderId="13" xfId="0" applyFont="1" applyBorder="1" applyAlignment="1">
      <alignment horizontal="left" vertical="center" wrapText="1" indent="1"/>
    </xf>
    <xf numFmtId="0" fontId="16" fillId="0" borderId="6" xfId="0" applyFont="1" applyBorder="1"/>
    <xf numFmtId="0" fontId="3" fillId="0" borderId="6" xfId="0" applyFont="1" applyBorder="1" applyAlignment="1">
      <alignment horizontal="left" vertical="center" wrapText="1" indent="1"/>
    </xf>
    <xf numFmtId="0" fontId="0" fillId="0" borderId="6" xfId="0" applyBorder="1"/>
    <xf numFmtId="0" fontId="16" fillId="0" borderId="6" xfId="0" applyFont="1" applyBorder="1" applyAlignment="1">
      <alignment horizontal="center"/>
    </xf>
    <xf numFmtId="2" fontId="0" fillId="0" borderId="6" xfId="0" applyNumberFormat="1" applyBorder="1" applyAlignment="1">
      <alignment horizontal="center"/>
    </xf>
    <xf numFmtId="0" fontId="0" fillId="0" borderId="14" xfId="0" applyBorder="1"/>
    <xf numFmtId="2" fontId="0" fillId="0" borderId="14" xfId="0" applyNumberFormat="1" applyBorder="1" applyAlignment="1">
      <alignment horizontal="center"/>
    </xf>
    <xf numFmtId="0" fontId="34" fillId="0" borderId="0" xfId="0" applyFont="1"/>
    <xf numFmtId="3" fontId="8" fillId="0" borderId="0" xfId="1" applyNumberFormat="1" applyFont="1" applyFill="1" applyBorder="1"/>
    <xf numFmtId="0" fontId="0" fillId="0" borderId="0" xfId="0" applyFont="1"/>
    <xf numFmtId="0" fontId="0" fillId="0" borderId="0" xfId="0" applyNumberFormat="1"/>
    <xf numFmtId="0" fontId="2" fillId="3" borderId="2" xfId="0" applyFont="1" applyFill="1" applyBorder="1" applyAlignment="1">
      <alignment horizontal="left" vertical="center" wrapText="1" indent="2"/>
    </xf>
    <xf numFmtId="2" fontId="0" fillId="0" borderId="0" xfId="0" applyNumberFormat="1" applyFont="1"/>
    <xf numFmtId="1" fontId="8" fillId="8" borderId="0" xfId="1" applyNumberFormat="1" applyFont="1" applyFill="1"/>
    <xf numFmtId="166" fontId="8" fillId="8" borderId="7" xfId="0" applyNumberFormat="1" applyFont="1" applyFill="1" applyBorder="1" applyAlignment="1">
      <alignment vertical="center"/>
    </xf>
    <xf numFmtId="4" fontId="8" fillId="8" borderId="9" xfId="1" applyNumberFormat="1" applyFont="1" applyFill="1" applyBorder="1"/>
    <xf numFmtId="3" fontId="8" fillId="9" borderId="0" xfId="1" applyNumberFormat="1" applyFont="1" applyFill="1" applyBorder="1"/>
    <xf numFmtId="3" fontId="8" fillId="9" borderId="0" xfId="1" applyNumberFormat="1" applyFont="1" applyFill="1"/>
    <xf numFmtId="4" fontId="8" fillId="9" borderId="10" xfId="1" applyNumberFormat="1" applyFont="1" applyFill="1" applyBorder="1"/>
    <xf numFmtId="168" fontId="8" fillId="9" borderId="9" xfId="1" applyNumberFormat="1" applyFont="1" applyFill="1" applyBorder="1"/>
    <xf numFmtId="0" fontId="35" fillId="0" borderId="0" xfId="0" applyFont="1"/>
    <xf numFmtId="49" fontId="8" fillId="0" borderId="6" xfId="1" applyNumberFormat="1" applyFont="1" applyBorder="1" applyAlignment="1">
      <alignment horizontal="left"/>
    </xf>
    <xf numFmtId="49" fontId="8" fillId="0" borderId="15" xfId="1" applyNumberFormat="1" applyFont="1" applyBorder="1" applyAlignment="1">
      <alignment horizontal="left"/>
    </xf>
    <xf numFmtId="3" fontId="8" fillId="0" borderId="6" xfId="1" applyNumberFormat="1" applyFont="1" applyBorder="1" applyAlignment="1">
      <alignment horizontal="right"/>
    </xf>
    <xf numFmtId="0" fontId="8" fillId="0" borderId="6" xfId="1" applyFont="1" applyBorder="1" applyAlignment="1">
      <alignment horizontal="right"/>
    </xf>
    <xf numFmtId="4" fontId="8" fillId="0" borderId="6" xfId="1" applyNumberFormat="1" applyFont="1" applyBorder="1"/>
    <xf numFmtId="4" fontId="8" fillId="0" borderId="15" xfId="1" applyNumberFormat="1" applyFont="1" applyBorder="1"/>
    <xf numFmtId="164" fontId="8" fillId="0" borderId="0" xfId="1" applyNumberFormat="1" applyFont="1"/>
    <xf numFmtId="168" fontId="8" fillId="8" borderId="9" xfId="1" applyNumberFormat="1" applyFont="1" applyFill="1" applyBorder="1"/>
    <xf numFmtId="0" fontId="8" fillId="8" borderId="0" xfId="1" applyFont="1" applyFill="1"/>
    <xf numFmtId="0" fontId="22" fillId="10" borderId="0" xfId="1" applyFont="1" applyFill="1"/>
    <xf numFmtId="3" fontId="8" fillId="11" borderId="0" xfId="1" applyNumberFormat="1" applyFont="1" applyFill="1" applyAlignment="1">
      <alignment horizontal="right"/>
    </xf>
    <xf numFmtId="3" fontId="7" fillId="11" borderId="0" xfId="1" applyNumberFormat="1" applyFill="1"/>
    <xf numFmtId="168" fontId="9" fillId="5" borderId="9" xfId="1" applyNumberFormat="1" applyFont="1" applyFill="1" applyBorder="1"/>
    <xf numFmtId="0" fontId="9" fillId="5" borderId="0" xfId="1" applyFont="1" applyFill="1"/>
    <xf numFmtId="49" fontId="9" fillId="0" borderId="0" xfId="1" applyNumberFormat="1" applyFont="1" applyAlignment="1">
      <alignment horizontal="left" vertical="center"/>
    </xf>
    <xf numFmtId="0" fontId="8" fillId="0" borderId="0" xfId="1" applyFont="1"/>
    <xf numFmtId="0" fontId="7" fillId="0" borderId="0" xfId="1"/>
    <xf numFmtId="0" fontId="8" fillId="0" borderId="0" xfId="1" applyFont="1" applyAlignment="1">
      <alignment horizontal="left" vertical="top" wrapText="1"/>
    </xf>
    <xf numFmtId="0" fontId="8" fillId="0" borderId="3" xfId="1" applyFont="1" applyBorder="1" applyAlignment="1">
      <alignment horizontal="center" vertical="center" wrapText="1"/>
    </xf>
    <xf numFmtId="0" fontId="8" fillId="0" borderId="4" xfId="1" applyFont="1" applyBorder="1" applyAlignment="1">
      <alignment horizontal="left" vertical="center" wrapText="1"/>
    </xf>
    <xf numFmtId="0" fontId="8" fillId="0" borderId="0" xfId="1" applyFont="1" applyAlignment="1">
      <alignment wrapText="1"/>
    </xf>
    <xf numFmtId="0" fontId="0" fillId="0" borderId="0" xfId="0" applyAlignment="1">
      <alignment wrapText="1"/>
    </xf>
    <xf numFmtId="0" fontId="25" fillId="0" borderId="0" xfId="0" applyFont="1" applyAlignment="1">
      <alignment vertical="top" wrapText="1"/>
    </xf>
    <xf numFmtId="0" fontId="26" fillId="0" borderId="0" xfId="1" applyFont="1" applyAlignment="1">
      <alignment vertical="top" wrapText="1"/>
    </xf>
    <xf numFmtId="0" fontId="13" fillId="0" borderId="0" xfId="0" applyFont="1" applyAlignment="1">
      <alignment wrapText="1"/>
    </xf>
    <xf numFmtId="0" fontId="0" fillId="0" borderId="0" xfId="0" applyAlignment="1"/>
    <xf numFmtId="0" fontId="13" fillId="0" borderId="0" xfId="0" applyFont="1" applyAlignment="1">
      <alignment vertical="top" wrapText="1"/>
    </xf>
    <xf numFmtId="0" fontId="0" fillId="0" borderId="0" xfId="0" applyAlignment="1">
      <alignment vertical="top" wrapText="1"/>
    </xf>
  </cellXfs>
  <cellStyles count="3">
    <cellStyle name="Link" xfId="2" builtinId="8"/>
    <cellStyle name="Standard" xfId="0" builtinId="0"/>
    <cellStyle name="Standard 2" xfId="1"/>
  </cellStyles>
  <dxfs count="0"/>
  <tableStyles count="0" defaultTableStyle="TableStyleMedium2" defaultPivotStyle="PivotStyleLight16"/>
  <colors>
    <mruColors>
      <color rgb="FFF8503E"/>
      <color rgb="FFFFFF00"/>
      <color rgb="FFFF999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r>
              <a:rPr lang="de-DE" sz="2000" b="1"/>
              <a:t>Price comparison of pigs</a:t>
            </a:r>
          </a:p>
        </c:rich>
      </c:tx>
      <c:layout/>
      <c:overlay val="0"/>
      <c:spPr>
        <a:noFill/>
        <a:ln>
          <a:noFill/>
        </a:ln>
        <a:effectLst/>
      </c:spPr>
    </c:title>
    <c:autoTitleDeleted val="0"/>
    <c:plotArea>
      <c:layout>
        <c:manualLayout>
          <c:layoutTarget val="inner"/>
          <c:xMode val="edge"/>
          <c:yMode val="edge"/>
          <c:x val="8.1645307157118194E-2"/>
          <c:y val="0.13327372788078909"/>
          <c:w val="0.84450200955760946"/>
          <c:h val="0.68816128298923263"/>
        </c:manualLayout>
      </c:layout>
      <c:lineChart>
        <c:grouping val="standard"/>
        <c:varyColors val="0"/>
        <c:ser>
          <c:idx val="0"/>
          <c:order val="0"/>
          <c:tx>
            <c:strRef>
              <c:f>'Price comparison pigs'!$F$6</c:f>
              <c:strCache>
                <c:ptCount val="1"/>
                <c:pt idx="0">
                  <c:v>EAA Pigs</c:v>
                </c:pt>
              </c:strCache>
            </c:strRef>
          </c:tx>
          <c:spPr>
            <a:ln w="28575" cap="rnd">
              <a:solidFill>
                <a:srgbClr val="FF0000"/>
              </a:solidFill>
              <a:round/>
            </a:ln>
            <a:effectLst/>
          </c:spPr>
          <c:marker>
            <c:symbol val="none"/>
          </c:marker>
          <c:cat>
            <c:numRef>
              <c:f>'Price comparison pigs'!$G$5:$R$5</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'Price comparison pigs'!$G$6:$R$6</c:f>
              <c:numCache>
                <c:formatCode>#,##0.00</c:formatCode>
                <c:ptCount val="12"/>
                <c:pt idx="0">
                  <c:v>1706.7444459074304</c:v>
                </c:pt>
                <c:pt idx="1">
                  <c:v>1677.149896357957</c:v>
                </c:pt>
                <c:pt idx="2">
                  <c:v>1517.267942397493</c:v>
                </c:pt>
                <c:pt idx="3">
                  <c:v>1360.5321243905428</c:v>
                </c:pt>
                <c:pt idx="4">
                  <c:v>1490.9913711001898</c:v>
                </c:pt>
                <c:pt idx="5">
                  <c:v>1599.7571262158303</c:v>
                </c:pt>
                <c:pt idx="6">
                  <c:v>1410.3647624477937</c:v>
                </c:pt>
                <c:pt idx="7">
                  <c:v>1747.3736269944704</c:v>
                </c:pt>
                <c:pt idx="8">
                  <c:v>1507.0555067567777</c:v>
                </c:pt>
                <c:pt idx="9">
                  <c:v>1356.8849940760167</c:v>
                </c:pt>
                <c:pt idx="10">
                  <c:v>1859.6559317778992</c:v>
                </c:pt>
                <c:pt idx="11">
                  <c:v>2275.184383418959</c:v>
                </c:pt>
              </c:numCache>
            </c:numRef>
          </c:val>
          <c:smooth val="0"/>
          <c:extLst>
            <c:ext xmlns:c16="http://schemas.microsoft.com/office/drawing/2014/chart" uri="{C3380CC4-5D6E-409C-BE32-E72D297353CC}">
              <c16:uniqueId val="{00000000-F558-4F23-97ED-40E8F9DF4188}"/>
            </c:ext>
          </c:extLst>
        </c:ser>
        <c:ser>
          <c:idx val="1"/>
          <c:order val="1"/>
          <c:tx>
            <c:strRef>
              <c:f>'Price comparison pigs'!$F$7</c:f>
              <c:strCache>
                <c:ptCount val="1"/>
                <c:pt idx="0">
                  <c:v>Import price (breeding + piglets)</c:v>
                </c:pt>
              </c:strCache>
            </c:strRef>
          </c:tx>
          <c:spPr>
            <a:ln w="28575" cap="rnd">
              <a:solidFill>
                <a:schemeClr val="accent5">
                  <a:lumMod val="75000"/>
                </a:schemeClr>
              </a:solidFill>
              <a:round/>
            </a:ln>
            <a:effectLst/>
          </c:spPr>
          <c:marker>
            <c:symbol val="none"/>
          </c:marker>
          <c:cat>
            <c:numRef>
              <c:f>'Price comparison pigs'!$G$5:$R$5</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'Price comparison pigs'!$G$7:$R$7</c:f>
              <c:numCache>
                <c:formatCode>#,##0.00</c:formatCode>
                <c:ptCount val="12"/>
                <c:pt idx="0">
                  <c:v>2212.1957437166002</c:v>
                </c:pt>
                <c:pt idx="1">
                  <c:v>2211.535602163191</c:v>
                </c:pt>
                <c:pt idx="2">
                  <c:v>2056.4164158817489</c:v>
                </c:pt>
                <c:pt idx="3">
                  <c:v>1673.7651774862229</c:v>
                </c:pt>
                <c:pt idx="4">
                  <c:v>1952.6554356724953</c:v>
                </c:pt>
                <c:pt idx="5">
                  <c:v>2330.1374554444687</c:v>
                </c:pt>
                <c:pt idx="6">
                  <c:v>1759.7196478260587</c:v>
                </c:pt>
                <c:pt idx="7">
                  <c:v>2350.3688872588205</c:v>
                </c:pt>
                <c:pt idx="8">
                  <c:v>2197.5143889463839</c:v>
                </c:pt>
                <c:pt idx="9">
                  <c:v>1616.4632480950991</c:v>
                </c:pt>
                <c:pt idx="10">
                  <c:v>1980.7086738681594</c:v>
                </c:pt>
                <c:pt idx="11">
                  <c:v>3332.85902047746</c:v>
                </c:pt>
              </c:numCache>
            </c:numRef>
          </c:val>
          <c:smooth val="0"/>
          <c:extLst>
            <c:ext xmlns:c16="http://schemas.microsoft.com/office/drawing/2014/chart" uri="{C3380CC4-5D6E-409C-BE32-E72D297353CC}">
              <c16:uniqueId val="{00000001-F558-4F23-97ED-40E8F9DF4188}"/>
            </c:ext>
          </c:extLst>
        </c:ser>
        <c:ser>
          <c:idx val="2"/>
          <c:order val="2"/>
          <c:tx>
            <c:strRef>
              <c:f>'Price comparison pigs'!$F$19</c:f>
              <c:strCache>
                <c:ptCount val="1"/>
                <c:pt idx="0">
                  <c:v>Export price (Breeding+piglets)</c:v>
                </c:pt>
              </c:strCache>
            </c:strRef>
          </c:tx>
          <c:spPr>
            <a:ln w="28575" cap="rnd">
              <a:solidFill>
                <a:schemeClr val="accent1">
                  <a:lumMod val="60000"/>
                  <a:lumOff val="40000"/>
                </a:schemeClr>
              </a:solidFill>
              <a:round/>
            </a:ln>
            <a:effectLst/>
          </c:spPr>
          <c:marker>
            <c:symbol val="none"/>
          </c:marker>
          <c:cat>
            <c:numRef>
              <c:f>'Price comparison pigs'!$G$5:$R$5</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'Price comparison pigs'!$G$19:$R$19</c:f>
              <c:numCache>
                <c:formatCode>#,##0.00</c:formatCode>
                <c:ptCount val="12"/>
                <c:pt idx="0">
                  <c:v>2162.3081042484828</c:v>
                </c:pt>
                <c:pt idx="1">
                  <c:v>2048.7577947507698</c:v>
                </c:pt>
                <c:pt idx="2">
                  <c:v>2048.7577947507698</c:v>
                </c:pt>
                <c:pt idx="3">
                  <c:v>1656.1286140539257</c:v>
                </c:pt>
                <c:pt idx="4">
                  <c:v>1870.2539709504799</c:v>
                </c:pt>
                <c:pt idx="5">
                  <c:v>2262.2215224750057</c:v>
                </c:pt>
                <c:pt idx="6">
                  <c:v>1748.2458203216859</c:v>
                </c:pt>
                <c:pt idx="7">
                  <c:v>2319.2996979527911</c:v>
                </c:pt>
                <c:pt idx="8">
                  <c:v>2198.0287713237076</c:v>
                </c:pt>
                <c:pt idx="9">
                  <c:v>1677.260247414803</c:v>
                </c:pt>
                <c:pt idx="10">
                  <c:v>2062.8532898094991</c:v>
                </c:pt>
                <c:pt idx="11">
                  <c:v>3360.0740142526247</c:v>
                </c:pt>
              </c:numCache>
            </c:numRef>
          </c:val>
          <c:smooth val="0"/>
          <c:extLst>
            <c:ext xmlns:c16="http://schemas.microsoft.com/office/drawing/2014/chart" uri="{C3380CC4-5D6E-409C-BE32-E72D297353CC}">
              <c16:uniqueId val="{00000002-F558-4F23-97ED-40E8F9DF4188}"/>
            </c:ext>
          </c:extLst>
        </c:ser>
        <c:ser>
          <c:idx val="3"/>
          <c:order val="3"/>
          <c:tx>
            <c:strRef>
              <c:f>'Price comparison pigs'!$F$11</c:f>
              <c:strCache>
                <c:ptCount val="1"/>
                <c:pt idx="0">
                  <c:v>Import price (slaughter animals)</c:v>
                </c:pt>
              </c:strCache>
            </c:strRef>
          </c:tx>
          <c:spPr>
            <a:ln w="28575" cap="rnd">
              <a:solidFill>
                <a:schemeClr val="accent6">
                  <a:lumMod val="75000"/>
                </a:schemeClr>
              </a:solidFill>
              <a:round/>
            </a:ln>
            <a:effectLst/>
          </c:spPr>
          <c:marker>
            <c:symbol val="none"/>
          </c:marker>
          <c:val>
            <c:numRef>
              <c:f>'Price comparison pigs'!$G$11:$R$11</c:f>
              <c:numCache>
                <c:formatCode>#,##0.00</c:formatCode>
                <c:ptCount val="12"/>
                <c:pt idx="0">
                  <c:v>1435.3033721061581</c:v>
                </c:pt>
                <c:pt idx="1">
                  <c:v>1431.948594712429</c:v>
                </c:pt>
                <c:pt idx="2">
                  <c:v>1303.1258271485472</c:v>
                </c:pt>
                <c:pt idx="3">
                  <c:v>1155.7234854504554</c:v>
                </c:pt>
                <c:pt idx="4">
                  <c:v>1269.2878265454083</c:v>
                </c:pt>
                <c:pt idx="5">
                  <c:v>1406.5007806614333</c:v>
                </c:pt>
                <c:pt idx="6">
                  <c:v>1215.6477758558453</c:v>
                </c:pt>
                <c:pt idx="7">
                  <c:v>1446.5356420068165</c:v>
                </c:pt>
                <c:pt idx="8">
                  <c:v>1379.7330076380465</c:v>
                </c:pt>
                <c:pt idx="9">
                  <c:v>1104.2855117199856</c:v>
                </c:pt>
                <c:pt idx="10">
                  <c:v>1376.1834632227315</c:v>
                </c:pt>
                <c:pt idx="11">
                  <c:v>1846.9411603783847</c:v>
                </c:pt>
              </c:numCache>
            </c:numRef>
          </c:val>
          <c:smooth val="0"/>
          <c:extLst>
            <c:ext xmlns:c16="http://schemas.microsoft.com/office/drawing/2014/chart" uri="{C3380CC4-5D6E-409C-BE32-E72D297353CC}">
              <c16:uniqueId val="{00000003-F558-4F23-97ED-40E8F9DF4188}"/>
            </c:ext>
          </c:extLst>
        </c:ser>
        <c:ser>
          <c:idx val="4"/>
          <c:order val="4"/>
          <c:tx>
            <c:strRef>
              <c:f>'Price comparison pigs'!$F$23</c:f>
              <c:strCache>
                <c:ptCount val="1"/>
                <c:pt idx="0">
                  <c:v>Export price (slaughter animals)</c:v>
                </c:pt>
              </c:strCache>
            </c:strRef>
          </c:tx>
          <c:spPr>
            <a:ln w="28575" cap="rnd">
              <a:solidFill>
                <a:schemeClr val="accent6">
                  <a:lumMod val="60000"/>
                  <a:lumOff val="40000"/>
                </a:schemeClr>
              </a:solidFill>
              <a:round/>
            </a:ln>
            <a:effectLst/>
          </c:spPr>
          <c:marker>
            <c:symbol val="none"/>
          </c:marker>
          <c:val>
            <c:numRef>
              <c:f>'Price comparison pigs'!$G$23:$R$23</c:f>
              <c:numCache>
                <c:formatCode>#,##0.00</c:formatCode>
                <c:ptCount val="12"/>
                <c:pt idx="0">
                  <c:v>1492.0732214550601</c:v>
                </c:pt>
                <c:pt idx="1">
                  <c:v>1458.9891380151703</c:v>
                </c:pt>
                <c:pt idx="2">
                  <c:v>1386.5986234611526</c:v>
                </c:pt>
                <c:pt idx="3">
                  <c:v>1224.5791525002073</c:v>
                </c:pt>
                <c:pt idx="4">
                  <c:v>1312.8577345783801</c:v>
                </c:pt>
                <c:pt idx="5">
                  <c:v>1448.4036739598253</c:v>
                </c:pt>
                <c:pt idx="6">
                  <c:v>1252.7085411999471</c:v>
                </c:pt>
                <c:pt idx="7">
                  <c:v>1535.8871460635582</c:v>
                </c:pt>
                <c:pt idx="8">
                  <c:v>1288.9957840316351</c:v>
                </c:pt>
                <c:pt idx="9">
                  <c:v>1146.3308161112568</c:v>
                </c:pt>
                <c:pt idx="10">
                  <c:v>1645.8402801653765</c:v>
                </c:pt>
                <c:pt idx="11">
                  <c:v>2079.1852369241651</c:v>
                </c:pt>
              </c:numCache>
            </c:numRef>
          </c:val>
          <c:smooth val="0"/>
          <c:extLst>
            <c:ext xmlns:c16="http://schemas.microsoft.com/office/drawing/2014/chart" uri="{C3380CC4-5D6E-409C-BE32-E72D297353CC}">
              <c16:uniqueId val="{00000004-F558-4F23-97ED-40E8F9DF4188}"/>
            </c:ext>
          </c:extLst>
        </c:ser>
        <c:dLbls>
          <c:showLegendKey val="0"/>
          <c:showVal val="0"/>
          <c:showCatName val="0"/>
          <c:showSerName val="0"/>
          <c:showPercent val="0"/>
          <c:showBubbleSize val="0"/>
        </c:dLbls>
        <c:smooth val="0"/>
        <c:axId val="542566832"/>
        <c:axId val="542568472"/>
      </c:lineChart>
      <c:catAx>
        <c:axId val="542566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542568472"/>
        <c:crosses val="autoZero"/>
        <c:auto val="1"/>
        <c:lblAlgn val="ctr"/>
        <c:lblOffset val="100"/>
        <c:noMultiLvlLbl val="0"/>
      </c:catAx>
      <c:valAx>
        <c:axId val="542568472"/>
        <c:scaling>
          <c:orientation val="minMax"/>
          <c:max val="3500"/>
          <c:min val="5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r>
                  <a:rPr lang="de-DE" sz="1200"/>
                  <a:t>Euro/t</a:t>
                </a:r>
              </a:p>
            </c:rich>
          </c:tx>
          <c:layout>
            <c:manualLayout>
              <c:xMode val="edge"/>
              <c:yMode val="edge"/>
              <c:x val="2.6544758828223398E-2"/>
              <c:y val="6.7620861908390478E-2"/>
            </c:manualLayout>
          </c:layout>
          <c:overlay val="0"/>
          <c:spPr>
            <a:noFill/>
            <a:ln>
              <a:noFill/>
            </a:ln>
            <a:effectLst/>
          </c:sp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5425668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de-DE"/>
              <a:t>Price comparison of pigs</a:t>
            </a:r>
          </a:p>
        </c:rich>
      </c:tx>
      <c:layout>
        <c:manualLayout>
          <c:xMode val="edge"/>
          <c:yMode val="edge"/>
          <c:x val="0.36209711286089241"/>
          <c:y val="2.7777777777777776E-2"/>
        </c:manualLayout>
      </c:layout>
      <c:overlay val="0"/>
      <c:spPr>
        <a:noFill/>
        <a:ln>
          <a:noFill/>
        </a:ln>
        <a:effectLst/>
      </c:spPr>
    </c:title>
    <c:autoTitleDeleted val="0"/>
    <c:plotArea>
      <c:layout/>
      <c:lineChart>
        <c:grouping val="standard"/>
        <c:varyColors val="0"/>
        <c:ser>
          <c:idx val="0"/>
          <c:order val="0"/>
          <c:tx>
            <c:strRef>
              <c:f>'Price comparison pigs'!$F$6</c:f>
              <c:strCache>
                <c:ptCount val="1"/>
                <c:pt idx="0">
                  <c:v>EAA Pigs</c:v>
                </c:pt>
              </c:strCache>
            </c:strRef>
          </c:tx>
          <c:spPr>
            <a:ln w="28575" cap="rnd">
              <a:solidFill>
                <a:srgbClr val="FF0000"/>
              </a:solidFill>
              <a:round/>
            </a:ln>
            <a:effectLst/>
          </c:spPr>
          <c:marker>
            <c:symbol val="none"/>
          </c:marker>
          <c:cat>
            <c:numRef>
              <c:f>'Price comparison pigs'!$G$5:$R$5</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'Price comparison pigs'!$G$6:$R$6</c:f>
              <c:numCache>
                <c:formatCode>#,##0.00</c:formatCode>
                <c:ptCount val="12"/>
                <c:pt idx="0">
                  <c:v>1706.7444459074304</c:v>
                </c:pt>
                <c:pt idx="1">
                  <c:v>1677.149896357957</c:v>
                </c:pt>
                <c:pt idx="2">
                  <c:v>1517.267942397493</c:v>
                </c:pt>
                <c:pt idx="3">
                  <c:v>1360.5321243905428</c:v>
                </c:pt>
                <c:pt idx="4">
                  <c:v>1490.9913711001898</c:v>
                </c:pt>
                <c:pt idx="5">
                  <c:v>1599.7571262158303</c:v>
                </c:pt>
                <c:pt idx="6">
                  <c:v>1410.3647624477937</c:v>
                </c:pt>
                <c:pt idx="7">
                  <c:v>1747.3736269944704</c:v>
                </c:pt>
                <c:pt idx="8">
                  <c:v>1507.0555067567777</c:v>
                </c:pt>
                <c:pt idx="9">
                  <c:v>1356.8849940760167</c:v>
                </c:pt>
                <c:pt idx="10">
                  <c:v>1859.6559317778992</c:v>
                </c:pt>
                <c:pt idx="11">
                  <c:v>2275.184383418959</c:v>
                </c:pt>
              </c:numCache>
            </c:numRef>
          </c:val>
          <c:smooth val="0"/>
          <c:extLst>
            <c:ext xmlns:c16="http://schemas.microsoft.com/office/drawing/2014/chart" uri="{C3380CC4-5D6E-409C-BE32-E72D297353CC}">
              <c16:uniqueId val="{00000000-FF7F-439C-A738-FB61559F1DF9}"/>
            </c:ext>
          </c:extLst>
        </c:ser>
        <c:ser>
          <c:idx val="1"/>
          <c:order val="1"/>
          <c:tx>
            <c:strRef>
              <c:f>'Price comparison pigs'!$F$15</c:f>
              <c:strCache>
                <c:ptCount val="1"/>
                <c:pt idx="0">
                  <c:v>Import price (all pigs)</c:v>
                </c:pt>
              </c:strCache>
            </c:strRef>
          </c:tx>
          <c:spPr>
            <a:ln w="28575" cap="rnd">
              <a:solidFill>
                <a:schemeClr val="accent6">
                  <a:lumMod val="75000"/>
                </a:schemeClr>
              </a:solidFill>
              <a:round/>
            </a:ln>
            <a:effectLst/>
          </c:spPr>
          <c:marker>
            <c:symbol val="none"/>
          </c:marker>
          <c:cat>
            <c:numRef>
              <c:f>'Price comparison pigs'!$G$5:$R$5</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'Price comparison pigs'!$G$15:$R$15</c:f>
              <c:numCache>
                <c:formatCode>#,##0.00</c:formatCode>
                <c:ptCount val="12"/>
                <c:pt idx="0">
                  <c:v>1692.8558526423831</c:v>
                </c:pt>
                <c:pt idx="1">
                  <c:v>1683.0778812060209</c:v>
                </c:pt>
                <c:pt idx="2">
                  <c:v>1574.5796711169385</c:v>
                </c:pt>
                <c:pt idx="3">
                  <c:v>1348.5350455576076</c:v>
                </c:pt>
                <c:pt idx="4">
                  <c:v>1519.6999107678685</c:v>
                </c:pt>
                <c:pt idx="5">
                  <c:v>1783.20459953113</c:v>
                </c:pt>
                <c:pt idx="6">
                  <c:v>1449.7418496330765</c:v>
                </c:pt>
                <c:pt idx="7">
                  <c:v>1842.9538568073622</c:v>
                </c:pt>
                <c:pt idx="8">
                  <c:v>1814.7373652782023</c:v>
                </c:pt>
                <c:pt idx="9">
                  <c:v>1443.2457024813712</c:v>
                </c:pt>
                <c:pt idx="10">
                  <c:v>1743.0979077988027</c:v>
                </c:pt>
                <c:pt idx="11">
                  <c:v>2661.9677249862079</c:v>
                </c:pt>
              </c:numCache>
            </c:numRef>
          </c:val>
          <c:smooth val="0"/>
          <c:extLst>
            <c:ext xmlns:c16="http://schemas.microsoft.com/office/drawing/2014/chart" uri="{C3380CC4-5D6E-409C-BE32-E72D297353CC}">
              <c16:uniqueId val="{00000001-FF7F-439C-A738-FB61559F1DF9}"/>
            </c:ext>
          </c:extLst>
        </c:ser>
        <c:ser>
          <c:idx val="2"/>
          <c:order val="2"/>
          <c:tx>
            <c:strRef>
              <c:f>'Price comparison pigs'!$F$26</c:f>
              <c:strCache>
                <c:ptCount val="1"/>
              </c:strCache>
            </c:strRef>
          </c:tx>
          <c:spPr>
            <a:ln w="28575" cap="rnd">
              <a:solidFill>
                <a:schemeClr val="accent3"/>
              </a:solidFill>
              <a:round/>
            </a:ln>
            <a:effectLst/>
          </c:spPr>
          <c:marker>
            <c:symbol val="none"/>
          </c:marker>
          <c:cat>
            <c:numRef>
              <c:f>'Price comparison pigs'!$G$5:$R$5</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'Price comparison pigs'!$G$26:$R$26</c:f>
              <c:numCache>
                <c:formatCode>0.00</c:formatCode>
                <c:ptCount val="12"/>
              </c:numCache>
            </c:numRef>
          </c:val>
          <c:smooth val="0"/>
          <c:extLst>
            <c:ext xmlns:c16="http://schemas.microsoft.com/office/drawing/2014/chart" uri="{C3380CC4-5D6E-409C-BE32-E72D297353CC}">
              <c16:uniqueId val="{00000002-FF7F-439C-A738-FB61559F1DF9}"/>
            </c:ext>
          </c:extLst>
        </c:ser>
        <c:ser>
          <c:idx val="3"/>
          <c:order val="3"/>
          <c:tx>
            <c:strRef>
              <c:f>'Price comparison pigs'!$F$27</c:f>
              <c:strCache>
                <c:ptCount val="1"/>
                <c:pt idx="0">
                  <c:v>Export price (all pigs)</c:v>
                </c:pt>
              </c:strCache>
            </c:strRef>
          </c:tx>
          <c:spPr>
            <a:ln w="28575" cap="rnd">
              <a:solidFill>
                <a:schemeClr val="accent5">
                  <a:lumMod val="40000"/>
                  <a:lumOff val="60000"/>
                </a:schemeClr>
              </a:solidFill>
              <a:round/>
            </a:ln>
            <a:effectLst/>
          </c:spPr>
          <c:marker>
            <c:symbol val="none"/>
          </c:marker>
          <c:cat>
            <c:numRef>
              <c:f>'Price comparison pigs'!$G$5:$R$5</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'Price comparison pigs'!$G$27:$R$27</c:f>
              <c:numCache>
                <c:formatCode>#,##0.00</c:formatCode>
                <c:ptCount val="12"/>
                <c:pt idx="0">
                  <c:v>1644.4810521366453</c:v>
                </c:pt>
                <c:pt idx="1">
                  <c:v>1596.8520725212454</c:v>
                </c:pt>
                <c:pt idx="2">
                  <c:v>1560.758300427022</c:v>
                </c:pt>
                <c:pt idx="3">
                  <c:v>1391.1224641135991</c:v>
                </c:pt>
                <c:pt idx="4">
                  <c:v>1612.4697397844786</c:v>
                </c:pt>
                <c:pt idx="5">
                  <c:v>1888.6609524442636</c:v>
                </c:pt>
                <c:pt idx="6">
                  <c:v>1531.9337770249379</c:v>
                </c:pt>
                <c:pt idx="7">
                  <c:v>1957.0159011939422</c:v>
                </c:pt>
                <c:pt idx="8">
                  <c:v>1710.9337560174254</c:v>
                </c:pt>
                <c:pt idx="9">
                  <c:v>1333.5927742682861</c:v>
                </c:pt>
                <c:pt idx="10">
                  <c:v>1793.5224704996233</c:v>
                </c:pt>
                <c:pt idx="11">
                  <c:v>2436.4161527809233</c:v>
                </c:pt>
              </c:numCache>
            </c:numRef>
          </c:val>
          <c:smooth val="0"/>
          <c:extLst>
            <c:ext xmlns:c16="http://schemas.microsoft.com/office/drawing/2014/chart" uri="{C3380CC4-5D6E-409C-BE32-E72D297353CC}">
              <c16:uniqueId val="{00000003-FF7F-439C-A738-FB61559F1DF9}"/>
            </c:ext>
          </c:extLst>
        </c:ser>
        <c:dLbls>
          <c:showLegendKey val="0"/>
          <c:showVal val="0"/>
          <c:showCatName val="0"/>
          <c:showSerName val="0"/>
          <c:showPercent val="0"/>
          <c:showBubbleSize val="0"/>
        </c:dLbls>
        <c:smooth val="0"/>
        <c:axId val="418682200"/>
        <c:axId val="754395472"/>
      </c:lineChart>
      <c:catAx>
        <c:axId val="418682200"/>
        <c:scaling>
          <c:orientation val="minMax"/>
        </c:scaling>
        <c:delete val="0"/>
        <c:axPos val="b"/>
        <c:numFmt formatCode="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54395472"/>
        <c:crossesAt val="0"/>
        <c:auto val="1"/>
        <c:lblAlgn val="ctr"/>
        <c:lblOffset val="100"/>
        <c:noMultiLvlLbl val="0"/>
      </c:catAx>
      <c:valAx>
        <c:axId val="754395472"/>
        <c:scaling>
          <c:orientation val="minMax"/>
          <c:max val="2800"/>
          <c:min val="10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Euro/t</a:t>
                </a:r>
              </a:p>
            </c:rich>
          </c:tx>
          <c:layout>
            <c:manualLayout>
              <c:xMode val="edge"/>
              <c:yMode val="edge"/>
              <c:x val="9.7222222222222224E-2"/>
              <c:y val="3.1605424321959753E-4"/>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186822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de-DE"/>
              <a:t>Price comparison total poultry</a:t>
            </a:r>
          </a:p>
        </c:rich>
      </c:tx>
      <c:layout/>
      <c:overlay val="0"/>
      <c:spPr>
        <a:noFill/>
        <a:ln>
          <a:noFill/>
        </a:ln>
        <a:effectLst/>
      </c:spPr>
    </c:title>
    <c:autoTitleDeleted val="0"/>
    <c:plotArea>
      <c:layout>
        <c:manualLayout>
          <c:layoutTarget val="inner"/>
          <c:xMode val="edge"/>
          <c:yMode val="edge"/>
          <c:x val="7.4664969302455045E-2"/>
          <c:y val="0.1265206812652068"/>
          <c:w val="0.90976325692844306"/>
          <c:h val="0.79822135371764658"/>
        </c:manualLayout>
      </c:layout>
      <c:lineChart>
        <c:grouping val="standard"/>
        <c:varyColors val="0"/>
        <c:ser>
          <c:idx val="0"/>
          <c:order val="0"/>
          <c:tx>
            <c:v>EAA Geflügel</c:v>
          </c:tx>
          <c:spPr>
            <a:ln w="28575" cap="rnd">
              <a:solidFill>
                <a:srgbClr val="FF0000"/>
              </a:solidFill>
              <a:round/>
            </a:ln>
            <a:effectLst/>
          </c:spPr>
          <c:marker>
            <c:symbol val="none"/>
          </c:marker>
          <c:cat>
            <c:numRef>
              <c:f>'Price comparison livestock'!$G$5:$R$5</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'Price comparison poultry'!$G$4:$R$4</c:f>
              <c:numCache>
                <c:formatCode>#,##0</c:formatCode>
                <c:ptCount val="12"/>
                <c:pt idx="0">
                  <c:v>1196.2426926711967</c:v>
                </c:pt>
                <c:pt idx="1">
                  <c:v>1215.0374433551572</c:v>
                </c:pt>
                <c:pt idx="2">
                  <c:v>1170.3085603319973</c:v>
                </c:pt>
                <c:pt idx="3">
                  <c:v>1145.0686759157409</c:v>
                </c:pt>
                <c:pt idx="4">
                  <c:v>1099.3922013291794</c:v>
                </c:pt>
                <c:pt idx="5">
                  <c:v>1120.8393834687497</c:v>
                </c:pt>
                <c:pt idx="6">
                  <c:v>1155.5615595551481</c:v>
                </c:pt>
                <c:pt idx="7">
                  <c:v>1125.5170516879793</c:v>
                </c:pt>
                <c:pt idx="8">
                  <c:v>1053.0867849262061</c:v>
                </c:pt>
                <c:pt idx="9">
                  <c:v>1077.8375876882058</c:v>
                </c:pt>
                <c:pt idx="10">
                  <c:v>1453.264197918335</c:v>
                </c:pt>
                <c:pt idx="11">
                  <c:v>1507.9635898426109</c:v>
                </c:pt>
              </c:numCache>
            </c:numRef>
          </c:val>
          <c:smooth val="0"/>
          <c:extLst>
            <c:ext xmlns:c16="http://schemas.microsoft.com/office/drawing/2014/chart" uri="{C3380CC4-5D6E-409C-BE32-E72D297353CC}">
              <c16:uniqueId val="{00000000-F8FD-48E5-BACB-C2293108DDDC}"/>
            </c:ext>
          </c:extLst>
        </c:ser>
        <c:ser>
          <c:idx val="1"/>
          <c:order val="1"/>
          <c:tx>
            <c:v>Importpreis</c:v>
          </c:tx>
          <c:spPr>
            <a:ln w="28575" cap="rnd">
              <a:solidFill>
                <a:schemeClr val="accent6">
                  <a:lumMod val="75000"/>
                </a:schemeClr>
              </a:solidFill>
              <a:round/>
            </a:ln>
            <a:effectLst/>
          </c:spPr>
          <c:marker>
            <c:symbol val="none"/>
          </c:marker>
          <c:val>
            <c:numRef>
              <c:f>'Price comparison poultry'!$G$5:$R$5</c:f>
              <c:numCache>
                <c:formatCode>#,##0</c:formatCode>
                <c:ptCount val="12"/>
                <c:pt idx="0">
                  <c:v>11336.551385255734</c:v>
                </c:pt>
                <c:pt idx="1">
                  <c:v>12266.604737575473</c:v>
                </c:pt>
                <c:pt idx="2">
                  <c:v>11965.163197634933</c:v>
                </c:pt>
                <c:pt idx="3">
                  <c:v>13086.082648350412</c:v>
                </c:pt>
                <c:pt idx="4">
                  <c:v>13308.797807835821</c:v>
                </c:pt>
                <c:pt idx="5">
                  <c:v>13256.331618519984</c:v>
                </c:pt>
                <c:pt idx="6">
                  <c:v>14452.647992635591</c:v>
                </c:pt>
                <c:pt idx="7">
                  <c:v>17139.389175317319</c:v>
                </c:pt>
                <c:pt idx="8">
                  <c:v>17181.957615951262</c:v>
                </c:pt>
                <c:pt idx="9">
                  <c:v>17324.331318073819</c:v>
                </c:pt>
                <c:pt idx="10">
                  <c:v>21083.518655794414</c:v>
                </c:pt>
                <c:pt idx="11">
                  <c:v>23075.434690415601</c:v>
                </c:pt>
              </c:numCache>
            </c:numRef>
          </c:val>
          <c:smooth val="0"/>
          <c:extLst>
            <c:ext xmlns:c16="http://schemas.microsoft.com/office/drawing/2014/chart" uri="{C3380CC4-5D6E-409C-BE32-E72D297353CC}">
              <c16:uniqueId val="{00000001-F8FD-48E5-BACB-C2293108DDDC}"/>
            </c:ext>
          </c:extLst>
        </c:ser>
        <c:ser>
          <c:idx val="2"/>
          <c:order val="2"/>
          <c:tx>
            <c:v>Exportpreis</c:v>
          </c:tx>
          <c:spPr>
            <a:ln w="28575" cap="rnd">
              <a:solidFill>
                <a:schemeClr val="accent1">
                  <a:lumMod val="75000"/>
                </a:schemeClr>
              </a:solidFill>
              <a:round/>
            </a:ln>
            <a:effectLst/>
          </c:spPr>
          <c:marker>
            <c:symbol val="none"/>
          </c:marker>
          <c:val>
            <c:numRef>
              <c:f>'Price comparison poultry'!$G$7:$R$7</c:f>
              <c:numCache>
                <c:formatCode>#,##0.00</c:formatCode>
                <c:ptCount val="12"/>
                <c:pt idx="0">
                  <c:v>31331.509231319997</c:v>
                </c:pt>
                <c:pt idx="1">
                  <c:v>30893.028930758584</c:v>
                </c:pt>
                <c:pt idx="2">
                  <c:v>31391.625040847768</c:v>
                </c:pt>
                <c:pt idx="3">
                  <c:v>30172.749707754265</c:v>
                </c:pt>
                <c:pt idx="4">
                  <c:v>31356.916023470523</c:v>
                </c:pt>
                <c:pt idx="5">
                  <c:v>29118.038204239539</c:v>
                </c:pt>
                <c:pt idx="6">
                  <c:v>28381.796774653914</c:v>
                </c:pt>
                <c:pt idx="7">
                  <c:v>27022.936189201249</c:v>
                </c:pt>
                <c:pt idx="8">
                  <c:v>26646.36622005684</c:v>
                </c:pt>
                <c:pt idx="9">
                  <c:v>23354.000384232491</c:v>
                </c:pt>
                <c:pt idx="10">
                  <c:v>26002.320315862351</c:v>
                </c:pt>
                <c:pt idx="11">
                  <c:v>29557.148413624487</c:v>
                </c:pt>
              </c:numCache>
            </c:numRef>
          </c:val>
          <c:smooth val="0"/>
          <c:extLst>
            <c:ext xmlns:c16="http://schemas.microsoft.com/office/drawing/2014/chart" uri="{C3380CC4-5D6E-409C-BE32-E72D297353CC}">
              <c16:uniqueId val="{00000002-F8FD-48E5-BACB-C2293108DDDC}"/>
            </c:ext>
          </c:extLst>
        </c:ser>
        <c:dLbls>
          <c:showLegendKey val="0"/>
          <c:showVal val="0"/>
          <c:showCatName val="0"/>
          <c:showSerName val="0"/>
          <c:showPercent val="0"/>
          <c:showBubbleSize val="0"/>
        </c:dLbls>
        <c:smooth val="0"/>
        <c:axId val="668009424"/>
        <c:axId val="668006472"/>
      </c:lineChart>
      <c:catAx>
        <c:axId val="66800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68006472"/>
        <c:crosses val="autoZero"/>
        <c:auto val="1"/>
        <c:lblAlgn val="ctr"/>
        <c:lblOffset val="100"/>
        <c:noMultiLvlLbl val="0"/>
      </c:catAx>
      <c:valAx>
        <c:axId val="668006472"/>
        <c:scaling>
          <c:orientation val="minMax"/>
          <c:min val="5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t" anchorCtr="0"/>
              <a:lstStyle/>
              <a:p>
                <a:pPr>
                  <a:defRPr sz="1000" b="0" i="0" u="none" strike="noStrike" kern="1200" baseline="0">
                    <a:solidFill>
                      <a:schemeClr val="tx1">
                        <a:lumMod val="65000"/>
                        <a:lumOff val="35000"/>
                      </a:schemeClr>
                    </a:solidFill>
                    <a:latin typeface="+mn-lt"/>
                    <a:ea typeface="+mn-ea"/>
                    <a:cs typeface="+mn-cs"/>
                  </a:defRPr>
                </a:pPr>
                <a:r>
                  <a:rPr lang="de-DE"/>
                  <a:t>Euro/t</a:t>
                </a:r>
              </a:p>
            </c:rich>
          </c:tx>
          <c:layout>
            <c:manualLayout>
              <c:xMode val="edge"/>
              <c:yMode val="edge"/>
              <c:x val="7.7858868845509304E-3"/>
              <c:y val="3.381445932397141E-2"/>
            </c:manualLayout>
          </c:layout>
          <c:overlay val="0"/>
          <c:spPr>
            <a:noFill/>
            <a:ln>
              <a:noFill/>
            </a:ln>
            <a:effectLst/>
          </c:spPr>
        </c:title>
        <c:numFmt formatCode="#,##0" sourceLinked="1"/>
        <c:majorTickMark val="in"/>
        <c:minorTickMark val="none"/>
        <c:tickLblPos val="nextTo"/>
        <c:spPr>
          <a:noFill/>
          <a:ln>
            <a:solidFill>
              <a:schemeClr val="accent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68009424"/>
        <c:crosses val="autoZero"/>
        <c:crossBetween val="between"/>
      </c:valAx>
      <c:spPr>
        <a:noFill/>
        <a:ln>
          <a:noFill/>
        </a:ln>
        <a:effectLst/>
      </c:spPr>
    </c:plotArea>
    <c:legend>
      <c:legendPos val="b"/>
      <c:layout>
        <c:manualLayout>
          <c:xMode val="edge"/>
          <c:yMode val="edge"/>
          <c:x val="0.28096491660977968"/>
          <c:y val="0.83171089015332922"/>
          <c:w val="0.4769996012031954"/>
          <c:h val="5.47449087112286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de-DE"/>
              <a:t>Price comparison only chickens</a:t>
            </a:r>
          </a:p>
        </c:rich>
      </c:tx>
      <c:layout/>
      <c:overlay val="0"/>
      <c:spPr>
        <a:noFill/>
        <a:ln>
          <a:noFill/>
        </a:ln>
        <a:effectLst/>
      </c:spPr>
    </c:title>
    <c:autoTitleDeleted val="0"/>
    <c:plotArea>
      <c:layout>
        <c:manualLayout>
          <c:layoutTarget val="inner"/>
          <c:xMode val="edge"/>
          <c:yMode val="edge"/>
          <c:x val="0.16032753390856083"/>
          <c:y val="0.1033091202582728"/>
          <c:w val="0.81771637826708787"/>
          <c:h val="0.67948853850895741"/>
        </c:manualLayout>
      </c:layout>
      <c:lineChart>
        <c:grouping val="standard"/>
        <c:varyColors val="0"/>
        <c:ser>
          <c:idx val="0"/>
          <c:order val="0"/>
          <c:tx>
            <c:v>EAA Hühner</c:v>
          </c:tx>
          <c:spPr>
            <a:ln w="28575" cap="rnd">
              <a:solidFill>
                <a:srgbClr val="FF0000"/>
              </a:solidFill>
              <a:round/>
            </a:ln>
            <a:effectLst/>
          </c:spPr>
          <c:marker>
            <c:symbol val="none"/>
          </c:marker>
          <c:cat>
            <c:numRef>
              <c:f>'Price comparison pigs'!$G$5:$R$5</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'Price comparison poultry'!$G$9:$R$9</c:f>
              <c:numCache>
                <c:formatCode>#,##0</c:formatCode>
                <c:ptCount val="12"/>
                <c:pt idx="0">
                  <c:v>910.49222009001221</c:v>
                </c:pt>
                <c:pt idx="1">
                  <c:v>1452.3717726538043</c:v>
                </c:pt>
                <c:pt idx="2">
                  <c:v>892.8402699915124</c:v>
                </c:pt>
                <c:pt idx="3">
                  <c:v>863.08259104514104</c:v>
                </c:pt>
                <c:pt idx="4">
                  <c:v>830.16638668801932</c:v>
                </c:pt>
                <c:pt idx="5">
                  <c:v>830.59366329826082</c:v>
                </c:pt>
                <c:pt idx="6">
                  <c:v>1214.8536939888313</c:v>
                </c:pt>
                <c:pt idx="7">
                  <c:v>1140.6939883126802</c:v>
                </c:pt>
                <c:pt idx="8">
                  <c:v>768.86881987963329</c:v>
                </c:pt>
                <c:pt idx="9">
                  <c:v>838.24232155391633</c:v>
                </c:pt>
                <c:pt idx="10">
                  <c:v>1190.1310802823036</c:v>
                </c:pt>
                <c:pt idx="11">
                  <c:v>1187.7481283215552</c:v>
                </c:pt>
              </c:numCache>
            </c:numRef>
          </c:val>
          <c:smooth val="0"/>
          <c:extLst>
            <c:ext xmlns:c16="http://schemas.microsoft.com/office/drawing/2014/chart" uri="{C3380CC4-5D6E-409C-BE32-E72D297353CC}">
              <c16:uniqueId val="{00000000-4116-43B6-A5FB-4A85B69A3F79}"/>
            </c:ext>
          </c:extLst>
        </c:ser>
        <c:ser>
          <c:idx val="1"/>
          <c:order val="1"/>
          <c:tx>
            <c:v>Importpreis</c:v>
          </c:tx>
          <c:spPr>
            <a:ln w="28575" cap="rnd">
              <a:solidFill>
                <a:schemeClr val="accent6">
                  <a:lumMod val="75000"/>
                </a:schemeClr>
              </a:solidFill>
              <a:round/>
            </a:ln>
            <a:effectLst/>
          </c:spPr>
          <c:marker>
            <c:symbol val="none"/>
          </c:marker>
          <c:val>
            <c:numRef>
              <c:f>'Price comparison poultry'!$G$10:$R$10</c:f>
              <c:numCache>
                <c:formatCode>#,##0</c:formatCode>
                <c:ptCount val="12"/>
                <c:pt idx="0">
                  <c:v>11025.356172403957</c:v>
                </c:pt>
                <c:pt idx="1">
                  <c:v>11830.184909082524</c:v>
                </c:pt>
                <c:pt idx="2">
                  <c:v>11352.583179173704</c:v>
                </c:pt>
                <c:pt idx="3">
                  <c:v>12386.334556001024</c:v>
                </c:pt>
                <c:pt idx="4">
                  <c:v>12363.677230838392</c:v>
                </c:pt>
                <c:pt idx="5">
                  <c:v>12229.832964240959</c:v>
                </c:pt>
                <c:pt idx="6">
                  <c:v>13581.674076937947</c:v>
                </c:pt>
                <c:pt idx="7">
                  <c:v>16266.163665266806</c:v>
                </c:pt>
                <c:pt idx="8">
                  <c:v>16521.233402831123</c:v>
                </c:pt>
                <c:pt idx="9">
                  <c:v>17421.019014395912</c:v>
                </c:pt>
                <c:pt idx="10">
                  <c:v>21240.188792406581</c:v>
                </c:pt>
                <c:pt idx="11">
                  <c:v>23273.186352999135</c:v>
                </c:pt>
              </c:numCache>
            </c:numRef>
          </c:val>
          <c:smooth val="0"/>
          <c:extLst>
            <c:ext xmlns:c16="http://schemas.microsoft.com/office/drawing/2014/chart" uri="{C3380CC4-5D6E-409C-BE32-E72D297353CC}">
              <c16:uniqueId val="{00000001-4116-43B6-A5FB-4A85B69A3F79}"/>
            </c:ext>
          </c:extLst>
        </c:ser>
        <c:ser>
          <c:idx val="2"/>
          <c:order val="2"/>
          <c:tx>
            <c:v>Exportpreis</c:v>
          </c:tx>
          <c:spPr>
            <a:ln w="28575" cap="rnd">
              <a:solidFill>
                <a:schemeClr val="accent5">
                  <a:lumMod val="75000"/>
                </a:schemeClr>
              </a:solidFill>
              <a:round/>
            </a:ln>
            <a:effectLst/>
          </c:spPr>
          <c:marker>
            <c:symbol val="none"/>
          </c:marker>
          <c:val>
            <c:numRef>
              <c:f>'Price comparison poultry'!$G$12:$R$12</c:f>
              <c:numCache>
                <c:formatCode>#,##0</c:formatCode>
                <c:ptCount val="12"/>
                <c:pt idx="0">
                  <c:v>32349.139310168299</c:v>
                </c:pt>
                <c:pt idx="1">
                  <c:v>31971.01184494991</c:v>
                </c:pt>
                <c:pt idx="2">
                  <c:v>33217.276048233281</c:v>
                </c:pt>
                <c:pt idx="3">
                  <c:v>31346.639341827795</c:v>
                </c:pt>
                <c:pt idx="4">
                  <c:v>33546.799554289952</c:v>
                </c:pt>
                <c:pt idx="5">
                  <c:v>30833.259252674314</c:v>
                </c:pt>
                <c:pt idx="6">
                  <c:v>29496.226267269074</c:v>
                </c:pt>
                <c:pt idx="7">
                  <c:v>27539.348202517249</c:v>
                </c:pt>
                <c:pt idx="8">
                  <c:v>27811.80531180531</c:v>
                </c:pt>
                <c:pt idx="9">
                  <c:v>23143.786295005808</c:v>
                </c:pt>
                <c:pt idx="10">
                  <c:v>26592.094529453934</c:v>
                </c:pt>
                <c:pt idx="11">
                  <c:v>30262.699142898644</c:v>
                </c:pt>
              </c:numCache>
            </c:numRef>
          </c:val>
          <c:smooth val="0"/>
          <c:extLst>
            <c:ext xmlns:c16="http://schemas.microsoft.com/office/drawing/2014/chart" uri="{C3380CC4-5D6E-409C-BE32-E72D297353CC}">
              <c16:uniqueId val="{00000002-4116-43B6-A5FB-4A85B69A3F79}"/>
            </c:ext>
          </c:extLst>
        </c:ser>
        <c:dLbls>
          <c:showLegendKey val="0"/>
          <c:showVal val="0"/>
          <c:showCatName val="0"/>
          <c:showSerName val="0"/>
          <c:showPercent val="0"/>
          <c:showBubbleSize val="0"/>
        </c:dLbls>
        <c:smooth val="0"/>
        <c:axId val="789966752"/>
        <c:axId val="789968720"/>
      </c:lineChart>
      <c:catAx>
        <c:axId val="789966752"/>
        <c:scaling>
          <c:orientation val="minMax"/>
        </c:scaling>
        <c:delete val="0"/>
        <c:axPos val="b"/>
        <c:title>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89968720"/>
        <c:crosses val="autoZero"/>
        <c:auto val="1"/>
        <c:lblAlgn val="ctr"/>
        <c:lblOffset val="100"/>
        <c:noMultiLvlLbl val="0"/>
      </c:catAx>
      <c:valAx>
        <c:axId val="7899687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t" anchorCtr="0"/>
              <a:lstStyle/>
              <a:p>
                <a:pPr>
                  <a:defRPr sz="1000" b="0" i="0" u="none" strike="noStrike" kern="1200" baseline="0">
                    <a:solidFill>
                      <a:schemeClr val="tx1">
                        <a:lumMod val="65000"/>
                        <a:lumOff val="35000"/>
                      </a:schemeClr>
                    </a:solidFill>
                    <a:latin typeface="+mn-lt"/>
                    <a:ea typeface="+mn-ea"/>
                    <a:cs typeface="+mn-cs"/>
                  </a:defRPr>
                </a:pPr>
                <a:r>
                  <a:rPr lang="de-DE"/>
                  <a:t>Euro/tl</a:t>
                </a:r>
              </a:p>
            </c:rich>
          </c:tx>
          <c:layout>
            <c:manualLayout>
              <c:xMode val="edge"/>
              <c:yMode val="edge"/>
              <c:x val="8.7824351297405193E-2"/>
              <c:y val="1.172955075530812E-2"/>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899667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de-DE"/>
              <a:t>Foreign trade breeding poultry</a:t>
            </a:r>
          </a:p>
        </c:rich>
      </c:tx>
      <c:layout/>
      <c:overlay val="0"/>
      <c:spPr>
        <a:noFill/>
        <a:ln>
          <a:noFill/>
        </a:ln>
        <a:effectLst/>
      </c:spPr>
    </c:title>
    <c:autoTitleDeleted val="0"/>
    <c:plotArea>
      <c:layout/>
      <c:lineChart>
        <c:grouping val="standard"/>
        <c:varyColors val="0"/>
        <c:ser>
          <c:idx val="0"/>
          <c:order val="0"/>
          <c:tx>
            <c:v>Import Stk</c:v>
          </c:tx>
          <c:spPr>
            <a:ln w="28575" cap="rnd">
              <a:solidFill>
                <a:schemeClr val="accent1"/>
              </a:solidFill>
              <a:round/>
            </a:ln>
            <a:effectLst/>
          </c:spPr>
          <c:marker>
            <c:symbol val="none"/>
          </c:marker>
          <c:cat>
            <c:numRef>
              <c:f>'Price comparison poultry'!$G$29:$R$29</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'Price comparison poultry'!$G$30:$R$30</c:f>
              <c:numCache>
                <c:formatCode>#,##0</c:formatCode>
                <c:ptCount val="12"/>
                <c:pt idx="0">
                  <c:v>157424695</c:v>
                </c:pt>
                <c:pt idx="1">
                  <c:v>151127721</c:v>
                </c:pt>
                <c:pt idx="2">
                  <c:v>174792587</c:v>
                </c:pt>
                <c:pt idx="3">
                  <c:v>161941936</c:v>
                </c:pt>
                <c:pt idx="4">
                  <c:v>157260278</c:v>
                </c:pt>
                <c:pt idx="5">
                  <c:v>138613958</c:v>
                </c:pt>
                <c:pt idx="6">
                  <c:v>121944122</c:v>
                </c:pt>
                <c:pt idx="7">
                  <c:v>103222452</c:v>
                </c:pt>
                <c:pt idx="8">
                  <c:v>110348178</c:v>
                </c:pt>
                <c:pt idx="9">
                  <c:v>101509645</c:v>
                </c:pt>
                <c:pt idx="10">
                  <c:v>96829941</c:v>
                </c:pt>
                <c:pt idx="11">
                  <c:v>88224043</c:v>
                </c:pt>
              </c:numCache>
            </c:numRef>
          </c:val>
          <c:smooth val="0"/>
          <c:extLst>
            <c:ext xmlns:c16="http://schemas.microsoft.com/office/drawing/2014/chart" uri="{C3380CC4-5D6E-409C-BE32-E72D297353CC}">
              <c16:uniqueId val="{00000000-BC29-4918-A72C-824E25D6C7EC}"/>
            </c:ext>
          </c:extLst>
        </c:ser>
        <c:ser>
          <c:idx val="1"/>
          <c:order val="1"/>
          <c:tx>
            <c:v>Export Stk</c:v>
          </c:tx>
          <c:spPr>
            <a:ln w="28575" cap="rnd">
              <a:solidFill>
                <a:schemeClr val="accent2"/>
              </a:solidFill>
              <a:round/>
            </a:ln>
            <a:effectLst/>
          </c:spPr>
          <c:marker>
            <c:symbol val="none"/>
          </c:marker>
          <c:cat>
            <c:numRef>
              <c:f>'Price comparison poultry'!$G$29:$R$29</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'Price comparison poultry'!$G$31:$R$31</c:f>
              <c:numCache>
                <c:formatCode>#,##0</c:formatCode>
                <c:ptCount val="12"/>
                <c:pt idx="0">
                  <c:v>80876261</c:v>
                </c:pt>
                <c:pt idx="1">
                  <c:v>85864407</c:v>
                </c:pt>
                <c:pt idx="2">
                  <c:v>84418515</c:v>
                </c:pt>
                <c:pt idx="3">
                  <c:v>90800514</c:v>
                </c:pt>
                <c:pt idx="4">
                  <c:v>90371980</c:v>
                </c:pt>
                <c:pt idx="5">
                  <c:v>98582057</c:v>
                </c:pt>
                <c:pt idx="6">
                  <c:v>112606925</c:v>
                </c:pt>
                <c:pt idx="7">
                  <c:v>112230987</c:v>
                </c:pt>
                <c:pt idx="8">
                  <c:v>103160934</c:v>
                </c:pt>
                <c:pt idx="9">
                  <c:v>115596313</c:v>
                </c:pt>
                <c:pt idx="10">
                  <c:v>108600641</c:v>
                </c:pt>
                <c:pt idx="11">
                  <c:v>112914429</c:v>
                </c:pt>
              </c:numCache>
            </c:numRef>
          </c:val>
          <c:smooth val="0"/>
          <c:extLst>
            <c:ext xmlns:c16="http://schemas.microsoft.com/office/drawing/2014/chart" uri="{C3380CC4-5D6E-409C-BE32-E72D297353CC}">
              <c16:uniqueId val="{00000001-BC29-4918-A72C-824E25D6C7EC}"/>
            </c:ext>
          </c:extLst>
        </c:ser>
        <c:ser>
          <c:idx val="2"/>
          <c:order val="2"/>
          <c:tx>
            <c:v>trade balance Euro</c:v>
          </c:tx>
          <c:spPr>
            <a:ln w="28575" cap="rnd">
              <a:solidFill>
                <a:schemeClr val="accent3"/>
              </a:solidFill>
              <a:round/>
            </a:ln>
            <a:effectLst/>
          </c:spPr>
          <c:marker>
            <c:symbol val="none"/>
          </c:marker>
          <c:cat>
            <c:numRef>
              <c:f>'Price comparison poultry'!$G$29:$R$29</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'Price comparison poultry'!$G$32:$R$32</c:f>
              <c:numCache>
                <c:formatCode>#,##0</c:formatCode>
                <c:ptCount val="12"/>
                <c:pt idx="0">
                  <c:v>44084000</c:v>
                </c:pt>
                <c:pt idx="1">
                  <c:v>49792000</c:v>
                </c:pt>
                <c:pt idx="2">
                  <c:v>44638000</c:v>
                </c:pt>
                <c:pt idx="3">
                  <c:v>46406000</c:v>
                </c:pt>
                <c:pt idx="4">
                  <c:v>57790000</c:v>
                </c:pt>
                <c:pt idx="5">
                  <c:v>64110000</c:v>
                </c:pt>
                <c:pt idx="6">
                  <c:v>82167000</c:v>
                </c:pt>
                <c:pt idx="7">
                  <c:v>77263000</c:v>
                </c:pt>
                <c:pt idx="8">
                  <c:v>58286000</c:v>
                </c:pt>
                <c:pt idx="9">
                  <c:v>60074000</c:v>
                </c:pt>
                <c:pt idx="10">
                  <c:v>53634000</c:v>
                </c:pt>
                <c:pt idx="11">
                  <c:v>72523000</c:v>
                </c:pt>
              </c:numCache>
            </c:numRef>
          </c:val>
          <c:smooth val="0"/>
          <c:extLst>
            <c:ext xmlns:c16="http://schemas.microsoft.com/office/drawing/2014/chart" uri="{C3380CC4-5D6E-409C-BE32-E72D297353CC}">
              <c16:uniqueId val="{00000002-BC29-4918-A72C-824E25D6C7EC}"/>
            </c:ext>
          </c:extLst>
        </c:ser>
        <c:dLbls>
          <c:showLegendKey val="0"/>
          <c:showVal val="0"/>
          <c:showCatName val="0"/>
          <c:showSerName val="0"/>
          <c:showPercent val="0"/>
          <c:showBubbleSize val="0"/>
        </c:dLbls>
        <c:smooth val="0"/>
        <c:axId val="604440824"/>
        <c:axId val="604443448"/>
      </c:lineChart>
      <c:catAx>
        <c:axId val="604440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04443448"/>
        <c:crosses val="autoZero"/>
        <c:auto val="1"/>
        <c:lblAlgn val="ctr"/>
        <c:lblOffset val="100"/>
        <c:noMultiLvlLbl val="0"/>
      </c:catAx>
      <c:valAx>
        <c:axId val="6044434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044408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de-DE"/>
              <a:t>Price comparison cattle</a:t>
            </a:r>
          </a:p>
        </c:rich>
      </c:tx>
      <c:layout/>
      <c:overlay val="0"/>
      <c:spPr>
        <a:noFill/>
        <a:ln>
          <a:noFill/>
        </a:ln>
        <a:effectLst/>
      </c:spPr>
    </c:title>
    <c:autoTitleDeleted val="0"/>
    <c:plotArea>
      <c:layout>
        <c:manualLayout>
          <c:layoutTarget val="inner"/>
          <c:xMode val="edge"/>
          <c:yMode val="edge"/>
          <c:x val="8.1702111283010442E-2"/>
          <c:y val="0.14106673683784385"/>
          <c:w val="0.90125850083436054"/>
          <c:h val="0.69812305595476654"/>
        </c:manualLayout>
      </c:layout>
      <c:lineChart>
        <c:grouping val="standard"/>
        <c:varyColors val="0"/>
        <c:ser>
          <c:idx val="0"/>
          <c:order val="0"/>
          <c:tx>
            <c:strRef>
              <c:f>'Price comparison cattle'!$F$13</c:f>
              <c:strCache>
                <c:ptCount val="1"/>
                <c:pt idx="0">
                  <c:v>EAA producer price</c:v>
                </c:pt>
              </c:strCache>
            </c:strRef>
          </c:tx>
          <c:spPr>
            <a:ln w="28575" cap="rnd">
              <a:solidFill>
                <a:srgbClr val="FF0000"/>
              </a:solidFill>
              <a:round/>
            </a:ln>
            <a:effectLst/>
          </c:spPr>
          <c:marker>
            <c:symbol val="none"/>
          </c:marker>
          <c:cat>
            <c:numRef>
              <c:f>'Price comparison cattle'!$G$12:$R$12</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'Price comparison cattle'!$G$13:$R$13</c:f>
              <c:numCache>
                <c:formatCode>#,##0.00</c:formatCode>
                <c:ptCount val="12"/>
                <c:pt idx="0">
                  <c:v>3542.7138551977018</c:v>
                </c:pt>
                <c:pt idx="1">
                  <c:v>3421.459630355228</c:v>
                </c:pt>
                <c:pt idx="2">
                  <c:v>3221.3834595822295</c:v>
                </c:pt>
                <c:pt idx="3">
                  <c:v>3253.911932966942</c:v>
                </c:pt>
                <c:pt idx="4">
                  <c:v>3117.6171548859406</c:v>
                </c:pt>
                <c:pt idx="5">
                  <c:v>3438.3985297822528</c:v>
                </c:pt>
                <c:pt idx="6">
                  <c:v>3377.1233526597507</c:v>
                </c:pt>
                <c:pt idx="7">
                  <c:v>3196.3874441764942</c:v>
                </c:pt>
                <c:pt idx="8">
                  <c:v>3071.3664077960234</c:v>
                </c:pt>
                <c:pt idx="9">
                  <c:v>3601.1883249003822</c:v>
                </c:pt>
                <c:pt idx="10">
                  <c:v>4692.0503747350549</c:v>
                </c:pt>
                <c:pt idx="11">
                  <c:v>4371.5550792094364</c:v>
                </c:pt>
              </c:numCache>
            </c:numRef>
          </c:val>
          <c:smooth val="0"/>
          <c:extLst>
            <c:ext xmlns:c16="http://schemas.microsoft.com/office/drawing/2014/chart" uri="{C3380CC4-5D6E-409C-BE32-E72D297353CC}">
              <c16:uniqueId val="{00000003-FFA4-4656-B22E-4768995839DA}"/>
            </c:ext>
          </c:extLst>
        </c:ser>
        <c:ser>
          <c:idx val="1"/>
          <c:order val="1"/>
          <c:tx>
            <c:strRef>
              <c:f>'Price comparison cattle'!$F$14</c:f>
              <c:strCache>
                <c:ptCount val="1"/>
                <c:pt idx="0">
                  <c:v>Import price</c:v>
                </c:pt>
              </c:strCache>
            </c:strRef>
          </c:tx>
          <c:spPr>
            <a:ln w="28575" cap="rnd">
              <a:solidFill>
                <a:schemeClr val="accent6">
                  <a:lumMod val="75000"/>
                </a:schemeClr>
              </a:solidFill>
              <a:round/>
            </a:ln>
            <a:effectLst/>
          </c:spPr>
          <c:marker>
            <c:symbol val="none"/>
          </c:marker>
          <c:val>
            <c:numRef>
              <c:f>'Price comparison cattle'!$G$14:$R$14</c:f>
              <c:numCache>
                <c:formatCode>#,##0.00</c:formatCode>
                <c:ptCount val="12"/>
                <c:pt idx="0">
                  <c:v>3042.7679179931479</c:v>
                </c:pt>
                <c:pt idx="1">
                  <c:v>2795.5921938088827</c:v>
                </c:pt>
                <c:pt idx="2">
                  <c:v>2717.4630914762392</c:v>
                </c:pt>
                <c:pt idx="3">
                  <c:v>2722.983870967742</c:v>
                </c:pt>
                <c:pt idx="4">
                  <c:v>2752.791332395997</c:v>
                </c:pt>
                <c:pt idx="5">
                  <c:v>2715.0823371653773</c:v>
                </c:pt>
                <c:pt idx="6">
                  <c:v>2823.0671736375157</c:v>
                </c:pt>
                <c:pt idx="7">
                  <c:v>2980.9054060653416</c:v>
                </c:pt>
                <c:pt idx="8">
                  <c:v>2584.2455462545608</c:v>
                </c:pt>
                <c:pt idx="9">
                  <c:v>3193.50363176365</c:v>
                </c:pt>
                <c:pt idx="10">
                  <c:v>3698.9306279133534</c:v>
                </c:pt>
                <c:pt idx="11">
                  <c:v>3551.3545835058185</c:v>
                </c:pt>
              </c:numCache>
            </c:numRef>
          </c:val>
          <c:smooth val="0"/>
          <c:extLst>
            <c:ext xmlns:c16="http://schemas.microsoft.com/office/drawing/2014/chart" uri="{C3380CC4-5D6E-409C-BE32-E72D297353CC}">
              <c16:uniqueId val="{00000004-FFA4-4656-B22E-4768995839DA}"/>
            </c:ext>
          </c:extLst>
        </c:ser>
        <c:ser>
          <c:idx val="2"/>
          <c:order val="2"/>
          <c:tx>
            <c:strRef>
              <c:f>'Price comparison cattle'!$F$18</c:f>
              <c:strCache>
                <c:ptCount val="1"/>
                <c:pt idx="0">
                  <c:v>Export price</c:v>
                </c:pt>
              </c:strCache>
            </c:strRef>
          </c:tx>
          <c:spPr>
            <a:ln w="28575" cap="rnd">
              <a:solidFill>
                <a:schemeClr val="accent1">
                  <a:lumMod val="75000"/>
                </a:schemeClr>
              </a:solidFill>
              <a:round/>
            </a:ln>
            <a:effectLst/>
          </c:spPr>
          <c:marker>
            <c:symbol val="none"/>
          </c:marker>
          <c:val>
            <c:numRef>
              <c:f>'Price comparison cattle'!$G$18:$R$18</c:f>
              <c:numCache>
                <c:formatCode>#,##0.00</c:formatCode>
                <c:ptCount val="12"/>
                <c:pt idx="0">
                  <c:v>3234.6083956631542</c:v>
                </c:pt>
                <c:pt idx="1">
                  <c:v>3128.9891312421087</c:v>
                </c:pt>
                <c:pt idx="2">
                  <c:v>3122.9425297374246</c:v>
                </c:pt>
                <c:pt idx="3">
                  <c:v>3205.1693845258906</c:v>
                </c:pt>
                <c:pt idx="4">
                  <c:v>3054.2351364694273</c:v>
                </c:pt>
                <c:pt idx="5">
                  <c:v>3433.0831913816128</c:v>
                </c:pt>
                <c:pt idx="6">
                  <c:v>3372.0262223181321</c:v>
                </c:pt>
                <c:pt idx="7">
                  <c:v>3100.3322744367765</c:v>
                </c:pt>
                <c:pt idx="8">
                  <c:v>2901.3162853032827</c:v>
                </c:pt>
                <c:pt idx="9">
                  <c:v>2920.7568702173403</c:v>
                </c:pt>
                <c:pt idx="10">
                  <c:v>3485.2120840513226</c:v>
                </c:pt>
                <c:pt idx="11">
                  <c:v>3415.9933864140062</c:v>
                </c:pt>
              </c:numCache>
            </c:numRef>
          </c:val>
          <c:smooth val="0"/>
          <c:extLst>
            <c:ext xmlns:c16="http://schemas.microsoft.com/office/drawing/2014/chart" uri="{C3380CC4-5D6E-409C-BE32-E72D297353CC}">
              <c16:uniqueId val="{00000005-FFA4-4656-B22E-4768995839DA}"/>
            </c:ext>
          </c:extLst>
        </c:ser>
        <c:dLbls>
          <c:showLegendKey val="0"/>
          <c:showVal val="0"/>
          <c:showCatName val="0"/>
          <c:showSerName val="0"/>
          <c:showPercent val="0"/>
          <c:showBubbleSize val="0"/>
        </c:dLbls>
        <c:smooth val="0"/>
        <c:axId val="780692120"/>
        <c:axId val="780688184"/>
      </c:lineChart>
      <c:catAx>
        <c:axId val="780692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80688184"/>
        <c:crosses val="autoZero"/>
        <c:auto val="1"/>
        <c:lblAlgn val="ctr"/>
        <c:lblOffset val="100"/>
        <c:noMultiLvlLbl val="0"/>
      </c:catAx>
      <c:valAx>
        <c:axId val="780688184"/>
        <c:scaling>
          <c:orientation val="minMax"/>
          <c:min val="20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Euro/t</a:t>
                </a:r>
              </a:p>
            </c:rich>
          </c:tx>
          <c:layout>
            <c:manualLayout>
              <c:xMode val="edge"/>
              <c:yMode val="edge"/>
              <c:x val="0"/>
              <c:y val="2.8765594532045965E-2"/>
            </c:manualLayout>
          </c:layout>
          <c:overlay val="0"/>
          <c:spPr>
            <a:noFill/>
            <a:ln>
              <a:noFill/>
            </a:ln>
            <a:effectLst/>
          </c:spPr>
        </c:title>
        <c:numFmt formatCode="#,##0" sourceLinked="0"/>
        <c:majorTickMark val="in"/>
        <c:minorTickMark val="none"/>
        <c:tickLblPos val="nextTo"/>
        <c:spPr>
          <a:noFill/>
          <a:ln>
            <a:solidFill>
              <a:srgbClr val="0070C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80692120"/>
        <c:crosses val="autoZero"/>
        <c:crossBetween val="between"/>
      </c:valAx>
      <c:spPr>
        <a:noFill/>
        <a:ln>
          <a:noFill/>
        </a:ln>
        <a:effectLst/>
      </c:spPr>
    </c:plotArea>
    <c:legend>
      <c:legendPos val="b"/>
      <c:layout>
        <c:manualLayout>
          <c:xMode val="edge"/>
          <c:yMode val="edge"/>
          <c:x val="0.23397832151714981"/>
          <c:y val="0.75734779939139996"/>
          <c:w val="0.62125193066463025"/>
          <c:h val="5.784102180029553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de-DE"/>
              <a:t>Price comparison calves</a:t>
            </a:r>
          </a:p>
        </c:rich>
      </c:tx>
      <c:layout/>
      <c:overlay val="0"/>
      <c:spPr>
        <a:noFill/>
        <a:ln>
          <a:noFill/>
        </a:ln>
        <a:effectLst/>
      </c:spPr>
    </c:title>
    <c:autoTitleDeleted val="0"/>
    <c:plotArea>
      <c:layout>
        <c:manualLayout>
          <c:layoutTarget val="inner"/>
          <c:xMode val="edge"/>
          <c:yMode val="edge"/>
          <c:x val="0.12039531371427734"/>
          <c:y val="0.12736318407960198"/>
          <c:w val="0.79270214128261896"/>
          <c:h val="0.77284224546558544"/>
        </c:manualLayout>
      </c:layout>
      <c:lineChart>
        <c:grouping val="standard"/>
        <c:varyColors val="0"/>
        <c:ser>
          <c:idx val="0"/>
          <c:order val="0"/>
          <c:tx>
            <c:v>EAA producer price calves</c:v>
          </c:tx>
          <c:spPr>
            <a:ln w="28575" cap="rnd">
              <a:solidFill>
                <a:srgbClr val="FF0000"/>
              </a:solidFill>
              <a:round/>
            </a:ln>
            <a:effectLst/>
          </c:spPr>
          <c:marker>
            <c:symbol val="none"/>
          </c:marker>
          <c:cat>
            <c:numRef>
              <c:f>'Price comparison cattle'!$G$12:$R$12</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'Price comparison cattle'!$G$22:$R$22</c:f>
              <c:numCache>
                <c:formatCode>#,##0.00</c:formatCode>
                <c:ptCount val="12"/>
                <c:pt idx="0">
                  <c:v>5060.717741938186</c:v>
                </c:pt>
                <c:pt idx="1">
                  <c:v>4863.3887956479148</c:v>
                </c:pt>
                <c:pt idx="2">
                  <c:v>4449.0529797059926</c:v>
                </c:pt>
                <c:pt idx="3">
                  <c:v>4068.5897880091461</c:v>
                </c:pt>
                <c:pt idx="4">
                  <c:v>3813.0915826145324</c:v>
                </c:pt>
                <c:pt idx="5">
                  <c:v>5279.3845558380617</c:v>
                </c:pt>
                <c:pt idx="6">
                  <c:v>4240.2527566842145</c:v>
                </c:pt>
                <c:pt idx="7">
                  <c:v>3771.7600191805509</c:v>
                </c:pt>
                <c:pt idx="8">
                  <c:v>3475.2662751266298</c:v>
                </c:pt>
                <c:pt idx="9">
                  <c:v>3890.2868291041068</c:v>
                </c:pt>
                <c:pt idx="10">
                  <c:v>4837.7995506245234</c:v>
                </c:pt>
                <c:pt idx="11">
                  <c:v>5061.212109706099</c:v>
                </c:pt>
              </c:numCache>
            </c:numRef>
          </c:val>
          <c:smooth val="0"/>
          <c:extLst>
            <c:ext xmlns:c16="http://schemas.microsoft.com/office/drawing/2014/chart" uri="{C3380CC4-5D6E-409C-BE32-E72D297353CC}">
              <c16:uniqueId val="{00000000-0979-463D-B6BE-D04E77CBEE0A}"/>
            </c:ext>
          </c:extLst>
        </c:ser>
        <c:ser>
          <c:idx val="1"/>
          <c:order val="1"/>
          <c:tx>
            <c:v>Import price</c:v>
          </c:tx>
          <c:spPr>
            <a:ln w="28575" cap="rnd">
              <a:solidFill>
                <a:schemeClr val="accent6">
                  <a:lumMod val="75000"/>
                </a:schemeClr>
              </a:solidFill>
              <a:round/>
            </a:ln>
            <a:effectLst/>
          </c:spPr>
          <c:marker>
            <c:symbol val="none"/>
          </c:marker>
          <c:val>
            <c:numRef>
              <c:f>'Price comparison cattle'!$G$23:$R$23</c:f>
              <c:numCache>
                <c:formatCode>#,##0.00</c:formatCode>
                <c:ptCount val="12"/>
                <c:pt idx="0">
                  <c:v>3559.2030193978758</c:v>
                </c:pt>
                <c:pt idx="1">
                  <c:v>2987.2631916943169</c:v>
                </c:pt>
                <c:pt idx="2">
                  <c:v>2652.9928840519042</c:v>
                </c:pt>
                <c:pt idx="3">
                  <c:v>2593.6199722607494</c:v>
                </c:pt>
                <c:pt idx="4">
                  <c:v>2796.4285714285711</c:v>
                </c:pt>
                <c:pt idx="5">
                  <c:v>2828.4304768865341</c:v>
                </c:pt>
                <c:pt idx="6">
                  <c:v>1651.7857142857144</c:v>
                </c:pt>
                <c:pt idx="7">
                  <c:v>1295.3367875647668</c:v>
                </c:pt>
                <c:pt idx="8">
                  <c:v>4301.0752688172042</c:v>
                </c:pt>
                <c:pt idx="9">
                  <c:v>9214.2857142857138</c:v>
                </c:pt>
                <c:pt idx="10">
                  <c:v>3569.0607734806631</c:v>
                </c:pt>
                <c:pt idx="11">
                  <c:v>3636.363636363636</c:v>
                </c:pt>
              </c:numCache>
            </c:numRef>
          </c:val>
          <c:smooth val="0"/>
          <c:extLst>
            <c:ext xmlns:c16="http://schemas.microsoft.com/office/drawing/2014/chart" uri="{C3380CC4-5D6E-409C-BE32-E72D297353CC}">
              <c16:uniqueId val="{00000001-0979-463D-B6BE-D04E77CBEE0A}"/>
            </c:ext>
          </c:extLst>
        </c:ser>
        <c:ser>
          <c:idx val="2"/>
          <c:order val="2"/>
          <c:tx>
            <c:v>Export price</c:v>
          </c:tx>
          <c:spPr>
            <a:ln w="28575" cap="rnd">
              <a:solidFill>
                <a:srgbClr val="0070C0"/>
              </a:solidFill>
              <a:round/>
            </a:ln>
            <a:effectLst/>
          </c:spPr>
          <c:marker>
            <c:symbol val="none"/>
          </c:marker>
          <c:val>
            <c:numRef>
              <c:f>'Price comparison cattle'!$G$27:$R$27</c:f>
              <c:numCache>
                <c:formatCode>#,##0.00</c:formatCode>
                <c:ptCount val="12"/>
                <c:pt idx="0">
                  <c:v>3309.1191307722156</c:v>
                </c:pt>
                <c:pt idx="1">
                  <c:v>2603.9516581939652</c:v>
                </c:pt>
                <c:pt idx="2">
                  <c:v>2292.4187134885701</c:v>
                </c:pt>
                <c:pt idx="3">
                  <c:v>2752.0265928525532</c:v>
                </c:pt>
                <c:pt idx="4">
                  <c:v>2610.2305039627322</c:v>
                </c:pt>
                <c:pt idx="5">
                  <c:v>2951.7607289568714</c:v>
                </c:pt>
                <c:pt idx="6">
                  <c:v>2958.445142092125</c:v>
                </c:pt>
                <c:pt idx="7">
                  <c:v>2537.1330564312589</c:v>
                </c:pt>
                <c:pt idx="8">
                  <c:v>2149.1834077196049</c:v>
                </c:pt>
                <c:pt idx="9">
                  <c:v>2712.5418905509896</c:v>
                </c:pt>
                <c:pt idx="10">
                  <c:v>3355.9045142361806</c:v>
                </c:pt>
                <c:pt idx="11">
                  <c:v>3860.0677180666562</c:v>
                </c:pt>
              </c:numCache>
            </c:numRef>
          </c:val>
          <c:smooth val="0"/>
          <c:extLst>
            <c:ext xmlns:c16="http://schemas.microsoft.com/office/drawing/2014/chart" uri="{C3380CC4-5D6E-409C-BE32-E72D297353CC}">
              <c16:uniqueId val="{00000002-0979-463D-B6BE-D04E77CBEE0A}"/>
            </c:ext>
          </c:extLst>
        </c:ser>
        <c:dLbls>
          <c:showLegendKey val="0"/>
          <c:showVal val="0"/>
          <c:showCatName val="0"/>
          <c:showSerName val="0"/>
          <c:showPercent val="0"/>
          <c:showBubbleSize val="0"/>
        </c:dLbls>
        <c:smooth val="0"/>
        <c:axId val="668011064"/>
        <c:axId val="668010408"/>
      </c:lineChart>
      <c:catAx>
        <c:axId val="668011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68010408"/>
        <c:crosses val="autoZero"/>
        <c:auto val="1"/>
        <c:lblAlgn val="ctr"/>
        <c:lblOffset val="100"/>
        <c:noMultiLvlLbl val="0"/>
      </c:catAx>
      <c:valAx>
        <c:axId val="668010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0"/>
              <a:lstStyle/>
              <a:p>
                <a:pPr>
                  <a:defRPr sz="1000" b="0" i="0" u="none" strike="noStrike" kern="1200" baseline="0">
                    <a:solidFill>
                      <a:schemeClr val="tx1">
                        <a:lumMod val="65000"/>
                        <a:lumOff val="35000"/>
                      </a:schemeClr>
                    </a:solidFill>
                    <a:latin typeface="+mn-lt"/>
                    <a:ea typeface="+mn-ea"/>
                    <a:cs typeface="+mn-cs"/>
                  </a:defRPr>
                </a:pPr>
                <a:r>
                  <a:rPr lang="de-DE"/>
                  <a:t>Euro/t</a:t>
                </a:r>
              </a:p>
            </c:rich>
          </c:tx>
          <c:layout>
            <c:manualLayout>
              <c:xMode val="edge"/>
              <c:yMode val="edge"/>
              <c:x val="2.9795158286778398E-2"/>
              <c:y val="1.8500568026011677E-2"/>
            </c:manualLayout>
          </c:layout>
          <c:overlay val="0"/>
          <c:spPr>
            <a:noFill/>
            <a:ln>
              <a:noFill/>
            </a:ln>
            <a:effectLst/>
          </c:spPr>
        </c:title>
        <c:numFmt formatCode="#,##0" sourceLinked="0"/>
        <c:majorTickMark val="out"/>
        <c:minorTickMark val="none"/>
        <c:tickLblPos val="nextTo"/>
        <c:spPr>
          <a:noFill/>
          <a:ln>
            <a:solidFill>
              <a:srgbClr val="0070C0"/>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68011064"/>
        <c:crosses val="autoZero"/>
        <c:crossBetween val="between"/>
      </c:valAx>
      <c:spPr>
        <a:noFill/>
        <a:ln>
          <a:noFill/>
        </a:ln>
        <a:effectLst/>
      </c:spPr>
    </c:plotArea>
    <c:legend>
      <c:legendPos val="b"/>
      <c:layout>
        <c:manualLayout>
          <c:xMode val="edge"/>
          <c:yMode val="edge"/>
          <c:x val="0.20854968364064211"/>
          <c:y val="0.81784637292678841"/>
          <c:w val="0.72844831700112722"/>
          <c:h val="5.984084436253979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de-DE"/>
              <a:t>Price comparison breeding sheep</a:t>
            </a:r>
          </a:p>
        </c:rich>
      </c:tx>
      <c:layout/>
      <c:overlay val="0"/>
      <c:spPr>
        <a:noFill/>
        <a:ln>
          <a:noFill/>
        </a:ln>
        <a:effectLst/>
      </c:spPr>
    </c:title>
    <c:autoTitleDeleted val="0"/>
    <c:plotArea>
      <c:layout/>
      <c:lineChart>
        <c:grouping val="standard"/>
        <c:varyColors val="0"/>
        <c:ser>
          <c:idx val="1"/>
          <c:order val="0"/>
          <c:tx>
            <c:v>EAA sheep and goat</c:v>
          </c:tx>
          <c:spPr>
            <a:ln w="28575" cap="rnd">
              <a:solidFill>
                <a:srgbClr val="FF0000"/>
              </a:solidFill>
              <a:round/>
            </a:ln>
            <a:effectLst/>
          </c:spPr>
          <c:marker>
            <c:symbol val="none"/>
          </c:marker>
          <c:cat>
            <c:numRef>
              <c:f>'Price comparison cattle'!$G$12:$R$12</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'Price comparison sheep and goat'!$G$9:$R$9</c:f>
              <c:numCache>
                <c:formatCode>#,##0.00</c:formatCode>
                <c:ptCount val="12"/>
                <c:pt idx="0">
                  <c:v>3985.3065983670253</c:v>
                </c:pt>
                <c:pt idx="1">
                  <c:v>4633.8504864807683</c:v>
                </c:pt>
                <c:pt idx="2">
                  <c:v>4291.569193544181</c:v>
                </c:pt>
                <c:pt idx="3">
                  <c:v>4822.3115648524499</c:v>
                </c:pt>
                <c:pt idx="4">
                  <c:v>4747.8017776881679</c:v>
                </c:pt>
                <c:pt idx="5">
                  <c:v>5835.4189662590716</c:v>
                </c:pt>
                <c:pt idx="6">
                  <c:v>4462.5583710876253</c:v>
                </c:pt>
                <c:pt idx="7">
                  <c:v>5461.1770478339567</c:v>
                </c:pt>
                <c:pt idx="8">
                  <c:v>5224.2233861079549</c:v>
                </c:pt>
                <c:pt idx="9">
                  <c:v>4037.5513920931921</c:v>
                </c:pt>
                <c:pt idx="10">
                  <c:v>7222.7623579620267</c:v>
                </c:pt>
                <c:pt idx="11">
                  <c:v>7435.7590628778507</c:v>
                </c:pt>
              </c:numCache>
            </c:numRef>
          </c:val>
          <c:smooth val="0"/>
          <c:extLst>
            <c:ext xmlns:c16="http://schemas.microsoft.com/office/drawing/2014/chart" uri="{C3380CC4-5D6E-409C-BE32-E72D297353CC}">
              <c16:uniqueId val="{00000001-CEEE-4C37-8D0F-C54B961939BC}"/>
            </c:ext>
          </c:extLst>
        </c:ser>
        <c:ser>
          <c:idx val="0"/>
          <c:order val="1"/>
          <c:tx>
            <c:v>Import price</c:v>
          </c:tx>
          <c:spPr>
            <a:ln w="28575" cap="rnd">
              <a:solidFill>
                <a:schemeClr val="accent6">
                  <a:lumMod val="75000"/>
                </a:schemeClr>
              </a:solidFill>
              <a:round/>
            </a:ln>
            <a:effectLst/>
          </c:spPr>
          <c:marker>
            <c:symbol val="none"/>
          </c:marker>
          <c:cat>
            <c:numRef>
              <c:f>'Price comparison cattle'!$G$12:$R$12</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'Price comparison sheep and goat'!$G$10:$R$10</c:f>
              <c:numCache>
                <c:formatCode>#,##0.00</c:formatCode>
                <c:ptCount val="12"/>
                <c:pt idx="0">
                  <c:v>5200</c:v>
                </c:pt>
                <c:pt idx="1">
                  <c:v>4473.6842105263158</c:v>
                </c:pt>
                <c:pt idx="2">
                  <c:v>5696.2025316455702</c:v>
                </c:pt>
                <c:pt idx="3">
                  <c:v>0</c:v>
                </c:pt>
                <c:pt idx="4">
                  <c:v>0</c:v>
                </c:pt>
                <c:pt idx="5">
                  <c:v>12000</c:v>
                </c:pt>
                <c:pt idx="6">
                  <c:v>0</c:v>
                </c:pt>
                <c:pt idx="7">
                  <c:v>0</c:v>
                </c:pt>
                <c:pt idx="8">
                  <c:v>2645.4839522343491</c:v>
                </c:pt>
                <c:pt idx="9">
                  <c:v>2994.9335665111598</c:v>
                </c:pt>
                <c:pt idx="10">
                  <c:v>3571.708828204306</c:v>
                </c:pt>
                <c:pt idx="11">
                  <c:v>3491.3751017919571</c:v>
                </c:pt>
              </c:numCache>
            </c:numRef>
          </c:val>
          <c:smooth val="0"/>
          <c:extLst>
            <c:ext xmlns:c16="http://schemas.microsoft.com/office/drawing/2014/chart" uri="{C3380CC4-5D6E-409C-BE32-E72D297353CC}">
              <c16:uniqueId val="{00000002-CEEE-4C37-8D0F-C54B961939BC}"/>
            </c:ext>
          </c:extLst>
        </c:ser>
        <c:ser>
          <c:idx val="2"/>
          <c:order val="2"/>
          <c:tx>
            <c:v>Export price</c:v>
          </c:tx>
          <c:spPr>
            <a:ln w="28575" cap="rnd">
              <a:solidFill>
                <a:schemeClr val="accent5">
                  <a:lumMod val="75000"/>
                </a:schemeClr>
              </a:solidFill>
              <a:round/>
            </a:ln>
            <a:effectLst/>
          </c:spPr>
          <c:marker>
            <c:symbol val="none"/>
          </c:marker>
          <c:cat>
            <c:numRef>
              <c:f>'Price comparison cattle'!$G$12:$R$12</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'Price comparison sheep and goat'!$G$14:$R$14</c:f>
              <c:numCache>
                <c:formatCode>#,##0.00</c:formatCode>
                <c:ptCount val="12"/>
                <c:pt idx="0">
                  <c:v>6860.727562400426</c:v>
                </c:pt>
                <c:pt idx="1">
                  <c:v>6456.6509218345273</c:v>
                </c:pt>
                <c:pt idx="2">
                  <c:v>6623.1811339688938</c:v>
                </c:pt>
                <c:pt idx="3">
                  <c:v>7468.7581359021078</c:v>
                </c:pt>
                <c:pt idx="4">
                  <c:v>7910.2483495756069</c:v>
                </c:pt>
                <c:pt idx="5">
                  <c:v>7454.2682926829266</c:v>
                </c:pt>
                <c:pt idx="6">
                  <c:v>5444.598819034386</c:v>
                </c:pt>
                <c:pt idx="7">
                  <c:v>5283.4527104020844</c:v>
                </c:pt>
                <c:pt idx="8">
                  <c:v>6380.4660788195079</c:v>
                </c:pt>
                <c:pt idx="9">
                  <c:v>6433.2041315567922</c:v>
                </c:pt>
                <c:pt idx="10">
                  <c:v>6824.5392716103552</c:v>
                </c:pt>
                <c:pt idx="11">
                  <c:v>6336.9416144200641</c:v>
                </c:pt>
              </c:numCache>
            </c:numRef>
          </c:val>
          <c:smooth val="0"/>
          <c:extLst>
            <c:ext xmlns:c16="http://schemas.microsoft.com/office/drawing/2014/chart" uri="{C3380CC4-5D6E-409C-BE32-E72D297353CC}">
              <c16:uniqueId val="{00000003-CEEE-4C37-8D0F-C54B961939BC}"/>
            </c:ext>
          </c:extLst>
        </c:ser>
        <c:dLbls>
          <c:showLegendKey val="0"/>
          <c:showVal val="0"/>
          <c:showCatName val="0"/>
          <c:showSerName val="0"/>
          <c:showPercent val="0"/>
          <c:showBubbleSize val="0"/>
        </c:dLbls>
        <c:smooth val="0"/>
        <c:axId val="636047656"/>
        <c:axId val="636047984"/>
      </c:lineChart>
      <c:catAx>
        <c:axId val="636047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36047984"/>
        <c:crosses val="autoZero"/>
        <c:auto val="1"/>
        <c:lblAlgn val="ctr"/>
        <c:lblOffset val="100"/>
        <c:noMultiLvlLbl val="0"/>
      </c:catAx>
      <c:valAx>
        <c:axId val="636047984"/>
        <c:scaling>
          <c:orientation val="minMax"/>
          <c:max val="1200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360476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de-DE"/>
              <a:t>Price comparison all animals</a:t>
            </a:r>
          </a:p>
        </c:rich>
      </c:tx>
      <c:layout/>
      <c:overlay val="0"/>
      <c:spPr>
        <a:noFill/>
        <a:ln>
          <a:noFill/>
        </a:ln>
        <a:effectLst/>
      </c:spPr>
    </c:title>
    <c:autoTitleDeleted val="0"/>
    <c:plotArea>
      <c:layout>
        <c:manualLayout>
          <c:layoutTarget val="inner"/>
          <c:xMode val="edge"/>
          <c:yMode val="edge"/>
          <c:x val="0.12978937007874017"/>
          <c:y val="0.14227642276422764"/>
          <c:w val="0.8396550743657043"/>
          <c:h val="0.67043339094808274"/>
        </c:manualLayout>
      </c:layout>
      <c:lineChart>
        <c:grouping val="standard"/>
        <c:varyColors val="0"/>
        <c:ser>
          <c:idx val="1"/>
          <c:order val="0"/>
          <c:tx>
            <c:v>EAA sheep and goat</c:v>
          </c:tx>
          <c:spPr>
            <a:ln w="28575" cap="rnd">
              <a:solidFill>
                <a:srgbClr val="FF0000"/>
              </a:solidFill>
              <a:round/>
            </a:ln>
            <a:effectLst/>
          </c:spPr>
          <c:marker>
            <c:symbol val="none"/>
          </c:marker>
          <c:cat>
            <c:numRef>
              <c:f>'Price comparison sheep and goat'!$G$8:$R$8</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'Price comparison sheep and goat'!$G$9:$R$9</c:f>
              <c:numCache>
                <c:formatCode>#,##0.00</c:formatCode>
                <c:ptCount val="12"/>
                <c:pt idx="0">
                  <c:v>3985.3065983670253</c:v>
                </c:pt>
                <c:pt idx="1">
                  <c:v>4633.8504864807683</c:v>
                </c:pt>
                <c:pt idx="2">
                  <c:v>4291.569193544181</c:v>
                </c:pt>
                <c:pt idx="3">
                  <c:v>4822.3115648524499</c:v>
                </c:pt>
                <c:pt idx="4">
                  <c:v>4747.8017776881679</c:v>
                </c:pt>
                <c:pt idx="5">
                  <c:v>5835.4189662590716</c:v>
                </c:pt>
                <c:pt idx="6">
                  <c:v>4462.5583710876253</c:v>
                </c:pt>
                <c:pt idx="7">
                  <c:v>5461.1770478339567</c:v>
                </c:pt>
                <c:pt idx="8">
                  <c:v>5224.2233861079549</c:v>
                </c:pt>
                <c:pt idx="9">
                  <c:v>4037.5513920931921</c:v>
                </c:pt>
                <c:pt idx="10">
                  <c:v>7222.7623579620267</c:v>
                </c:pt>
                <c:pt idx="11">
                  <c:v>7435.7590628778507</c:v>
                </c:pt>
              </c:numCache>
            </c:numRef>
          </c:val>
          <c:smooth val="0"/>
          <c:extLst>
            <c:ext xmlns:c16="http://schemas.microsoft.com/office/drawing/2014/chart" uri="{C3380CC4-5D6E-409C-BE32-E72D297353CC}">
              <c16:uniqueId val="{00000001-CDB4-4F98-8E12-9A4730D0D119}"/>
            </c:ext>
          </c:extLst>
        </c:ser>
        <c:ser>
          <c:idx val="0"/>
          <c:order val="1"/>
          <c:tx>
            <c:v>Import price all animals</c:v>
          </c:tx>
          <c:spPr>
            <a:ln w="28575" cap="rnd">
              <a:solidFill>
                <a:schemeClr val="accent6">
                  <a:lumMod val="75000"/>
                </a:schemeClr>
              </a:solidFill>
              <a:round/>
            </a:ln>
            <a:effectLst/>
          </c:spPr>
          <c:marker>
            <c:symbol val="none"/>
          </c:marker>
          <c:cat>
            <c:numRef>
              <c:f>'Price comparison sheep and goat'!$G$8:$R$8</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'Price comparison sheep and goat'!$G$19:$R$19</c:f>
              <c:numCache>
                <c:formatCode>#,##0</c:formatCode>
                <c:ptCount val="12"/>
                <c:pt idx="0">
                  <c:v>2533.9175865846464</c:v>
                </c:pt>
                <c:pt idx="1">
                  <c:v>2464.194497429763</c:v>
                </c:pt>
                <c:pt idx="2">
                  <c:v>2507.6212016914155</c:v>
                </c:pt>
                <c:pt idx="3">
                  <c:v>2620.9544377455836</c:v>
                </c:pt>
                <c:pt idx="4">
                  <c:v>2673.9767239331804</c:v>
                </c:pt>
                <c:pt idx="5">
                  <c:v>2616.0485187776999</c:v>
                </c:pt>
                <c:pt idx="6">
                  <c:v>2758.6974260069728</c:v>
                </c:pt>
                <c:pt idx="7">
                  <c:v>2639.3389808023953</c:v>
                </c:pt>
                <c:pt idx="8">
                  <c:v>2864.4727255816842</c:v>
                </c:pt>
                <c:pt idx="9">
                  <c:v>3138.0215307160834</c:v>
                </c:pt>
                <c:pt idx="10">
                  <c:v>3603.4228385954557</c:v>
                </c:pt>
                <c:pt idx="11">
                  <c:v>3559.4322516100797</c:v>
                </c:pt>
              </c:numCache>
            </c:numRef>
          </c:val>
          <c:smooth val="0"/>
          <c:extLst>
            <c:ext xmlns:c16="http://schemas.microsoft.com/office/drawing/2014/chart" uri="{C3380CC4-5D6E-409C-BE32-E72D297353CC}">
              <c16:uniqueId val="{00000002-CDB4-4F98-8E12-9A4730D0D119}"/>
            </c:ext>
          </c:extLst>
        </c:ser>
        <c:ser>
          <c:idx val="2"/>
          <c:order val="2"/>
          <c:tx>
            <c:v>Export price all animals</c:v>
          </c:tx>
          <c:spPr>
            <a:ln w="28575" cap="rnd">
              <a:solidFill>
                <a:schemeClr val="accent1">
                  <a:lumMod val="75000"/>
                </a:schemeClr>
              </a:solidFill>
              <a:round/>
            </a:ln>
            <a:effectLst/>
          </c:spPr>
          <c:marker>
            <c:symbol val="none"/>
          </c:marker>
          <c:cat>
            <c:numRef>
              <c:f>'Price comparison sheep and goat'!$G$8:$R$8</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'Price comparison sheep and goat'!$G$20:$R$20</c:f>
              <c:numCache>
                <c:formatCode>#,##0</c:formatCode>
                <c:ptCount val="12"/>
                <c:pt idx="0">
                  <c:v>3660.4475134453228</c:v>
                </c:pt>
                <c:pt idx="1">
                  <c:v>3440.5487804878048</c:v>
                </c:pt>
                <c:pt idx="2">
                  <c:v>3530.1990965367245</c:v>
                </c:pt>
                <c:pt idx="3">
                  <c:v>3983.3376724811246</c:v>
                </c:pt>
                <c:pt idx="4">
                  <c:v>4218.3076439131801</c:v>
                </c:pt>
                <c:pt idx="5">
                  <c:v>3983.1887201735358</c:v>
                </c:pt>
                <c:pt idx="6">
                  <c:v>2903.3379694019468</c:v>
                </c:pt>
                <c:pt idx="7">
                  <c:v>2820.6380208333335</c:v>
                </c:pt>
                <c:pt idx="8">
                  <c:v>3400.5037783375319</c:v>
                </c:pt>
                <c:pt idx="9">
                  <c:v>3625.5331666421534</c:v>
                </c:pt>
                <c:pt idx="10">
                  <c:v>3644.3468715697036</c:v>
                </c:pt>
                <c:pt idx="11">
                  <c:v>3334</c:v>
                </c:pt>
              </c:numCache>
            </c:numRef>
          </c:val>
          <c:smooth val="0"/>
          <c:extLst>
            <c:ext xmlns:c16="http://schemas.microsoft.com/office/drawing/2014/chart" uri="{C3380CC4-5D6E-409C-BE32-E72D297353CC}">
              <c16:uniqueId val="{00000003-CDB4-4F98-8E12-9A4730D0D119}"/>
            </c:ext>
          </c:extLst>
        </c:ser>
        <c:dLbls>
          <c:showLegendKey val="0"/>
          <c:showVal val="0"/>
          <c:showCatName val="0"/>
          <c:showSerName val="0"/>
          <c:showPercent val="0"/>
          <c:showBubbleSize val="0"/>
        </c:dLbls>
        <c:smooth val="0"/>
        <c:axId val="674663320"/>
        <c:axId val="674666928"/>
      </c:lineChart>
      <c:catAx>
        <c:axId val="674663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74666928"/>
        <c:crosses val="autoZero"/>
        <c:auto val="1"/>
        <c:lblAlgn val="ctr"/>
        <c:lblOffset val="100"/>
        <c:noMultiLvlLbl val="0"/>
      </c:catAx>
      <c:valAx>
        <c:axId val="674666928"/>
        <c:scaling>
          <c:orientation val="minMax"/>
          <c:min val="200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t" anchorCtr="1"/>
              <a:lstStyle/>
              <a:p>
                <a:pPr>
                  <a:defRPr sz="1000" b="0" i="0" u="none" strike="noStrike" kern="1200" baseline="0">
                    <a:solidFill>
                      <a:schemeClr val="tx1">
                        <a:lumMod val="65000"/>
                        <a:lumOff val="35000"/>
                      </a:schemeClr>
                    </a:solidFill>
                    <a:latin typeface="+mn-lt"/>
                    <a:ea typeface="+mn-ea"/>
                    <a:cs typeface="+mn-cs"/>
                  </a:defRPr>
                </a:pPr>
                <a:r>
                  <a:rPr lang="de-DE"/>
                  <a:t>Euro/t</a:t>
                </a:r>
              </a:p>
            </c:rich>
          </c:tx>
          <c:layout>
            <c:manualLayout>
              <c:xMode val="edge"/>
              <c:yMode val="edge"/>
              <c:x val="2.5000000000000001E-2"/>
              <c:y val="2.992190000640161E-2"/>
            </c:manualLayout>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74663320"/>
        <c:crosses val="autoZero"/>
        <c:crossBetween val="between"/>
      </c:valAx>
      <c:spPr>
        <a:noFill/>
        <a:ln>
          <a:noFill/>
        </a:ln>
        <a:effectLst/>
      </c:spPr>
    </c:plotArea>
    <c:legend>
      <c:legendPos val="b"/>
      <c:layout>
        <c:manualLayout>
          <c:xMode val="edge"/>
          <c:yMode val="edge"/>
          <c:x val="6.3888888888888884E-2"/>
          <c:y val="0.90177517444465782"/>
          <c:w val="0.9"/>
          <c:h val="8.0793163049740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19</xdr:col>
      <xdr:colOff>104774</xdr:colOff>
      <xdr:row>4</xdr:row>
      <xdr:rowOff>133350</xdr:rowOff>
    </xdr:from>
    <xdr:to>
      <xdr:col>31</xdr:col>
      <xdr:colOff>685800</xdr:colOff>
      <xdr:row>30</xdr:row>
      <xdr:rowOff>19050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428625</xdr:colOff>
      <xdr:row>29</xdr:row>
      <xdr:rowOff>28575</xdr:rowOff>
    </xdr:from>
    <xdr:to>
      <xdr:col>18</xdr:col>
      <xdr:colOff>428625</xdr:colOff>
      <xdr:row>55</xdr:row>
      <xdr:rowOff>95249</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685799</xdr:colOff>
      <xdr:row>35</xdr:row>
      <xdr:rowOff>57149</xdr:rowOff>
    </xdr:from>
    <xdr:to>
      <xdr:col>9</xdr:col>
      <xdr:colOff>352425</xdr:colOff>
      <xdr:row>55</xdr:row>
      <xdr:rowOff>161924</xdr:rowOff>
    </xdr:to>
    <xdr:graphicFrame macro="">
      <xdr:nvGraphicFramePr>
        <xdr:cNvPr id="11" name="Diagramm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552450</xdr:colOff>
      <xdr:row>35</xdr:row>
      <xdr:rowOff>38099</xdr:rowOff>
    </xdr:from>
    <xdr:to>
      <xdr:col>19</xdr:col>
      <xdr:colOff>57150</xdr:colOff>
      <xdr:row>55</xdr:row>
      <xdr:rowOff>161924</xdr:rowOff>
    </xdr:to>
    <xdr:graphicFrame macro="">
      <xdr:nvGraphicFramePr>
        <xdr:cNvPr id="12" name="Diagramm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209549</xdr:colOff>
      <xdr:row>35</xdr:row>
      <xdr:rowOff>57150</xdr:rowOff>
    </xdr:from>
    <xdr:to>
      <xdr:col>26</xdr:col>
      <xdr:colOff>180974</xdr:colOff>
      <xdr:row>57</xdr:row>
      <xdr:rowOff>133350</xdr:rowOff>
    </xdr:to>
    <xdr:graphicFrame macro="">
      <xdr:nvGraphicFramePr>
        <xdr:cNvPr id="6" name="Diagramm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3200400</xdr:colOff>
      <xdr:row>191</xdr:row>
      <xdr:rowOff>171450</xdr:rowOff>
    </xdr:from>
    <xdr:to>
      <xdr:col>1</xdr:col>
      <xdr:colOff>3506258</xdr:colOff>
      <xdr:row>192</xdr:row>
      <xdr:rowOff>285750</xdr:rowOff>
    </xdr:to>
    <xdr:sp macro="" textlink="">
      <xdr:nvSpPr>
        <xdr:cNvPr id="2" name="AutoShape 6" descr="https://lohmann-breeders.com/wp-content/webp-express/webp-images/doc-root/media/2020/07/flecha.png.webp"/>
        <xdr:cNvSpPr>
          <a:spLocks noChangeAspect="1" noChangeArrowheads="1"/>
        </xdr:cNvSpPr>
      </xdr:nvSpPr>
      <xdr:spPr bwMode="auto">
        <a:xfrm>
          <a:off x="4114800" y="28841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197</xdr:row>
      <xdr:rowOff>0</xdr:rowOff>
    </xdr:from>
    <xdr:to>
      <xdr:col>4</xdr:col>
      <xdr:colOff>476250</xdr:colOff>
      <xdr:row>197</xdr:row>
      <xdr:rowOff>476250</xdr:rowOff>
    </xdr:to>
    <xdr:pic>
      <xdr:nvPicPr>
        <xdr:cNvPr id="3" name="Grafik 2" descr="https://www.lohmann-breeders.com/lohmannbreeders/img/pix.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0" y="30575250"/>
          <a:ext cx="47625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197</xdr:row>
      <xdr:rowOff>0</xdr:rowOff>
    </xdr:from>
    <xdr:to>
      <xdr:col>5</xdr:col>
      <xdr:colOff>476250</xdr:colOff>
      <xdr:row>197</xdr:row>
      <xdr:rowOff>476250</xdr:rowOff>
    </xdr:to>
    <xdr:pic>
      <xdr:nvPicPr>
        <xdr:cNvPr id="4" name="Grafik 3" descr="https://www.lohmann-breeders.com/lohmannbreeders/img/pix.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34100" y="30575250"/>
          <a:ext cx="47625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197</xdr:row>
      <xdr:rowOff>0</xdr:rowOff>
    </xdr:from>
    <xdr:to>
      <xdr:col>6</xdr:col>
      <xdr:colOff>476250</xdr:colOff>
      <xdr:row>197</xdr:row>
      <xdr:rowOff>476250</xdr:rowOff>
    </xdr:to>
    <xdr:pic>
      <xdr:nvPicPr>
        <xdr:cNvPr id="5" name="Grafik 4" descr="https://www.lohmann-breeders.com/lohmannbreeders/img/pix.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7050" y="30575250"/>
          <a:ext cx="47625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0</xdr:colOff>
      <xdr:row>194</xdr:row>
      <xdr:rowOff>0</xdr:rowOff>
    </xdr:from>
    <xdr:ext cx="476250" cy="476250"/>
    <xdr:pic>
      <xdr:nvPicPr>
        <xdr:cNvPr id="6" name="Grafik 5" descr="https://www.lohmann-breeders.com/lohmannbreeders/img/pix.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62425" y="30003750"/>
          <a:ext cx="476250" cy="4762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95250</xdr:colOff>
      <xdr:row>195</xdr:row>
      <xdr:rowOff>571500</xdr:rowOff>
    </xdr:from>
    <xdr:ext cx="476250" cy="476250"/>
    <xdr:pic>
      <xdr:nvPicPr>
        <xdr:cNvPr id="7" name="Grafik 6" descr="https://www.lohmann-breeders.com/lohmannbreeders/img/pix.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0" y="30384750"/>
          <a:ext cx="476250" cy="4762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3</xdr:row>
      <xdr:rowOff>0</xdr:rowOff>
    </xdr:from>
    <xdr:to>
      <xdr:col>20</xdr:col>
      <xdr:colOff>685800</xdr:colOff>
      <xdr:row>25</xdr:row>
      <xdr:rowOff>133350</xdr:rowOff>
    </xdr:to>
    <xdr:sp macro="" textlink="">
      <xdr:nvSpPr>
        <xdr:cNvPr id="8" name="Textfeld 7"/>
        <xdr:cNvSpPr txBox="1"/>
      </xdr:nvSpPr>
      <xdr:spPr>
        <a:xfrm>
          <a:off x="914400" y="1085850"/>
          <a:ext cx="18792825" cy="3695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t>The import of breeding and propagating poultry decreased from 2012 to 2023, while exports increased. Imports are particularly</a:t>
          </a:r>
          <a:r>
            <a:rPr lang="de-DE" sz="1200" baseline="0"/>
            <a:t> </a:t>
          </a:r>
          <a:r>
            <a:rPr lang="de-DE" sz="1200"/>
            <a:t>significant for female grandparent and parent chicks (WA01051119) without laying breeds and direct usable</a:t>
          </a:r>
          <a:r>
            <a:rPr lang="de-DE" sz="1200" baseline="0"/>
            <a:t> chicks</a:t>
          </a:r>
          <a:r>
            <a:rPr lang="de-DE" sz="1200"/>
            <a:t> without laying breeds (WA01051199). Both categories are assigned to broiler fattening, the laying breeds to egg production. Most recently, the import of chicks of laying breeds up to 185g (WA01051191) has also increased, probably due to the ban on the killing of male chicks and high pullet prices in Germany. In the 8-digit goods nomenclature for foreign trade, breeding chicks as grandparents and parents are only shown together; no clear allocation of quantities or values ​​is possible. For simplification reasons it is assumed, that all imports</a:t>
          </a:r>
          <a:r>
            <a:rPr lang="de-DE" sz="1200" baseline="0"/>
            <a:t> of breeding chicks (01051111 and </a:t>
          </a:r>
          <a:r>
            <a:rPr lang="de-DE" sz="1100">
              <a:solidFill>
                <a:schemeClr val="dk1"/>
              </a:solidFill>
              <a:effectLst/>
              <a:latin typeface="+mn-lt"/>
              <a:ea typeface="+mn-ea"/>
              <a:cs typeface="+mn-cs"/>
            </a:rPr>
            <a:t>01051119) </a:t>
          </a:r>
          <a:r>
            <a:rPr lang="de-DE" sz="1200" baseline="0"/>
            <a:t>are female parent chicks. </a:t>
          </a:r>
          <a:r>
            <a:rPr lang="de-DE" sz="1200"/>
            <a:t>Those animals will produce a certain number of hatching eggs as parent animals within the reporting year, which will then become producing laying hens or animals for broiler production, taking into account a normal hatching rate. </a:t>
          </a:r>
          <a:endParaRPr lang="de-DE" sz="1200" baseline="0"/>
        </a:p>
        <a:p>
          <a:r>
            <a:rPr lang="de-DE" sz="1200" baseline="0"/>
            <a:t>Assumptions:</a:t>
          </a:r>
        </a:p>
        <a:p>
          <a:r>
            <a:rPr lang="de-DE" sz="1200" b="1"/>
            <a:t>01051111</a:t>
          </a:r>
          <a:r>
            <a:rPr lang="de-DE" sz="1200"/>
            <a:t> Import parent chicks laying hens: According to industry sources (EW-Group)</a:t>
          </a:r>
          <a:r>
            <a:rPr lang="de-DE" sz="1200" baseline="0"/>
            <a:t> </a:t>
          </a:r>
          <a:r>
            <a:rPr lang="de-DE" sz="1200"/>
            <a:t>there are around 110 saleable chicks per parent animal for rearing pullets after the hatchery. After that, 3% of losses occur during rearing and 7% during the laying period (50% of which are counted). An imported breeding chick thus produces around 103 laying hens </a:t>
          </a:r>
        </a:p>
        <a:p>
          <a:endParaRPr lang="de-DE" sz="1200"/>
        </a:p>
        <a:p>
          <a:r>
            <a:rPr lang="de-DE" sz="1200" b="1"/>
            <a:t>01051119</a:t>
          </a:r>
          <a:r>
            <a:rPr lang="de-DE" sz="1200"/>
            <a:t> Import parent chicks fattening. According to experts around 130 chicks can be produced per parent layer,taking into account losses and hatching results. Losses in the fattening period are assumed to be 3,6%. One imported parent chick for </a:t>
          </a:r>
          <a:r>
            <a:rPr lang="de-DE" sz="1100">
              <a:solidFill>
                <a:schemeClr val="dk1"/>
              </a:solidFill>
              <a:effectLst/>
              <a:latin typeface="+mn-lt"/>
              <a:ea typeface="+mn-ea"/>
              <a:cs typeface="+mn-cs"/>
            </a:rPr>
            <a:t>f</a:t>
          </a:r>
          <a:r>
            <a:rPr lang="de-DE" sz="1200">
              <a:solidFill>
                <a:schemeClr val="dk1"/>
              </a:solidFill>
              <a:effectLst/>
              <a:latin typeface="+mn-lt"/>
              <a:ea typeface="+mn-ea"/>
              <a:cs typeface="+mn-cs"/>
            </a:rPr>
            <a:t>attening </a:t>
          </a:r>
          <a:r>
            <a:rPr lang="de-DE" sz="1200"/>
            <a:t>= 125 broilers</a:t>
          </a:r>
        </a:p>
        <a:p>
          <a:endParaRPr lang="de-DE" sz="1200"/>
        </a:p>
        <a:p>
          <a:r>
            <a:rPr lang="de-DE" sz="1200" b="1"/>
            <a:t>01051191</a:t>
          </a:r>
          <a:r>
            <a:rPr lang="de-DE" sz="1200"/>
            <a:t> Import laying chicks. 1 imported animal = 1 laying hen - 7% loss (of which 3.5% is valued) ~ 0,965 laying hens </a:t>
          </a:r>
        </a:p>
        <a:p>
          <a:endParaRPr lang="de-DE" sz="1200"/>
        </a:p>
        <a:p>
          <a:r>
            <a:rPr lang="de-DE" sz="1200" b="1"/>
            <a:t>01051199</a:t>
          </a:r>
          <a:r>
            <a:rPr lang="de-DE" sz="1200"/>
            <a:t> Import broiler chicks. 1 imported animal = 1 broiler - 3,6% loss = 0,965 broilers </a:t>
          </a:r>
        </a:p>
        <a:p>
          <a:endParaRPr lang="de-DE" sz="1200"/>
        </a:p>
        <a:p>
          <a:r>
            <a:rPr lang="de-DE" sz="1200" b="1"/>
            <a:t>01051200-1500</a:t>
          </a:r>
          <a:r>
            <a:rPr lang="de-DE" sz="1200"/>
            <a:t>: One imported animal after losses of 3.5% = 0,965 slaughter animals </a:t>
          </a:r>
        </a:p>
        <a:p>
          <a:endParaRPr lang="de-DE" sz="1200"/>
        </a:p>
        <a:p>
          <a:r>
            <a:rPr lang="de-DE" sz="1200"/>
            <a:t>With these assumptions, the numbers of laying hens and especially broilers calculated from the import of parent breeding chicks appear to be too high in recent years. In 2022 and 2023, the calculated numbers of broilers are higher than the total number of slaughter. The strong increase in breeding chicks in laying hens leads to a unrealistic strong increase in egg production due to the import of chicks.</a:t>
          </a:r>
          <a:endParaRPr lang="de-DE" sz="12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733425</xdr:colOff>
      <xdr:row>31</xdr:row>
      <xdr:rowOff>104774</xdr:rowOff>
    </xdr:from>
    <xdr:to>
      <xdr:col>9</xdr:col>
      <xdr:colOff>371475</xdr:colOff>
      <xdr:row>50</xdr:row>
      <xdr:rowOff>190499</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266700</xdr:colOff>
      <xdr:row>31</xdr:row>
      <xdr:rowOff>161925</xdr:rowOff>
    </xdr:from>
    <xdr:to>
      <xdr:col>18</xdr:col>
      <xdr:colOff>247650</xdr:colOff>
      <xdr:row>50</xdr:row>
      <xdr:rowOff>123825</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457199</xdr:colOff>
      <xdr:row>22</xdr:row>
      <xdr:rowOff>76199</xdr:rowOff>
    </xdr:from>
    <xdr:to>
      <xdr:col>7</xdr:col>
      <xdr:colOff>600075</xdr:colOff>
      <xdr:row>41</xdr:row>
      <xdr:rowOff>28574</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476249</xdr:colOff>
      <xdr:row>23</xdr:row>
      <xdr:rowOff>57150</xdr:rowOff>
    </xdr:from>
    <xdr:to>
      <xdr:col>16</xdr:col>
      <xdr:colOff>142874</xdr:colOff>
      <xdr:row>41</xdr:row>
      <xdr:rowOff>76200</xdr:rowOff>
    </xdr:to>
    <xdr:graphicFrame macro="">
      <xdr:nvGraphicFramePr>
        <xdr:cNvPr id="5" name="Diagram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ferat%20624/18%20LGR/20_Quartalsch&#228;tzungen/LGR_Berechnungsdatei_ab_Quartale_ab_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ferat%20624/Wei&#223;/LGR/WP1_2_Update_Unit_values_AH-Preise-Wei&#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ffice.ble.de\Referate2019\Referat%20624\18%20LGR\20_Quartalsch&#228;tzungen\LGR_Berechnungsdatei_ab_Quartale_ab_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ferat%20624/Wei&#223;/LGR/SICHERUNG-LGR_Berechnungsdatei_ab_Quartale_ab_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ferat%20624/18%20LGR/20_Quartalsch&#228;tzungen/Schlachtungen_41331-00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ferat%20624/Wei&#223;/LGR/LGR_Berechnu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Obst_Verteilung_auf_Quartale"/>
      <sheetName val="Begriffsdefinitionen"/>
      <sheetName val="Index_Erzeugerpreise"/>
    </sheetNames>
    <sheetDataSet>
      <sheetData sheetId="0"/>
      <sheetData sheetId="1"/>
      <sheetData sheetId="2">
        <row r="887">
          <cell r="G887">
            <v>3542.7138551977018</v>
          </cell>
        </row>
        <row r="985">
          <cell r="G985">
            <v>1706.7444459074304</v>
          </cell>
        </row>
      </sheetData>
      <sheetData sheetId="3">
        <row r="887">
          <cell r="G887">
            <v>3421.459630355228</v>
          </cell>
        </row>
        <row r="985">
          <cell r="G985">
            <v>1677.149896357957</v>
          </cell>
        </row>
      </sheetData>
      <sheetData sheetId="4">
        <row r="887">
          <cell r="G887">
            <v>3221.3834595822295</v>
          </cell>
        </row>
        <row r="985">
          <cell r="G985">
            <v>1517.267942397493</v>
          </cell>
        </row>
      </sheetData>
      <sheetData sheetId="5">
        <row r="887">
          <cell r="G887">
            <v>3253.911932966942</v>
          </cell>
        </row>
        <row r="985">
          <cell r="G985">
            <v>1360.5321243905428</v>
          </cell>
        </row>
      </sheetData>
      <sheetData sheetId="6">
        <row r="887">
          <cell r="G887">
            <v>3117.6171548859406</v>
          </cell>
        </row>
        <row r="985">
          <cell r="G985">
            <v>1490.9913711001898</v>
          </cell>
        </row>
      </sheetData>
      <sheetData sheetId="7">
        <row r="887">
          <cell r="G887">
            <v>3438.3985297822528</v>
          </cell>
        </row>
        <row r="985">
          <cell r="G985">
            <v>1599.7571262158303</v>
          </cell>
        </row>
      </sheetData>
      <sheetData sheetId="8">
        <row r="887">
          <cell r="G887">
            <v>3377.1233526597507</v>
          </cell>
        </row>
        <row r="985">
          <cell r="G985">
            <v>1410.3647624477937</v>
          </cell>
        </row>
      </sheetData>
      <sheetData sheetId="9">
        <row r="887">
          <cell r="G887">
            <v>3196.3874441764942</v>
          </cell>
        </row>
        <row r="985">
          <cell r="G985">
            <v>1747.3736269944704</v>
          </cell>
        </row>
      </sheetData>
      <sheetData sheetId="10">
        <row r="887">
          <cell r="W887">
            <v>3071.3664077960234</v>
          </cell>
        </row>
        <row r="985">
          <cell r="W985">
            <v>1507.0555067567777</v>
          </cell>
        </row>
      </sheetData>
      <sheetData sheetId="11">
        <row r="399">
          <cell r="S399">
            <v>140</v>
          </cell>
        </row>
        <row r="887">
          <cell r="W887">
            <v>3601.1883249003822</v>
          </cell>
        </row>
        <row r="985">
          <cell r="W985">
            <v>1356.8849940760167</v>
          </cell>
        </row>
      </sheetData>
      <sheetData sheetId="12">
        <row r="399">
          <cell r="S399">
            <v>150</v>
          </cell>
        </row>
        <row r="887">
          <cell r="W887">
            <v>4692.0503747350549</v>
          </cell>
        </row>
        <row r="985">
          <cell r="W985">
            <v>1859.6559317778992</v>
          </cell>
        </row>
      </sheetData>
      <sheetData sheetId="13">
        <row r="399">
          <cell r="S399">
            <v>150</v>
          </cell>
        </row>
        <row r="887">
          <cell r="W887">
            <v>4371.5550792094364</v>
          </cell>
        </row>
        <row r="985">
          <cell r="W985">
            <v>2275.184383418959</v>
          </cell>
        </row>
      </sheetData>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1_2"/>
      <sheetName val="Competitive"/>
      <sheetName val="Preisvergleich Vieh alt"/>
      <sheetName val="51000-0101"/>
      <sheetName val="51000-0102"/>
      <sheetName val="51000-0103"/>
      <sheetName val="51000-0104"/>
      <sheetName val="51000-0105"/>
      <sheetName val="51000-0407"/>
      <sheetName val="Competitive_Analysis"/>
      <sheetName val="Neutral"/>
      <sheetName val="Intermediate"/>
      <sheetName val="51000-1008"/>
      <sheetName val="51000-1001"/>
      <sheetName val="51000-1002"/>
      <sheetName val="51000-1003"/>
      <sheetName val="51000-1004"/>
      <sheetName val="51000-1005"/>
      <sheetName val="51000-1006"/>
      <sheetName val="51000-1007"/>
      <sheetName val="51000-1201_6"/>
      <sheetName val="51000-1212"/>
      <sheetName val="51000-0703"/>
      <sheetName val="51000-0713"/>
      <sheetName val="51000-0601_4"/>
      <sheetName val="51000-0701"/>
      <sheetName val="51000-0201"/>
      <sheetName val="51000-0202"/>
      <sheetName val="51000-0203"/>
      <sheetName val="51000-0206"/>
      <sheetName val="51000-0209"/>
      <sheetName val="51000-0210"/>
      <sheetName val="51000-021020"/>
      <sheetName val="51000-0105_Dest_CZ"/>
      <sheetName val="51000-0013-Kälber"/>
      <sheetName val="51000-0013-Büffel andere Hausri"/>
      <sheetName val="51000-0103 Weiß"/>
      <sheetName val="Schafschlachtungen"/>
    </sheetNames>
    <sheetDataSet>
      <sheetData sheetId="0"/>
      <sheetData sheetId="1"/>
      <sheetData sheetId="2"/>
      <sheetData sheetId="3">
        <row r="9">
          <cell r="I9">
            <v>71235.442759833008</v>
          </cell>
          <cell r="J9">
            <v>22759.391295094178</v>
          </cell>
        </row>
        <row r="21">
          <cell r="I21">
            <v>77994.244604316555</v>
          </cell>
          <cell r="J21">
            <v>25292.859688725199</v>
          </cell>
        </row>
        <row r="33">
          <cell r="I33">
            <v>65493.046444502754</v>
          </cell>
          <cell r="J33">
            <v>32216.090002122692</v>
          </cell>
        </row>
        <row r="45">
          <cell r="I45">
            <v>56494.929669610734</v>
          </cell>
          <cell r="J45">
            <v>26801.396677600253</v>
          </cell>
        </row>
        <row r="57">
          <cell r="I57">
            <v>53392.16589861751</v>
          </cell>
          <cell r="J57">
            <v>26160.760143810989</v>
          </cell>
        </row>
        <row r="69">
          <cell r="I69">
            <v>80799.570073367926</v>
          </cell>
          <cell r="J69">
            <v>36751.676087813852</v>
          </cell>
        </row>
        <row r="81">
          <cell r="I81">
            <v>81473.679293754962</v>
          </cell>
          <cell r="J81">
            <v>52174.759802648667</v>
          </cell>
        </row>
        <row r="93">
          <cell r="I93">
            <v>95504.518773874966</v>
          </cell>
          <cell r="J93">
            <v>41917.775945341025</v>
          </cell>
        </row>
        <row r="105">
          <cell r="I105">
            <v>78942.569406641254</v>
          </cell>
          <cell r="J105">
            <v>38546.990038977907</v>
          </cell>
        </row>
        <row r="117">
          <cell r="I117">
            <v>98851.065805972219</v>
          </cell>
          <cell r="J117">
            <v>35381.57150932731</v>
          </cell>
        </row>
        <row r="129">
          <cell r="I129">
            <v>127637.21552878179</v>
          </cell>
          <cell r="J129">
            <v>51469.632591852031</v>
          </cell>
        </row>
        <row r="141">
          <cell r="I141">
            <v>125208.91742787375</v>
          </cell>
          <cell r="J141">
            <v>51272.874058127025</v>
          </cell>
        </row>
      </sheetData>
      <sheetData sheetId="4">
        <row r="7">
          <cell r="I7">
            <v>3234.6083956631542</v>
          </cell>
          <cell r="J7">
            <v>3042.7679179931479</v>
          </cell>
        </row>
        <row r="14">
          <cell r="I14">
            <v>3309.1191307722156</v>
          </cell>
          <cell r="J14">
            <v>3559.2030193978758</v>
          </cell>
        </row>
        <row r="28">
          <cell r="I28">
            <v>3128.9891312421087</v>
          </cell>
          <cell r="J28">
            <v>2795.5921938088827</v>
          </cell>
        </row>
        <row r="35">
          <cell r="I35">
            <v>2603.9516581939652</v>
          </cell>
          <cell r="J35">
            <v>2987.2631916943169</v>
          </cell>
        </row>
        <row r="49">
          <cell r="I49">
            <v>3122.9425297374246</v>
          </cell>
          <cell r="J49">
            <v>2717.4630914762392</v>
          </cell>
        </row>
        <row r="56">
          <cell r="I56">
            <v>2292.4187134885701</v>
          </cell>
          <cell r="J56">
            <v>2652.9928840519042</v>
          </cell>
        </row>
        <row r="70">
          <cell r="I70">
            <v>3205.1693845258906</v>
          </cell>
          <cell r="J70">
            <v>2722.983870967742</v>
          </cell>
        </row>
        <row r="77">
          <cell r="I77">
            <v>2752.0265928525532</v>
          </cell>
          <cell r="J77">
            <v>2593.6199722607494</v>
          </cell>
        </row>
        <row r="91">
          <cell r="I91">
            <v>3054.2351364694273</v>
          </cell>
          <cell r="J91">
            <v>2752.791332395997</v>
          </cell>
        </row>
        <row r="98">
          <cell r="I98">
            <v>2610.2305039627322</v>
          </cell>
          <cell r="J98">
            <v>2796.4285714285711</v>
          </cell>
        </row>
        <row r="112">
          <cell r="I112">
            <v>3433.0831913816128</v>
          </cell>
          <cell r="J112">
            <v>2715.0823371653773</v>
          </cell>
        </row>
        <row r="119">
          <cell r="I119">
            <v>2951.7607289568714</v>
          </cell>
          <cell r="J119">
            <v>2828.4304768865341</v>
          </cell>
        </row>
        <row r="133">
          <cell r="I133">
            <v>3372.0262223181321</v>
          </cell>
          <cell r="J133">
            <v>2823.0671736375157</v>
          </cell>
        </row>
        <row r="140">
          <cell r="I140">
            <v>2958.445142092125</v>
          </cell>
          <cell r="J140">
            <v>1651.7857142857144</v>
          </cell>
        </row>
        <row r="154">
          <cell r="I154">
            <v>3100.3322744367765</v>
          </cell>
          <cell r="J154">
            <v>2980.9054060653416</v>
          </cell>
        </row>
        <row r="161">
          <cell r="I161">
            <v>2537.1330564312589</v>
          </cell>
          <cell r="J161">
            <v>1295.3367875647668</v>
          </cell>
        </row>
        <row r="175">
          <cell r="I175">
            <v>2901.3162853032827</v>
          </cell>
          <cell r="J175">
            <v>2584.2455462545608</v>
          </cell>
        </row>
        <row r="182">
          <cell r="I182">
            <v>2149.1834077196049</v>
          </cell>
          <cell r="J182">
            <v>4301.0752688172042</v>
          </cell>
        </row>
        <row r="196">
          <cell r="I196">
            <v>2920.7568702173403</v>
          </cell>
          <cell r="J196">
            <v>3193.50363176365</v>
          </cell>
        </row>
        <row r="203">
          <cell r="I203">
            <v>2712.5418905509896</v>
          </cell>
          <cell r="J203">
            <v>9214.2857142857138</v>
          </cell>
        </row>
        <row r="217">
          <cell r="I217">
            <v>3485.2120840513226</v>
          </cell>
          <cell r="J217">
            <v>3698.9306279133534</v>
          </cell>
        </row>
        <row r="224">
          <cell r="I224">
            <v>3355.9045142361806</v>
          </cell>
          <cell r="J224">
            <v>3569.0607734806631</v>
          </cell>
        </row>
        <row r="238">
          <cell r="I238">
            <v>3415.9933864140062</v>
          </cell>
          <cell r="J238">
            <v>3551.3545835058185</v>
          </cell>
        </row>
        <row r="245">
          <cell r="I245">
            <v>3860.0677180666562</v>
          </cell>
          <cell r="J245">
            <v>3636.363636363636</v>
          </cell>
        </row>
      </sheetData>
      <sheetData sheetId="5">
        <row r="16">
          <cell r="I16">
            <v>2162.3081042484828</v>
          </cell>
          <cell r="J16">
            <v>2212.1957437166002</v>
          </cell>
        </row>
        <row r="19">
          <cell r="I19">
            <v>1492.0732214550601</v>
          </cell>
          <cell r="J19">
            <v>1435.3033721061581</v>
          </cell>
        </row>
        <row r="21">
          <cell r="I21">
            <v>1644.4810521366453</v>
          </cell>
          <cell r="J21">
            <v>1692.8558526423831</v>
          </cell>
        </row>
        <row r="24">
          <cell r="J24">
            <v>2211.535602163191</v>
          </cell>
        </row>
        <row r="27">
          <cell r="I27">
            <v>1458.9891380151703</v>
          </cell>
          <cell r="J27">
            <v>1431.948594712429</v>
          </cell>
        </row>
        <row r="29">
          <cell r="I29">
            <v>1596.8520725212454</v>
          </cell>
          <cell r="J29">
            <v>1683.0778812060209</v>
          </cell>
        </row>
        <row r="32">
          <cell r="I32">
            <v>2048.7577947507698</v>
          </cell>
          <cell r="J32">
            <v>2056.4164158817489</v>
          </cell>
        </row>
        <row r="35">
          <cell r="I35">
            <v>1386.5986234611526</v>
          </cell>
          <cell r="J35">
            <v>1303.1258271485472</v>
          </cell>
        </row>
        <row r="37">
          <cell r="I37">
            <v>1560.758300427022</v>
          </cell>
          <cell r="J37">
            <v>1574.5796711169385</v>
          </cell>
        </row>
        <row r="40">
          <cell r="I40">
            <v>1656.1286140539257</v>
          </cell>
          <cell r="J40">
            <v>1673.7651774862229</v>
          </cell>
        </row>
        <row r="43">
          <cell r="I43">
            <v>1224.5791525002073</v>
          </cell>
          <cell r="J43">
            <v>1155.7234854504554</v>
          </cell>
        </row>
        <row r="45">
          <cell r="I45">
            <v>1391.1224641135991</v>
          </cell>
          <cell r="J45">
            <v>1348.5350455576076</v>
          </cell>
        </row>
        <row r="48">
          <cell r="I48">
            <v>1870.2539709504799</v>
          </cell>
          <cell r="J48">
            <v>1952.6554356724953</v>
          </cell>
        </row>
        <row r="51">
          <cell r="I51">
            <v>1312.8577345783801</v>
          </cell>
          <cell r="J51">
            <v>1269.2878265454083</v>
          </cell>
        </row>
        <row r="53">
          <cell r="I53">
            <v>1612.4697397844786</v>
          </cell>
          <cell r="J53">
            <v>1519.6999107678685</v>
          </cell>
        </row>
        <row r="56">
          <cell r="I56">
            <v>2262.2215224750057</v>
          </cell>
          <cell r="J56">
            <v>2330.1374554444687</v>
          </cell>
        </row>
        <row r="59">
          <cell r="I59">
            <v>1448.4036739598253</v>
          </cell>
          <cell r="J59">
            <v>1406.5007806614333</v>
          </cell>
        </row>
        <row r="61">
          <cell r="I61">
            <v>1888.6609524442636</v>
          </cell>
          <cell r="J61">
            <v>1783.20459953113</v>
          </cell>
        </row>
        <row r="64">
          <cell r="I64">
            <v>1748.2458203216859</v>
          </cell>
          <cell r="J64">
            <v>1759.7196478260587</v>
          </cell>
        </row>
        <row r="67">
          <cell r="I67">
            <v>1252.7085411999471</v>
          </cell>
          <cell r="J67">
            <v>1215.6477758558453</v>
          </cell>
        </row>
        <row r="69">
          <cell r="I69">
            <v>1531.9337770249379</v>
          </cell>
          <cell r="J69">
            <v>1449.7418496330765</v>
          </cell>
        </row>
        <row r="72">
          <cell r="I72">
            <v>2319.2996979527911</v>
          </cell>
          <cell r="J72">
            <v>2350.3688872588205</v>
          </cell>
        </row>
        <row r="75">
          <cell r="I75">
            <v>1535.8871460635582</v>
          </cell>
          <cell r="J75">
            <v>1446.5356420068165</v>
          </cell>
        </row>
        <row r="77">
          <cell r="I77">
            <v>1957.0159011939422</v>
          </cell>
          <cell r="J77">
            <v>1842.9538568073622</v>
          </cell>
        </row>
        <row r="80">
          <cell r="I80">
            <v>2198.0287713237076</v>
          </cell>
          <cell r="J80">
            <v>2197.5143889463839</v>
          </cell>
        </row>
        <row r="83">
          <cell r="I83">
            <v>1288.9957840316351</v>
          </cell>
          <cell r="J83">
            <v>1379.7330076380465</v>
          </cell>
        </row>
        <row r="85">
          <cell r="I85">
            <v>1710.9337560174254</v>
          </cell>
          <cell r="J85">
            <v>1814.7373652782023</v>
          </cell>
        </row>
        <row r="88">
          <cell r="I88">
            <v>1677.260247414803</v>
          </cell>
          <cell r="J88">
            <v>1616.4632480950991</v>
          </cell>
        </row>
        <row r="91">
          <cell r="I91">
            <v>1146.3308161112568</v>
          </cell>
          <cell r="J91">
            <v>1104.2855117199856</v>
          </cell>
        </row>
        <row r="93">
          <cell r="I93">
            <v>1333.5927742682861</v>
          </cell>
          <cell r="J93">
            <v>1443.2457024813712</v>
          </cell>
        </row>
        <row r="96">
          <cell r="I96">
            <v>2062.8532898094991</v>
          </cell>
          <cell r="J96">
            <v>1980.7086738681594</v>
          </cell>
        </row>
        <row r="99">
          <cell r="I99">
            <v>1645.8402801653765</v>
          </cell>
          <cell r="J99">
            <v>1376.1834632227315</v>
          </cell>
        </row>
        <row r="101">
          <cell r="I101">
            <v>1793.5224704996233</v>
          </cell>
          <cell r="J101">
            <v>1743.0979077988027</v>
          </cell>
        </row>
        <row r="104">
          <cell r="I104">
            <v>3360.0740142526247</v>
          </cell>
          <cell r="J104">
            <v>3332.85902047746</v>
          </cell>
        </row>
        <row r="107">
          <cell r="I107">
            <v>2079.1852369241651</v>
          </cell>
          <cell r="J107">
            <v>1846.9411603783847</v>
          </cell>
        </row>
        <row r="109">
          <cell r="I109">
            <v>2436.4161527809233</v>
          </cell>
          <cell r="J109">
            <v>2661.9677249862079</v>
          </cell>
        </row>
      </sheetData>
      <sheetData sheetId="6">
        <row r="7">
          <cell r="Q7">
            <v>6860.727562400426</v>
          </cell>
          <cell r="R7">
            <v>5200</v>
          </cell>
        </row>
        <row r="13">
          <cell r="Q13">
            <v>6456.6509218345273</v>
          </cell>
          <cell r="R13">
            <v>4473.6842105263158</v>
          </cell>
        </row>
        <row r="19">
          <cell r="Q19">
            <v>6623.1811339688938</v>
          </cell>
          <cell r="R19">
            <v>5696.2025316455702</v>
          </cell>
        </row>
        <row r="25">
          <cell r="Q25">
            <v>7468.7581359021078</v>
          </cell>
          <cell r="R25">
            <v>0</v>
          </cell>
        </row>
        <row r="31">
          <cell r="Q31">
            <v>7910.2483495756069</v>
          </cell>
          <cell r="R31">
            <v>0</v>
          </cell>
        </row>
        <row r="37">
          <cell r="Q37">
            <v>7454.2682926829266</v>
          </cell>
          <cell r="R37">
            <v>12000</v>
          </cell>
        </row>
        <row r="43">
          <cell r="Q43">
            <v>5444.598819034386</v>
          </cell>
          <cell r="R43">
            <v>0</v>
          </cell>
        </row>
        <row r="49">
          <cell r="Q49">
            <v>5283.4527104020844</v>
          </cell>
          <cell r="R49">
            <v>0</v>
          </cell>
        </row>
        <row r="55">
          <cell r="Q55">
            <v>6380.4660788195079</v>
          </cell>
          <cell r="R55">
            <v>2645.4839522343491</v>
          </cell>
        </row>
        <row r="61">
          <cell r="Q61">
            <v>6433.2041315567922</v>
          </cell>
          <cell r="R61">
            <v>2994.9335665111598</v>
          </cell>
        </row>
        <row r="67">
          <cell r="Q67">
            <v>6824.5392716103552</v>
          </cell>
          <cell r="R67">
            <v>3571.708828204306</v>
          </cell>
        </row>
        <row r="73">
          <cell r="Q73">
            <v>6336.9416144200641</v>
          </cell>
          <cell r="R73">
            <v>3491.3751017919571</v>
          </cell>
        </row>
      </sheetData>
      <sheetData sheetId="7">
        <row r="10">
          <cell r="I10">
            <v>32349.139310168299</v>
          </cell>
          <cell r="J10">
            <v>11025.356172403957</v>
          </cell>
        </row>
        <row r="11">
          <cell r="I11">
            <v>25311.919299177061</v>
          </cell>
          <cell r="J11">
            <v>139321.26696832577</v>
          </cell>
        </row>
        <row r="12">
          <cell r="I12">
            <v>67899.543378995426</v>
          </cell>
          <cell r="J12">
            <v>8041.0607356715127</v>
          </cell>
        </row>
        <row r="13">
          <cell r="I13">
            <v>87272.727272727265</v>
          </cell>
          <cell r="J13">
            <v>26666.666666666664</v>
          </cell>
        </row>
        <row r="21">
          <cell r="I21">
            <v>31971.01184494991</v>
          </cell>
          <cell r="J21">
            <v>11830.184909082524</v>
          </cell>
        </row>
        <row r="22">
          <cell r="I22">
            <v>26322.037556658754</v>
          </cell>
          <cell r="J22">
            <v>95082.742316784876</v>
          </cell>
        </row>
        <row r="23">
          <cell r="I23">
            <v>37941.176470588238</v>
          </cell>
          <cell r="J23">
            <v>6562.2423742786486</v>
          </cell>
        </row>
        <row r="24">
          <cell r="I24">
            <v>70096.153846153844</v>
          </cell>
          <cell r="J24">
            <v>18648.64864864865</v>
          </cell>
        </row>
        <row r="32">
          <cell r="I32">
            <v>33217.276048233281</v>
          </cell>
          <cell r="J32">
            <v>11352.583179173704</v>
          </cell>
        </row>
        <row r="33">
          <cell r="I33">
            <v>25469.741664431927</v>
          </cell>
          <cell r="J33">
            <v>175164.83516483515</v>
          </cell>
        </row>
        <row r="34">
          <cell r="I34">
            <v>44287.949921752741</v>
          </cell>
          <cell r="J34">
            <v>17050</v>
          </cell>
        </row>
        <row r="35">
          <cell r="I35">
            <v>49879.518072289153</v>
          </cell>
          <cell r="J35">
            <v>19000</v>
          </cell>
        </row>
        <row r="43">
          <cell r="I43">
            <v>31346.639341827795</v>
          </cell>
          <cell r="J43">
            <v>12386.334556001024</v>
          </cell>
        </row>
        <row r="44">
          <cell r="I44">
            <v>26038.287911720447</v>
          </cell>
          <cell r="J44">
            <v>184440.55944055945</v>
          </cell>
        </row>
        <row r="45">
          <cell r="I45">
            <v>48631.984585741811</v>
          </cell>
          <cell r="J45">
            <v>13503.649635036496</v>
          </cell>
        </row>
        <row r="46">
          <cell r="I46">
            <v>38181.818181818177</v>
          </cell>
          <cell r="J46">
            <v>30000</v>
          </cell>
        </row>
        <row r="54">
          <cell r="I54">
            <v>33546.799554289952</v>
          </cell>
          <cell r="J54">
            <v>12363.677230838392</v>
          </cell>
        </row>
        <row r="55">
          <cell r="I55">
            <v>25460.717749757514</v>
          </cell>
          <cell r="J55">
            <v>150803.38266384779</v>
          </cell>
        </row>
        <row r="56">
          <cell r="I56">
            <v>45748.587570621472</v>
          </cell>
          <cell r="J56">
            <v>11797.671033478893</v>
          </cell>
        </row>
        <row r="57">
          <cell r="I57">
            <v>73434.343434343435</v>
          </cell>
          <cell r="J57">
            <v>19285.71428571429</v>
          </cell>
        </row>
        <row r="65">
          <cell r="I65">
            <v>30833.259252674314</v>
          </cell>
          <cell r="J65">
            <v>12229.832964240959</v>
          </cell>
        </row>
        <row r="66">
          <cell r="I66">
            <v>24864.135798407788</v>
          </cell>
          <cell r="J66">
            <v>112957.48613678373</v>
          </cell>
        </row>
        <row r="67">
          <cell r="I67">
            <v>39046.92082111437</v>
          </cell>
          <cell r="J67">
            <v>16385.869565217392</v>
          </cell>
        </row>
        <row r="68">
          <cell r="I68">
            <v>0</v>
          </cell>
          <cell r="J68">
            <v>23333.333333333336</v>
          </cell>
        </row>
        <row r="76">
          <cell r="I76">
            <v>29496.226267269074</v>
          </cell>
          <cell r="J76">
            <v>13581.674076937947</v>
          </cell>
        </row>
        <row r="77">
          <cell r="I77">
            <v>25106.320141760189</v>
          </cell>
          <cell r="J77">
            <v>110854.92227979275</v>
          </cell>
        </row>
        <row r="78">
          <cell r="I78">
            <v>43697.478991596639</v>
          </cell>
          <cell r="J78">
            <v>21541.251133272894</v>
          </cell>
        </row>
        <row r="79">
          <cell r="I79">
            <v>40000</v>
          </cell>
          <cell r="J79">
            <v>20000</v>
          </cell>
        </row>
        <row r="87">
          <cell r="I87">
            <v>27539.348202517249</v>
          </cell>
          <cell r="J87">
            <v>16266.163665266806</v>
          </cell>
        </row>
        <row r="88">
          <cell r="I88">
            <v>24697.371593923319</v>
          </cell>
          <cell r="J88">
            <v>108562.30031948882</v>
          </cell>
        </row>
        <row r="89">
          <cell r="I89">
            <v>47292.644757433496</v>
          </cell>
          <cell r="J89">
            <v>27609.254498714654</v>
          </cell>
        </row>
        <row r="90">
          <cell r="I90">
            <v>80761.904761904763</v>
          </cell>
          <cell r="J90">
            <v>25000</v>
          </cell>
        </row>
        <row r="98">
          <cell r="I98">
            <v>27811.80531180531</v>
          </cell>
          <cell r="J98">
            <v>16521.233402831123</v>
          </cell>
        </row>
        <row r="99">
          <cell r="I99">
            <v>23582.913082171461</v>
          </cell>
          <cell r="J99">
            <v>92047.477744807111</v>
          </cell>
        </row>
        <row r="100">
          <cell r="I100">
            <v>43834.808259587022</v>
          </cell>
          <cell r="J100">
            <v>30159.574468085106</v>
          </cell>
        </row>
        <row r="101">
          <cell r="I101">
            <v>95000</v>
          </cell>
          <cell r="J101">
            <v>18000</v>
          </cell>
        </row>
        <row r="109">
          <cell r="I109">
            <v>23143.786295005808</v>
          </cell>
          <cell r="J109">
            <v>17421.019014395912</v>
          </cell>
        </row>
        <row r="110">
          <cell r="I110">
            <v>22874.595231086252</v>
          </cell>
          <cell r="J110">
            <v>44239.130434782608</v>
          </cell>
        </row>
        <row r="111">
          <cell r="I111">
            <v>48465.909090909096</v>
          </cell>
          <cell r="J111">
            <v>11427.664974619291</v>
          </cell>
        </row>
        <row r="112">
          <cell r="I112">
            <v>48681.318681318684</v>
          </cell>
          <cell r="J112">
            <v>28378.378378378377</v>
          </cell>
        </row>
        <row r="120">
          <cell r="I120">
            <v>26592.094529453934</v>
          </cell>
          <cell r="J120">
            <v>21240.188792406581</v>
          </cell>
        </row>
        <row r="121">
          <cell r="I121">
            <v>22791.17622849617</v>
          </cell>
          <cell r="J121">
            <v>126185.56701030929</v>
          </cell>
        </row>
        <row r="122">
          <cell r="I122">
            <v>43171.07093184979</v>
          </cell>
          <cell r="J122">
            <v>12919.161676646705</v>
          </cell>
        </row>
        <row r="123">
          <cell r="I123">
            <v>49416.666666666664</v>
          </cell>
          <cell r="J123">
            <v>29444.444444444442</v>
          </cell>
        </row>
        <row r="131">
          <cell r="I131">
            <v>30262.699142898644</v>
          </cell>
          <cell r="J131">
            <v>23273.186352999135</v>
          </cell>
        </row>
        <row r="132">
          <cell r="I132">
            <v>25246.536939313984</v>
          </cell>
          <cell r="J132">
            <v>306363.63636363635</v>
          </cell>
        </row>
        <row r="133">
          <cell r="I133">
            <v>71694.91525423729</v>
          </cell>
          <cell r="J133">
            <v>13806.52772316162</v>
          </cell>
        </row>
        <row r="134">
          <cell r="I134">
            <v>55000</v>
          </cell>
          <cell r="J134">
            <v>34444.444444444445</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Obst_Verteilung_auf_Quartale"/>
      <sheetName val="Begriffsdefinitionen"/>
      <sheetName val="Index_Erzeugerpreise"/>
    </sheetNames>
    <sheetDataSet>
      <sheetData sheetId="0"/>
      <sheetData sheetId="1"/>
      <sheetData sheetId="2">
        <row r="915">
          <cell r="G915">
            <v>5060.717741938186</v>
          </cell>
        </row>
      </sheetData>
      <sheetData sheetId="3">
        <row r="915">
          <cell r="G915">
            <v>4863.3887956479148</v>
          </cell>
        </row>
      </sheetData>
      <sheetData sheetId="4">
        <row r="915">
          <cell r="G915">
            <v>4449.0529797059926</v>
          </cell>
        </row>
      </sheetData>
      <sheetData sheetId="5">
        <row r="915">
          <cell r="G915">
            <v>4068.5897880091461</v>
          </cell>
        </row>
      </sheetData>
      <sheetData sheetId="6">
        <row r="915">
          <cell r="G915">
            <v>3813.0915826145324</v>
          </cell>
        </row>
      </sheetData>
      <sheetData sheetId="7">
        <row r="915">
          <cell r="G915">
            <v>5279.3845558380617</v>
          </cell>
        </row>
      </sheetData>
      <sheetData sheetId="8">
        <row r="915">
          <cell r="G915">
            <v>4240.2527566842145</v>
          </cell>
        </row>
      </sheetData>
      <sheetData sheetId="9">
        <row r="915">
          <cell r="G915">
            <v>3771.7600191805509</v>
          </cell>
        </row>
      </sheetData>
      <sheetData sheetId="10">
        <row r="915">
          <cell r="W915">
            <v>3475.2662751266298</v>
          </cell>
        </row>
      </sheetData>
      <sheetData sheetId="11">
        <row r="915">
          <cell r="W915">
            <v>3890.2868291041068</v>
          </cell>
        </row>
      </sheetData>
      <sheetData sheetId="12">
        <row r="915">
          <cell r="W915">
            <v>4837.7995506245234</v>
          </cell>
        </row>
      </sheetData>
      <sheetData sheetId="13">
        <row r="915">
          <cell r="W915">
            <v>5061.212109706099</v>
          </cell>
        </row>
      </sheetData>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Obst_Verteilung_auf_Quartale"/>
      <sheetName val="Begriffsdefinitionen"/>
      <sheetName val="Index_Erzeugerpreise"/>
    </sheetNames>
    <sheetDataSet>
      <sheetData sheetId="0"/>
      <sheetData sheetId="1"/>
      <sheetData sheetId="2">
        <row r="1013">
          <cell r="H1013">
            <v>12420.066093696121</v>
          </cell>
        </row>
        <row r="1053">
          <cell r="H1053">
            <v>3985.3065983670253</v>
          </cell>
        </row>
        <row r="1137">
          <cell r="H1137">
            <v>910.49222009001221</v>
          </cell>
        </row>
        <row r="1165">
          <cell r="H1165">
            <v>1397.4865080810096</v>
          </cell>
        </row>
        <row r="1193">
          <cell r="H1193">
            <v>5044.9612026683162</v>
          </cell>
        </row>
        <row r="1221">
          <cell r="H1221">
            <v>5178.5331188391647</v>
          </cell>
        </row>
        <row r="1253">
          <cell r="H1253">
            <v>1196.2426926711967</v>
          </cell>
        </row>
      </sheetData>
      <sheetData sheetId="3">
        <row r="1013">
          <cell r="H1013">
            <v>16469.628716341729</v>
          </cell>
        </row>
        <row r="1053">
          <cell r="H1053">
            <v>4633.8504864807683</v>
          </cell>
        </row>
        <row r="1165">
          <cell r="H1165">
            <v>1452.3717726538043</v>
          </cell>
        </row>
        <row r="1193">
          <cell r="H1193">
            <v>5262.5896755163722</v>
          </cell>
        </row>
        <row r="1221">
          <cell r="H1221">
            <v>5805.0114101270392</v>
          </cell>
        </row>
        <row r="1253">
          <cell r="H1253">
            <v>1215.0374433551572</v>
          </cell>
        </row>
      </sheetData>
      <sheetData sheetId="4">
        <row r="1013">
          <cell r="H1013">
            <v>13733.518678381963</v>
          </cell>
        </row>
        <row r="1053">
          <cell r="H1053">
            <v>4291.569193544181</v>
          </cell>
        </row>
        <row r="1137">
          <cell r="H1137">
            <v>892.8402699915124</v>
          </cell>
        </row>
        <row r="1165">
          <cell r="H1165">
            <v>1434.0557941346842</v>
          </cell>
        </row>
        <row r="1193">
          <cell r="H1193">
            <v>5297.1798868512742</v>
          </cell>
        </row>
        <row r="1221">
          <cell r="H1221">
            <v>5786.9424568719332</v>
          </cell>
        </row>
        <row r="1253">
          <cell r="H1253">
            <v>1170.3085603319973</v>
          </cell>
        </row>
      </sheetData>
      <sheetData sheetId="5">
        <row r="1013">
          <cell r="H1013">
            <v>24010.474804718793</v>
          </cell>
        </row>
        <row r="1053">
          <cell r="H1053">
            <v>4822.3115648524499</v>
          </cell>
        </row>
        <row r="1137">
          <cell r="H1137">
            <v>863.08259104514104</v>
          </cell>
        </row>
        <row r="1165">
          <cell r="H1165">
            <v>1409.058252733071</v>
          </cell>
        </row>
        <row r="1193">
          <cell r="H1193">
            <v>5924.371596890056</v>
          </cell>
        </row>
        <row r="1221">
          <cell r="H1221">
            <v>6182.0150258481326</v>
          </cell>
        </row>
        <row r="1253">
          <cell r="H1253">
            <v>1145.0686759157409</v>
          </cell>
        </row>
      </sheetData>
      <sheetData sheetId="6">
        <row r="1013">
          <cell r="H1013">
            <v>18573.863741936515</v>
          </cell>
        </row>
        <row r="1053">
          <cell r="H1053">
            <v>4747.8017776881679</v>
          </cell>
        </row>
        <row r="1137">
          <cell r="H1137">
            <v>830.16638668801932</v>
          </cell>
        </row>
        <row r="1165">
          <cell r="H1165">
            <v>1356.8565169000044</v>
          </cell>
        </row>
        <row r="1193">
          <cell r="H1193">
            <v>5852.3199980580766</v>
          </cell>
        </row>
        <row r="1221">
          <cell r="H1221">
            <v>6153.3658962111467</v>
          </cell>
        </row>
        <row r="1253">
          <cell r="H1253">
            <v>1099.3922013291794</v>
          </cell>
        </row>
      </sheetData>
      <sheetData sheetId="7">
        <row r="1013">
          <cell r="H1013">
            <v>23792.730815508075</v>
          </cell>
        </row>
        <row r="1053">
          <cell r="H1053">
            <v>5835.4189662590716</v>
          </cell>
        </row>
        <row r="1137">
          <cell r="H1137">
            <v>830.59366329826082</v>
          </cell>
        </row>
        <row r="1165">
          <cell r="H1165">
            <v>1242.3323903529806</v>
          </cell>
        </row>
        <row r="1193">
          <cell r="H1193">
            <v>8831.4526737202123</v>
          </cell>
        </row>
        <row r="1221">
          <cell r="H1221">
            <v>9175.1860301012948</v>
          </cell>
        </row>
        <row r="1253">
          <cell r="H1253">
            <v>1120.8393834687497</v>
          </cell>
        </row>
      </sheetData>
      <sheetData sheetId="8">
        <row r="1013">
          <cell r="H1013">
            <v>35892.072589666423</v>
          </cell>
        </row>
        <row r="1053">
          <cell r="H1053">
            <v>4462.5583710876253</v>
          </cell>
        </row>
        <row r="1137">
          <cell r="H1137">
            <v>1214.8536939888313</v>
          </cell>
        </row>
        <row r="1165">
          <cell r="H1165">
            <v>1304.9511063117011</v>
          </cell>
        </row>
        <row r="1193">
          <cell r="H1193">
            <v>8354.2150127621917</v>
          </cell>
        </row>
        <row r="1221">
          <cell r="H1221">
            <v>9156.647894726304</v>
          </cell>
        </row>
        <row r="1253">
          <cell r="H1253">
            <v>1155.5615595551481</v>
          </cell>
        </row>
      </sheetData>
      <sheetData sheetId="9">
        <row r="1013">
          <cell r="H1013">
            <v>53453.359222849736</v>
          </cell>
        </row>
        <row r="1053">
          <cell r="H1053">
            <v>5461.1770478339567</v>
          </cell>
        </row>
        <row r="1137">
          <cell r="H1137">
            <v>1140.6939883126802</v>
          </cell>
        </row>
        <row r="1165">
          <cell r="H1165">
            <v>1353.5629143382503</v>
          </cell>
        </row>
        <row r="1193">
          <cell r="H1193">
            <v>7962.010515346843</v>
          </cell>
        </row>
        <row r="1221">
          <cell r="H1221">
            <v>8311.893599723775</v>
          </cell>
        </row>
        <row r="1253">
          <cell r="H1253">
            <v>1125.5170516879793</v>
          </cell>
        </row>
      </sheetData>
      <sheetData sheetId="10">
        <row r="1013">
          <cell r="X1013">
            <v>27076.604045427281</v>
          </cell>
        </row>
        <row r="1053">
          <cell r="X1053">
            <v>5224.2233861079549</v>
          </cell>
        </row>
        <row r="1137">
          <cell r="X1137">
            <v>768.86881987963329</v>
          </cell>
        </row>
        <row r="1165">
          <cell r="X1165">
            <v>1321.1420288090644</v>
          </cell>
        </row>
        <row r="1193">
          <cell r="X1193">
            <v>8842.0090150731576</v>
          </cell>
        </row>
        <row r="1221">
          <cell r="X1221">
            <v>9232.6419014523944</v>
          </cell>
        </row>
        <row r="1253">
          <cell r="X1253">
            <v>1053.0867849262061</v>
          </cell>
        </row>
      </sheetData>
      <sheetData sheetId="11">
        <row r="1013">
          <cell r="X1013">
            <v>44309.906164711829</v>
          </cell>
        </row>
        <row r="1053">
          <cell r="X1053">
            <v>4037.5513920931921</v>
          </cell>
        </row>
        <row r="1137">
          <cell r="X1137">
            <v>838.24232155391633</v>
          </cell>
        </row>
        <row r="1165">
          <cell r="X1165">
            <v>1303.4065145993031</v>
          </cell>
        </row>
        <row r="1193">
          <cell r="X1193">
            <v>8900.1012860850078</v>
          </cell>
        </row>
        <row r="1221">
          <cell r="X1221">
            <v>10163.393942458173</v>
          </cell>
        </row>
        <row r="1253">
          <cell r="X1253">
            <v>1091.1287094104557</v>
          </cell>
        </row>
      </sheetData>
      <sheetData sheetId="12">
        <row r="1013">
          <cell r="X1013">
            <v>72964.035858492003</v>
          </cell>
        </row>
        <row r="1053">
          <cell r="X1053">
            <v>7222.7623579620267</v>
          </cell>
        </row>
        <row r="1137">
          <cell r="X1137">
            <v>1190.1310802823036</v>
          </cell>
        </row>
        <row r="1165">
          <cell r="X1165">
            <v>1700.6097496053037</v>
          </cell>
        </row>
        <row r="1193">
          <cell r="X1193">
            <v>10204.586273191188</v>
          </cell>
        </row>
        <row r="1221">
          <cell r="X1221">
            <v>10650.024613350564</v>
          </cell>
        </row>
        <row r="1253">
          <cell r="X1253">
            <v>1453.264197918335</v>
          </cell>
        </row>
      </sheetData>
      <sheetData sheetId="13">
        <row r="1013">
          <cell r="X1013">
            <v>71107.681043079283</v>
          </cell>
        </row>
        <row r="1053">
          <cell r="X1053">
            <v>7435.7590628778507</v>
          </cell>
        </row>
        <row r="1137">
          <cell r="X1137">
            <v>1187.7481283215552</v>
          </cell>
        </row>
        <row r="1165">
          <cell r="X1165">
            <v>1827.9349673995214</v>
          </cell>
        </row>
        <row r="1193">
          <cell r="X1193">
            <v>11369.049348141205</v>
          </cell>
        </row>
        <row r="1221">
          <cell r="X1221">
            <v>13609.183616339862</v>
          </cell>
        </row>
        <row r="1253">
          <cell r="X1253">
            <v>1507.9635898426109</v>
          </cell>
        </row>
      </sheetData>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331-0002"/>
      <sheetName val="Volumen"/>
      <sheetName val="Schlachtung_Quartale"/>
      <sheetName val="Quartalspreis"/>
      <sheetName val="Tiergewichte"/>
      <sheetName val="Gewicht Schweine"/>
    </sheetNames>
    <sheetDataSet>
      <sheetData sheetId="0"/>
      <sheetData sheetId="1"/>
      <sheetData sheetId="2"/>
      <sheetData sheetId="3"/>
      <sheetData sheetId="4"/>
      <sheetData sheetId="5">
        <row r="10">
          <cell r="M10">
            <v>94.01539937218763</v>
          </cell>
        </row>
        <row r="11">
          <cell r="M11">
            <v>93.788037000941614</v>
          </cell>
        </row>
        <row r="12">
          <cell r="M12">
            <v>93.724128853029782</v>
          </cell>
        </row>
        <row r="13">
          <cell r="M13">
            <v>93.794597368885562</v>
          </cell>
        </row>
        <row r="14">
          <cell r="M14">
            <v>93.82946502089186</v>
          </cell>
        </row>
        <row r="15">
          <cell r="M15">
            <v>93.974361466019403</v>
          </cell>
        </row>
        <row r="16">
          <cell r="M16">
            <v>94.259983629058638</v>
          </cell>
        </row>
        <row r="17">
          <cell r="M17">
            <v>94.383028144591876</v>
          </cell>
        </row>
        <row r="18">
          <cell r="M18">
            <v>94.82234099224803</v>
          </cell>
        </row>
        <row r="19">
          <cell r="M19">
            <v>95.870898375166831</v>
          </cell>
        </row>
        <row r="20">
          <cell r="M20">
            <v>95.829848730904956</v>
          </cell>
        </row>
        <row r="21">
          <cell r="M21">
            <v>95.225672859499511</v>
          </cell>
        </row>
        <row r="22">
          <cell r="M22">
            <v>95.388685381583997</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Obst_Verteilung_auf_Quartale"/>
      <sheetName val="Begriffsdefinitionen"/>
      <sheetName val="Index_Erzeugerpreise"/>
    </sheetNames>
    <sheetDataSet>
      <sheetData sheetId="0"/>
      <sheetData sheetId="1">
        <row r="985">
          <cell r="F985">
            <v>1496.53849356816</v>
          </cell>
        </row>
        <row r="1007">
          <cell r="H1007">
            <v>7337.3716183125216</v>
          </cell>
        </row>
      </sheetData>
      <sheetData sheetId="2">
        <row r="985">
          <cell r="F985">
            <v>1694.52206150746</v>
          </cell>
        </row>
        <row r="1007">
          <cell r="H1007">
            <v>8562.5048519230368</v>
          </cell>
        </row>
        <row r="1081">
          <cell r="F1081">
            <v>220</v>
          </cell>
        </row>
        <row r="1103">
          <cell r="G1103">
            <v>14.597313573575549</v>
          </cell>
        </row>
        <row r="1109">
          <cell r="F1109">
            <v>926</v>
          </cell>
        </row>
        <row r="1131">
          <cell r="G1131">
            <v>1541.8195001700301</v>
          </cell>
        </row>
        <row r="1165">
          <cell r="F1165">
            <v>1371</v>
          </cell>
        </row>
        <row r="1187">
          <cell r="G1187">
            <v>879.9637269977768</v>
          </cell>
        </row>
        <row r="1193">
          <cell r="F1193">
            <v>4912.7707407847392</v>
          </cell>
        </row>
        <row r="1215">
          <cell r="G1215">
            <v>30.351193464222721</v>
          </cell>
        </row>
        <row r="1221">
          <cell r="F1221">
            <v>5272.7320527250731</v>
          </cell>
        </row>
        <row r="1252">
          <cell r="G1252">
            <v>440.30673190126612</v>
          </cell>
        </row>
        <row r="1275">
          <cell r="G1275">
            <v>2907.0384661068715</v>
          </cell>
        </row>
        <row r="1399">
          <cell r="G1399">
            <v>1558.733941852603</v>
          </cell>
        </row>
        <row r="1420">
          <cell r="G1420">
            <v>1597.2426963740477</v>
          </cell>
        </row>
      </sheetData>
      <sheetData sheetId="3">
        <row r="985">
          <cell r="F985">
            <v>1692.71795159765</v>
          </cell>
        </row>
        <row r="1007">
          <cell r="H1007">
            <v>8281.8090904511646</v>
          </cell>
        </row>
        <row r="1081">
          <cell r="F1081">
            <v>281</v>
          </cell>
        </row>
        <row r="1103">
          <cell r="G1103">
            <v>18.810003818942182</v>
          </cell>
        </row>
        <row r="1109">
          <cell r="F1109">
            <v>968</v>
          </cell>
        </row>
        <row r="1131">
          <cell r="G1131">
            <v>1665.2254370851897</v>
          </cell>
        </row>
        <row r="1165">
          <cell r="F1165">
            <v>1417.5</v>
          </cell>
        </row>
        <row r="1187">
          <cell r="G1187">
            <v>879.45916737232699</v>
          </cell>
        </row>
        <row r="1193">
          <cell r="F1193">
            <v>5161.6470889186385</v>
          </cell>
        </row>
        <row r="1215">
          <cell r="G1215">
            <v>32.605790788867125</v>
          </cell>
        </row>
        <row r="1221">
          <cell r="F1221">
            <v>5962.1626502309009</v>
          </cell>
        </row>
        <row r="1252">
          <cell r="G1252">
            <v>379.8656172263747</v>
          </cell>
        </row>
        <row r="1275">
          <cell r="G1275">
            <v>2975.9660162917007</v>
          </cell>
        </row>
        <row r="1399">
          <cell r="G1399">
            <v>1157.8748309668695</v>
          </cell>
        </row>
        <row r="1420">
          <cell r="G1420">
            <v>1364.3540028194107</v>
          </cell>
        </row>
      </sheetData>
      <sheetData sheetId="4">
        <row r="985">
          <cell r="F985">
            <v>1542.4006167924199</v>
          </cell>
        </row>
        <row r="1007">
          <cell r="H1007">
            <v>7483.2434887464897</v>
          </cell>
        </row>
        <row r="1081">
          <cell r="F1081">
            <v>303</v>
          </cell>
        </row>
        <row r="1103">
          <cell r="G1103">
            <v>20.427201161594549</v>
          </cell>
        </row>
        <row r="1109">
          <cell r="F1109">
            <v>913</v>
          </cell>
        </row>
        <row r="1131">
          <cell r="G1131">
            <v>1605.1741432234771</v>
          </cell>
        </row>
        <row r="1165">
          <cell r="F1165">
            <v>1395</v>
          </cell>
        </row>
        <row r="1187">
          <cell r="G1187">
            <v>900.21285464263144</v>
          </cell>
        </row>
        <row r="1193">
          <cell r="F1193">
            <v>5239.9555760940029</v>
          </cell>
        </row>
        <row r="1215">
          <cell r="G1215">
            <v>34.274902927337678</v>
          </cell>
        </row>
        <row r="1221">
          <cell r="F1221">
            <v>5962.1626502309009</v>
          </cell>
        </row>
        <row r="1252">
          <cell r="G1252">
            <v>392.24684483610463</v>
          </cell>
        </row>
        <row r="1275">
          <cell r="G1275">
            <v>2952.3359467911455</v>
          </cell>
        </row>
        <row r="1399">
          <cell r="G1399">
            <v>1121.4870689655174</v>
          </cell>
        </row>
        <row r="1420">
          <cell r="G1420">
            <v>1356.7432733553221</v>
          </cell>
        </row>
      </sheetData>
      <sheetData sheetId="5">
        <row r="985">
          <cell r="F985">
            <v>1385.2042323297201</v>
          </cell>
        </row>
        <row r="1007">
          <cell r="H1007">
            <v>6613.6561130807831</v>
          </cell>
        </row>
        <row r="1081">
          <cell r="F1081">
            <v>270</v>
          </cell>
        </row>
        <row r="1103">
          <cell r="G1103">
            <v>18.138881218447835</v>
          </cell>
        </row>
        <row r="1109">
          <cell r="F1109">
            <v>885</v>
          </cell>
        </row>
        <row r="1131">
          <cell r="G1131">
            <v>1591.4072089237616</v>
          </cell>
        </row>
        <row r="1165">
          <cell r="F1165">
            <v>1366.4999999999998</v>
          </cell>
        </row>
        <row r="1187">
          <cell r="G1187">
            <v>868.0364673905508</v>
          </cell>
        </row>
        <row r="1193">
          <cell r="F1193">
            <v>5898.2699545316073</v>
          </cell>
        </row>
        <row r="1215">
          <cell r="G1215">
            <v>38.170786716625891</v>
          </cell>
        </row>
        <row r="1221">
          <cell r="F1221">
            <v>6523.2732718535699</v>
          </cell>
        </row>
        <row r="1252">
          <cell r="G1252">
            <v>408.02609722512062</v>
          </cell>
        </row>
        <row r="1275">
          <cell r="G1275">
            <v>2923.7794414745067</v>
          </cell>
        </row>
        <row r="1399">
          <cell r="G1399">
            <v>1189.4001436781609</v>
          </cell>
        </row>
        <row r="1420">
          <cell r="G1420">
            <v>1404.7339881252644</v>
          </cell>
        </row>
      </sheetData>
      <sheetData sheetId="6">
        <row r="985">
          <cell r="F985">
            <v>1489.7367182871001</v>
          </cell>
        </row>
        <row r="1007">
          <cell r="H1007">
            <v>7263.6826689113213</v>
          </cell>
        </row>
        <row r="1081">
          <cell r="F1081">
            <v>77</v>
          </cell>
        </row>
        <row r="1103">
          <cell r="G1103">
            <v>4.8504010884953832</v>
          </cell>
        </row>
        <row r="1109">
          <cell r="F1109">
            <v>851</v>
          </cell>
        </row>
        <row r="1131">
          <cell r="G1131">
            <v>1489.4062035960601</v>
          </cell>
        </row>
        <row r="1165">
          <cell r="F1165">
            <v>1300</v>
          </cell>
        </row>
        <row r="1187">
          <cell r="G1187">
            <v>723.74664290395708</v>
          </cell>
        </row>
        <row r="1193">
          <cell r="F1193">
            <v>5755.4654739701436</v>
          </cell>
        </row>
        <row r="1215">
          <cell r="G1215">
            <v>39.203706165677325</v>
          </cell>
        </row>
        <row r="1221">
          <cell r="F1221">
            <v>6440.7454346989089</v>
          </cell>
        </row>
        <row r="1252">
          <cell r="G1252">
            <v>384.03600668351521</v>
          </cell>
        </row>
        <row r="1275">
          <cell r="G1275">
            <v>2641.2429604377053</v>
          </cell>
        </row>
        <row r="1399">
          <cell r="G1399">
            <v>1071.5030214672076</v>
          </cell>
        </row>
        <row r="1420">
          <cell r="G1420">
            <v>1321.2339044284499</v>
          </cell>
        </row>
      </sheetData>
      <sheetData sheetId="7">
        <row r="985">
          <cell r="F985">
            <v>1631.85179454273</v>
          </cell>
        </row>
        <row r="1007">
          <cell r="H1007">
            <v>7719.7713544272356</v>
          </cell>
        </row>
        <row r="1081">
          <cell r="F1081">
            <v>204</v>
          </cell>
        </row>
        <row r="1103">
          <cell r="G1103">
            <v>14.870290152505262</v>
          </cell>
        </row>
        <row r="1109">
          <cell r="F1109">
            <v>840</v>
          </cell>
        </row>
        <row r="1131">
          <cell r="G1131">
            <v>1510.9341401742536</v>
          </cell>
        </row>
        <row r="1165">
          <cell r="F1165">
            <v>1178</v>
          </cell>
        </row>
        <row r="1187">
          <cell r="G1187">
            <v>629.89835357330571</v>
          </cell>
        </row>
        <row r="1193">
          <cell r="F1193">
            <v>8833.6877442926489</v>
          </cell>
        </row>
        <row r="1215">
          <cell r="G1215">
            <v>55.855798791422302</v>
          </cell>
        </row>
        <row r="1221">
          <cell r="F1221">
            <v>9278.8446803458319</v>
          </cell>
        </row>
        <row r="1252">
          <cell r="G1252">
            <v>481.65420054306372</v>
          </cell>
        </row>
        <row r="1275">
          <cell r="G1275">
            <v>2693.2127832345509</v>
          </cell>
        </row>
        <row r="1399">
          <cell r="G1399">
            <v>1523.8366294793775</v>
          </cell>
        </row>
        <row r="1420">
          <cell r="G1420">
            <v>1697.7490853251634</v>
          </cell>
        </row>
      </sheetData>
      <sheetData sheetId="8">
        <row r="985">
          <cell r="F985">
            <v>1428.12596490794</v>
          </cell>
        </row>
        <row r="1007">
          <cell r="H1007">
            <v>6850.9162111383303</v>
          </cell>
        </row>
        <row r="1081">
          <cell r="F1081">
            <v>134</v>
          </cell>
        </row>
        <row r="1103">
          <cell r="G1103">
            <v>10.268631578947367</v>
          </cell>
        </row>
        <row r="1109">
          <cell r="F1109">
            <v>864</v>
          </cell>
        </row>
        <row r="1131">
          <cell r="G1131">
            <v>1611.1983521288184</v>
          </cell>
        </row>
        <row r="1165">
          <cell r="F1165">
            <v>1226.5000000000002</v>
          </cell>
        </row>
        <row r="1187">
          <cell r="G1187">
            <v>650.79035431495311</v>
          </cell>
        </row>
        <row r="1193">
          <cell r="F1193">
            <v>8352.4993314498424</v>
          </cell>
        </row>
        <row r="1215">
          <cell r="G1215">
            <v>54.943070685415734</v>
          </cell>
        </row>
        <row r="1221">
          <cell r="F1221">
            <v>9229.1747479049754</v>
          </cell>
        </row>
        <row r="1252">
          <cell r="G1252">
            <v>502.17599992702702</v>
          </cell>
        </row>
        <row r="1275">
          <cell r="G1275">
            <v>2829.3764086351621</v>
          </cell>
        </row>
        <row r="1399">
          <cell r="G1399">
            <v>1386.5374619675454</v>
          </cell>
        </row>
        <row r="1420">
          <cell r="G1420">
            <v>1599.4907395563121</v>
          </cell>
        </row>
      </sheetData>
      <sheetData sheetId="9">
        <row r="985">
          <cell r="F985">
            <v>1739.2697444242399</v>
          </cell>
        </row>
        <row r="1007">
          <cell r="H1007">
            <v>8216.9183035701353</v>
          </cell>
        </row>
        <row r="1081">
          <cell r="F1081">
            <v>137</v>
          </cell>
        </row>
        <row r="1103">
          <cell r="G1103">
            <v>8.6684409056460208</v>
          </cell>
        </row>
        <row r="1109">
          <cell r="F1109">
            <v>838</v>
          </cell>
        </row>
        <row r="1131">
          <cell r="G1131">
            <v>1595.3171372369461</v>
          </cell>
        </row>
        <row r="1165">
          <cell r="F1165">
            <v>1292.5</v>
          </cell>
        </row>
        <row r="1187">
          <cell r="G1187">
            <v>841.4755149664004</v>
          </cell>
        </row>
        <row r="1193">
          <cell r="F1193">
            <v>7960.8456966838212</v>
          </cell>
        </row>
        <row r="1215">
          <cell r="G1215">
            <v>50.713695310909394</v>
          </cell>
        </row>
        <row r="1221">
          <cell r="F1221">
            <v>8381.0341814077146</v>
          </cell>
        </row>
        <row r="1252">
          <cell r="G1252">
            <v>421.37963693132133</v>
          </cell>
        </row>
        <row r="1275">
          <cell r="G1275">
            <v>2917.5544253512235</v>
          </cell>
        </row>
        <row r="1399">
          <cell r="G1399">
            <v>1592.9996877501394</v>
          </cell>
        </row>
        <row r="1420">
          <cell r="G1420">
            <v>1491.7556950063151</v>
          </cell>
        </row>
      </sheetData>
      <sheetData sheetId="10">
        <row r="985">
          <cell r="V985">
            <v>1590.6027938538182</v>
          </cell>
        </row>
        <row r="1007">
          <cell r="X1007">
            <v>7059.9755607475618</v>
          </cell>
        </row>
        <row r="1081">
          <cell r="V1081">
            <v>142.75000000000003</v>
          </cell>
        </row>
        <row r="1103">
          <cell r="W1103">
            <v>10.575770308908647</v>
          </cell>
        </row>
        <row r="1109">
          <cell r="V1109">
            <v>796.75</v>
          </cell>
        </row>
        <row r="1131">
          <cell r="W1131">
            <v>1465.5849277524485</v>
          </cell>
        </row>
        <row r="1165">
          <cell r="V1165">
            <v>1266.625</v>
          </cell>
        </row>
        <row r="1187">
          <cell r="W1187">
            <v>843.79264142975921</v>
          </cell>
        </row>
        <row r="1193">
          <cell r="V1193">
            <v>8841.7851275692301</v>
          </cell>
        </row>
        <row r="1215">
          <cell r="W1215">
            <v>56.277219518659692</v>
          </cell>
        </row>
        <row r="1221">
          <cell r="V1221">
            <v>9336.6809508905335</v>
          </cell>
        </row>
        <row r="1252">
          <cell r="W1252">
            <v>366.72548639931426</v>
          </cell>
        </row>
        <row r="1275">
          <cell r="W1275">
            <v>2742.9560454090902</v>
          </cell>
        </row>
        <row r="1399">
          <cell r="W1399">
            <v>1496.2390390044566</v>
          </cell>
        </row>
        <row r="1420">
          <cell r="W1420">
            <v>1446.0531987344336</v>
          </cell>
        </row>
      </sheetData>
      <sheetData sheetId="11">
        <row r="985">
          <cell r="V985">
            <v>1369.1727133721365</v>
          </cell>
        </row>
        <row r="1007">
          <cell r="X1007">
            <v>6115.3598842464116</v>
          </cell>
        </row>
        <row r="1081">
          <cell r="V1081">
            <v>197.50000000000003</v>
          </cell>
        </row>
        <row r="1103">
          <cell r="W1103">
            <v>14.665609496178446</v>
          </cell>
        </row>
        <row r="1109">
          <cell r="V1109">
            <v>899.41923251678531</v>
          </cell>
        </row>
        <row r="1131">
          <cell r="W1131">
            <v>1573.3561862899346</v>
          </cell>
        </row>
        <row r="1165">
          <cell r="V1165">
            <v>1305.1121196082559</v>
          </cell>
        </row>
        <row r="1187">
          <cell r="W1187">
            <v>762.65147883301404</v>
          </cell>
        </row>
        <row r="1193">
          <cell r="V1193">
            <v>8841.7851275692283</v>
          </cell>
        </row>
        <row r="1215">
          <cell r="W1215">
            <v>52.377355215977303</v>
          </cell>
        </row>
        <row r="1252">
          <cell r="W1252">
            <v>312.58714008353058</v>
          </cell>
        </row>
        <row r="1275">
          <cell r="W1275">
            <v>2715.6377699186351</v>
          </cell>
        </row>
        <row r="1399">
          <cell r="W1399">
            <v>1247.8588755799883</v>
          </cell>
        </row>
        <row r="1420">
          <cell r="W1420">
            <v>1460.8469462539242</v>
          </cell>
        </row>
      </sheetData>
      <sheetData sheetId="12">
        <row r="155">
          <cell r="V155">
            <v>1829.1868865851541</v>
          </cell>
        </row>
        <row r="177">
          <cell r="X177">
            <v>7624.3965714414835</v>
          </cell>
        </row>
        <row r="251">
          <cell r="V251">
            <v>294.10514283003437</v>
          </cell>
        </row>
        <row r="273">
          <cell r="W273">
            <v>20.234104446935902</v>
          </cell>
        </row>
        <row r="279">
          <cell r="V279">
            <v>1253.75</v>
          </cell>
        </row>
        <row r="301">
          <cell r="W301">
            <v>2201.1835815400477</v>
          </cell>
        </row>
        <row r="335">
          <cell r="V335">
            <v>1654.875</v>
          </cell>
        </row>
        <row r="357">
          <cell r="W357">
            <v>910.24102358872665</v>
          </cell>
        </row>
        <row r="363">
          <cell r="V363">
            <v>10121.035001827307</v>
          </cell>
        </row>
        <row r="385">
          <cell r="W385">
            <v>55.019038103831221</v>
          </cell>
        </row>
        <row r="391">
          <cell r="V391">
            <v>10641.419720288251</v>
          </cell>
        </row>
        <row r="422">
          <cell r="W422">
            <v>360.80697620396916</v>
          </cell>
        </row>
        <row r="445">
          <cell r="W445">
            <v>3547.4847238835109</v>
          </cell>
        </row>
        <row r="569">
          <cell r="W569">
            <v>2165.882446406632</v>
          </cell>
        </row>
        <row r="590">
          <cell r="W590">
            <v>2142.2701513343081</v>
          </cell>
        </row>
      </sheetData>
      <sheetData sheetId="13">
        <row r="985">
          <cell r="V985">
            <v>2309.0572881813937</v>
          </cell>
        </row>
        <row r="1007">
          <cell r="X1007">
            <v>8931.213133733896</v>
          </cell>
        </row>
        <row r="1081">
          <cell r="V1081">
            <v>243.25293803418808</v>
          </cell>
        </row>
        <row r="1103">
          <cell r="W1103">
            <v>16.251236650994322</v>
          </cell>
        </row>
        <row r="1109">
          <cell r="V1109">
            <v>1239.6602564102564</v>
          </cell>
        </row>
        <row r="1131">
          <cell r="W1131">
            <v>2210.0609299759935</v>
          </cell>
        </row>
        <row r="1165">
          <cell r="V1165">
            <v>1783.875</v>
          </cell>
        </row>
        <row r="1187">
          <cell r="W1187">
            <v>1020.865064663082</v>
          </cell>
        </row>
        <row r="1193">
          <cell r="V1193">
            <v>11347.703255700222</v>
          </cell>
        </row>
        <row r="1215">
          <cell r="W1215">
            <v>49.652923419222589</v>
          </cell>
        </row>
        <row r="1221">
          <cell r="V1221">
            <v>13516.133763636406</v>
          </cell>
        </row>
        <row r="1252">
          <cell r="W1252">
            <v>425.60554959500973</v>
          </cell>
        </row>
        <row r="1275">
          <cell r="W1275">
            <v>3722.4357043043028</v>
          </cell>
        </row>
        <row r="1399">
          <cell r="W1399">
            <v>2662.8158411843078</v>
          </cell>
        </row>
        <row r="1420">
          <cell r="W1420">
            <v>2551.485907398649</v>
          </cell>
        </row>
      </sheetData>
      <sheetData sheetId="14"/>
      <sheetData sheetId="15"/>
      <sheetData sheetId="16"/>
      <sheetData sheetId="1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www.landschafftleben.at/service-aktuelles/support/glossar?letter=A"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110"/>
  <sheetViews>
    <sheetView tabSelected="1" zoomScaleNormal="100" workbookViewId="0">
      <selection activeCell="B1" sqref="B1"/>
    </sheetView>
  </sheetViews>
  <sheetFormatPr baseColWidth="10" defaultRowHeight="15" x14ac:dyDescent="0.25"/>
  <cols>
    <col min="5" max="5" width="12" customWidth="1"/>
    <col min="6" max="6" width="25.5703125" customWidth="1"/>
    <col min="7" max="7" width="14.28515625" customWidth="1"/>
  </cols>
  <sheetData>
    <row r="1" spans="2:22" ht="18.75" x14ac:dyDescent="0.3">
      <c r="B1" s="160" t="s">
        <v>820</v>
      </c>
      <c r="C1" s="1"/>
      <c r="D1" s="1"/>
      <c r="E1" s="1"/>
      <c r="F1" s="1"/>
      <c r="G1" s="1"/>
      <c r="H1" s="1"/>
      <c r="I1" s="1"/>
      <c r="J1" s="1"/>
      <c r="K1" s="1"/>
      <c r="L1" s="1"/>
      <c r="M1" s="1"/>
    </row>
    <row r="2" spans="2:22" x14ac:dyDescent="0.25">
      <c r="K2" s="2"/>
      <c r="L2" s="2"/>
      <c r="M2" s="2"/>
      <c r="N2" s="2"/>
      <c r="O2" s="2"/>
      <c r="P2" s="2"/>
      <c r="Q2" s="2"/>
      <c r="R2" s="2"/>
      <c r="S2" s="2"/>
      <c r="T2" s="2"/>
      <c r="U2" s="2"/>
      <c r="V2" s="2"/>
    </row>
    <row r="3" spans="2:22" x14ac:dyDescent="0.25">
      <c r="C3" s="26" t="s">
        <v>0</v>
      </c>
    </row>
    <row r="4" spans="2:22" x14ac:dyDescent="0.25">
      <c r="B4" s="3">
        <v>11</v>
      </c>
      <c r="C4" s="4">
        <v>11000</v>
      </c>
      <c r="D4" s="5" t="s">
        <v>1</v>
      </c>
      <c r="E4" s="6" t="s">
        <v>2</v>
      </c>
    </row>
    <row r="5" spans="2:22" ht="22.5" x14ac:dyDescent="0.25">
      <c r="B5" s="3" t="s">
        <v>3</v>
      </c>
      <c r="C5" s="4">
        <v>11100</v>
      </c>
      <c r="D5" s="7" t="s">
        <v>4</v>
      </c>
      <c r="E5" s="8" t="s">
        <v>5</v>
      </c>
      <c r="F5" t="s">
        <v>6</v>
      </c>
      <c r="G5">
        <v>2012</v>
      </c>
      <c r="H5">
        <v>2013</v>
      </c>
      <c r="I5">
        <v>2014</v>
      </c>
      <c r="J5">
        <v>2015</v>
      </c>
      <c r="K5">
        <v>2016</v>
      </c>
      <c r="L5">
        <v>2017</v>
      </c>
      <c r="M5">
        <v>2018</v>
      </c>
      <c r="N5">
        <v>2019</v>
      </c>
      <c r="O5">
        <v>2020</v>
      </c>
      <c r="P5">
        <v>2021</v>
      </c>
      <c r="Q5">
        <v>2022</v>
      </c>
      <c r="R5">
        <v>2023</v>
      </c>
    </row>
    <row r="6" spans="2:22" ht="33.75" x14ac:dyDescent="0.25">
      <c r="B6" s="9" t="s">
        <v>7</v>
      </c>
      <c r="C6" s="10" t="s">
        <v>8</v>
      </c>
      <c r="D6" s="11" t="s">
        <v>9</v>
      </c>
      <c r="E6" s="12" t="s">
        <v>10</v>
      </c>
      <c r="F6" s="13" t="s">
        <v>11</v>
      </c>
      <c r="G6" s="14">
        <f>'[1]2012'!$G$887</f>
        <v>3542.7138551977018</v>
      </c>
      <c r="H6" s="14">
        <f>'[1]2013'!$G$887</f>
        <v>3421.459630355228</v>
      </c>
      <c r="I6" s="14">
        <f>'[1]2014'!$G$887</f>
        <v>3221.3834595822295</v>
      </c>
      <c r="J6" s="14">
        <f>'[1]2015'!$G$887</f>
        <v>3253.911932966942</v>
      </c>
      <c r="K6" s="14">
        <f>'[1]2016'!$G$887</f>
        <v>3117.6171548859406</v>
      </c>
      <c r="L6" s="14">
        <f>'[1]2017'!$G$887</f>
        <v>3438.3985297822528</v>
      </c>
      <c r="M6" s="14">
        <f>'[1]2018'!$G$887</f>
        <v>3377.1233526597507</v>
      </c>
      <c r="N6" s="14">
        <f>'[1]2019'!$G$887</f>
        <v>3196.3874441764942</v>
      </c>
      <c r="O6" s="14">
        <f>'[1]2020'!$W$887</f>
        <v>3071.3664077960234</v>
      </c>
      <c r="P6" s="14">
        <f>'[1]2021'!$W$887</f>
        <v>3601.1883249003822</v>
      </c>
      <c r="Q6" s="14">
        <f>'[1]2022'!$W$887</f>
        <v>4692.0503747350549</v>
      </c>
      <c r="R6" s="14">
        <f>'[1]2023'!$W$887</f>
        <v>4371.5550792094364</v>
      </c>
    </row>
    <row r="7" spans="2:22" x14ac:dyDescent="0.25">
      <c r="B7" s="15"/>
      <c r="C7" s="16"/>
      <c r="D7" s="17"/>
      <c r="E7" s="18"/>
      <c r="F7" t="s">
        <v>12</v>
      </c>
      <c r="G7" s="19">
        <f>'[2]51000-0102'!J7</f>
        <v>3042.7679179931479</v>
      </c>
      <c r="H7" s="19">
        <f>'[2]51000-0102'!J28</f>
        <v>2795.5921938088827</v>
      </c>
      <c r="I7" s="19">
        <f>'[2]51000-0102'!J49</f>
        <v>2717.4630914762392</v>
      </c>
      <c r="J7" s="19">
        <f>'[2]51000-0102'!J70</f>
        <v>2722.983870967742</v>
      </c>
      <c r="K7" s="19">
        <f>'[2]51000-0102'!J91</f>
        <v>2752.791332395997</v>
      </c>
      <c r="L7" s="19">
        <f>'[2]51000-0102'!J112</f>
        <v>2715.0823371653773</v>
      </c>
      <c r="M7" s="19">
        <f>'[2]51000-0102'!J133</f>
        <v>2823.0671736375157</v>
      </c>
      <c r="N7" s="19">
        <f>'[2]51000-0102'!J154</f>
        <v>2980.9054060653416</v>
      </c>
      <c r="O7" s="19">
        <f>'[2]51000-0102'!J175</f>
        <v>2584.2455462545608</v>
      </c>
      <c r="P7" s="19">
        <f>'[2]51000-0102'!J196</f>
        <v>3193.50363176365</v>
      </c>
      <c r="Q7" s="19">
        <f>'[2]51000-0102'!J217</f>
        <v>3698.9306279133534</v>
      </c>
      <c r="R7" s="19">
        <f>'[2]51000-0102'!J238</f>
        <v>3551.3545835058185</v>
      </c>
    </row>
    <row r="8" spans="2:22" x14ac:dyDescent="0.25">
      <c r="B8" s="15"/>
      <c r="C8" s="16"/>
      <c r="D8" s="17"/>
      <c r="E8" s="18"/>
      <c r="F8" t="s">
        <v>13</v>
      </c>
      <c r="G8" s="19">
        <f>G6-G7</f>
        <v>499.94593720455396</v>
      </c>
      <c r="H8" s="19">
        <f t="shared" ref="H8:R8" si="0">H6-H7</f>
        <v>625.86743654634529</v>
      </c>
      <c r="I8" s="19">
        <f t="shared" si="0"/>
        <v>503.92036810599029</v>
      </c>
      <c r="J8" s="19">
        <f t="shared" si="0"/>
        <v>530.92806199920005</v>
      </c>
      <c r="K8" s="19">
        <f t="shared" si="0"/>
        <v>364.82582248994368</v>
      </c>
      <c r="L8" s="19">
        <f t="shared" si="0"/>
        <v>723.31619261687547</v>
      </c>
      <c r="M8" s="19">
        <f t="shared" si="0"/>
        <v>554.05617902223503</v>
      </c>
      <c r="N8" s="19">
        <f t="shared" si="0"/>
        <v>215.48203811115263</v>
      </c>
      <c r="O8" s="19">
        <f t="shared" si="0"/>
        <v>487.12086154146255</v>
      </c>
      <c r="P8" s="19">
        <f t="shared" si="0"/>
        <v>407.68469313673222</v>
      </c>
      <c r="Q8" s="19">
        <f t="shared" si="0"/>
        <v>993.11974682170148</v>
      </c>
      <c r="R8" s="19">
        <f t="shared" si="0"/>
        <v>820.20049570361789</v>
      </c>
    </row>
    <row r="9" spans="2:22" x14ac:dyDescent="0.25">
      <c r="B9" s="15"/>
      <c r="C9" s="16"/>
      <c r="D9" s="17"/>
      <c r="E9" s="18"/>
      <c r="F9" t="s">
        <v>14</v>
      </c>
      <c r="G9" s="2">
        <f t="shared" ref="G9:R9" si="1">(G6/G7)*100</f>
        <v>116.43062996188985</v>
      </c>
      <c r="H9" s="2">
        <f t="shared" si="1"/>
        <v>122.3876514583347</v>
      </c>
      <c r="I9" s="2">
        <f t="shared" si="1"/>
        <v>118.5437796629738</v>
      </c>
      <c r="J9" s="2">
        <f t="shared" si="1"/>
        <v>119.49802448923465</v>
      </c>
      <c r="K9" s="2">
        <f t="shared" si="1"/>
        <v>113.25294141246818</v>
      </c>
      <c r="L9" s="2">
        <f t="shared" si="1"/>
        <v>126.6406724656475</v>
      </c>
      <c r="M9" s="2">
        <f t="shared" si="1"/>
        <v>119.62603597236883</v>
      </c>
      <c r="N9" s="2">
        <f t="shared" si="1"/>
        <v>107.22874458453813</v>
      </c>
      <c r="O9" s="2">
        <f t="shared" si="1"/>
        <v>118.84963533157537</v>
      </c>
      <c r="P9" s="2">
        <f t="shared" si="1"/>
        <v>112.76606323793605</v>
      </c>
      <c r="Q9" s="2">
        <f t="shared" si="1"/>
        <v>126.84883407456446</v>
      </c>
      <c r="R9" s="2">
        <f t="shared" si="1"/>
        <v>123.09542672852267</v>
      </c>
    </row>
    <row r="10" spans="2:22" x14ac:dyDescent="0.25">
      <c r="B10" s="15"/>
      <c r="C10" s="16"/>
      <c r="D10" s="17"/>
      <c r="E10" s="18"/>
    </row>
    <row r="11" spans="2:22" x14ac:dyDescent="0.25">
      <c r="B11" s="15"/>
      <c r="C11" s="16"/>
      <c r="D11" s="17"/>
      <c r="E11" s="18"/>
      <c r="F11" t="s">
        <v>15</v>
      </c>
      <c r="G11" s="19">
        <f>'[2]51000-0102'!I7</f>
        <v>3234.6083956631542</v>
      </c>
      <c r="H11" s="19">
        <f>'[2]51000-0102'!I28</f>
        <v>3128.9891312421087</v>
      </c>
      <c r="I11" s="19">
        <f>'[2]51000-0102'!I49</f>
        <v>3122.9425297374246</v>
      </c>
      <c r="J11" s="19">
        <f>'[2]51000-0102'!I70</f>
        <v>3205.1693845258906</v>
      </c>
      <c r="K11" s="19">
        <f>'[2]51000-0102'!I91</f>
        <v>3054.2351364694273</v>
      </c>
      <c r="L11" s="19">
        <f>'[2]51000-0102'!I112</f>
        <v>3433.0831913816128</v>
      </c>
      <c r="M11" s="19">
        <f>'[2]51000-0102'!I133</f>
        <v>3372.0262223181321</v>
      </c>
      <c r="N11" s="19">
        <f>'[2]51000-0102'!I154</f>
        <v>3100.3322744367765</v>
      </c>
      <c r="O11" s="19">
        <f>'[2]51000-0102'!I175</f>
        <v>2901.3162853032827</v>
      </c>
      <c r="P11" s="19">
        <f>'[2]51000-0102'!I196</f>
        <v>2920.7568702173403</v>
      </c>
      <c r="Q11" s="19">
        <f>'[2]51000-0102'!I217</f>
        <v>3485.2120840513226</v>
      </c>
      <c r="R11" s="19">
        <f>'[2]51000-0102'!I238</f>
        <v>3415.9933864140062</v>
      </c>
    </row>
    <row r="12" spans="2:22" x14ac:dyDescent="0.25">
      <c r="B12" s="15"/>
      <c r="C12" s="16"/>
      <c r="D12" s="17"/>
      <c r="E12" s="18"/>
      <c r="F12" t="s">
        <v>16</v>
      </c>
      <c r="G12" s="19">
        <f>G6-G11</f>
        <v>308.10545953454766</v>
      </c>
      <c r="H12" s="19">
        <f>H6-H11</f>
        <v>292.47049911311933</v>
      </c>
      <c r="I12" s="19">
        <f>I6-I11</f>
        <v>98.440929844804941</v>
      </c>
      <c r="J12" s="19">
        <f>J6-J11</f>
        <v>48.74254844105144</v>
      </c>
      <c r="K12" s="19">
        <f t="shared" ref="K12:R12" si="2">K6-K11</f>
        <v>63.382018416513347</v>
      </c>
      <c r="L12" s="19">
        <f t="shared" si="2"/>
        <v>5.3153384006400302</v>
      </c>
      <c r="M12" s="19">
        <f t="shared" si="2"/>
        <v>5.0971303416185947</v>
      </c>
      <c r="N12" s="19">
        <f t="shared" si="2"/>
        <v>96.055169739717712</v>
      </c>
      <c r="O12" s="19">
        <f t="shared" si="2"/>
        <v>170.05012249274068</v>
      </c>
      <c r="P12" s="19">
        <f t="shared" si="2"/>
        <v>680.43145468304192</v>
      </c>
      <c r="Q12" s="19">
        <f t="shared" si="2"/>
        <v>1206.8382906837323</v>
      </c>
      <c r="R12" s="19">
        <f t="shared" si="2"/>
        <v>955.56169279543019</v>
      </c>
    </row>
    <row r="13" spans="2:22" x14ac:dyDescent="0.25">
      <c r="B13" s="15"/>
      <c r="C13" s="16"/>
      <c r="D13" s="17"/>
      <c r="E13" s="18"/>
      <c r="F13" t="s">
        <v>17</v>
      </c>
      <c r="G13" s="2">
        <f>(G6/G11)*100</f>
        <v>109.52527854523733</v>
      </c>
      <c r="H13" s="2">
        <f>(H6/H11)*100</f>
        <v>109.34712416201388</v>
      </c>
      <c r="I13" s="2">
        <f>(I6/I11)*100</f>
        <v>103.1521851237231</v>
      </c>
      <c r="J13" s="2">
        <f>(J6/J11)*100</f>
        <v>101.52074797283331</v>
      </c>
      <c r="K13" s="2">
        <f t="shared" ref="K13:R13" si="3">(K6/K11)*100</f>
        <v>102.07521738125835</v>
      </c>
      <c r="L13" s="2">
        <f t="shared" si="3"/>
        <v>100.15482696178128</v>
      </c>
      <c r="M13" s="2">
        <f t="shared" si="3"/>
        <v>100.1511592735514</v>
      </c>
      <c r="N13" s="2">
        <f t="shared" si="3"/>
        <v>103.09822177873396</v>
      </c>
      <c r="O13" s="2">
        <f t="shared" si="3"/>
        <v>105.86113700716243</v>
      </c>
      <c r="P13" s="2">
        <f t="shared" si="3"/>
        <v>123.29640859947406</v>
      </c>
      <c r="Q13" s="2">
        <f t="shared" si="3"/>
        <v>134.62739889507282</v>
      </c>
      <c r="R13" s="2">
        <f t="shared" si="3"/>
        <v>127.9731716283721</v>
      </c>
    </row>
    <row r="14" spans="2:22" x14ac:dyDescent="0.25">
      <c r="B14" s="15"/>
      <c r="C14" s="16"/>
      <c r="D14" s="17"/>
      <c r="E14" s="18"/>
      <c r="G14" s="2"/>
      <c r="H14" s="2"/>
      <c r="I14" s="2"/>
      <c r="J14" s="2"/>
      <c r="K14" s="2"/>
      <c r="L14" s="2"/>
      <c r="M14" s="2"/>
      <c r="N14" s="2"/>
      <c r="O14" s="2"/>
      <c r="P14" s="2"/>
      <c r="Q14" s="2"/>
      <c r="R14" s="2"/>
    </row>
    <row r="15" spans="2:22" x14ac:dyDescent="0.25">
      <c r="B15" s="9" t="s">
        <v>18</v>
      </c>
      <c r="C15" s="10" t="s">
        <v>19</v>
      </c>
      <c r="D15" s="11" t="s">
        <v>20</v>
      </c>
      <c r="E15" s="12" t="s">
        <v>21</v>
      </c>
      <c r="F15" s="13" t="s">
        <v>22</v>
      </c>
      <c r="G15" s="14">
        <f>'[3]2012'!$G$915</f>
        <v>5060.717741938186</v>
      </c>
      <c r="H15" s="14">
        <f>'[3]2013'!$G$915</f>
        <v>4863.3887956479148</v>
      </c>
      <c r="I15" s="14">
        <f>'[3]2014'!$G$915</f>
        <v>4449.0529797059926</v>
      </c>
      <c r="J15" s="14">
        <f>'[3]2015'!$G$915</f>
        <v>4068.5897880091461</v>
      </c>
      <c r="K15" s="14">
        <f>'[3]2016'!$G$915</f>
        <v>3813.0915826145324</v>
      </c>
      <c r="L15" s="14">
        <f>'[3]2017'!$G$915</f>
        <v>5279.3845558380617</v>
      </c>
      <c r="M15" s="14">
        <f>'[3]2018'!$G$915</f>
        <v>4240.2527566842145</v>
      </c>
      <c r="N15" s="14">
        <f>'[3]2019'!$G$915</f>
        <v>3771.7600191805509</v>
      </c>
      <c r="O15" s="14">
        <f>'[3]2020'!$W$915</f>
        <v>3475.2662751266298</v>
      </c>
      <c r="P15" s="14">
        <f>'[3]2021'!$W$915</f>
        <v>3890.2868291041068</v>
      </c>
      <c r="Q15" s="14">
        <f>'[3]2022'!$W$915</f>
        <v>4837.7995506245234</v>
      </c>
      <c r="R15" s="14">
        <f>'[3]2023'!$W$915</f>
        <v>5061.212109706099</v>
      </c>
    </row>
    <row r="16" spans="2:22" x14ac:dyDescent="0.25">
      <c r="B16" s="15"/>
      <c r="C16" s="16"/>
      <c r="D16" s="17"/>
      <c r="E16" s="18"/>
      <c r="F16" t="s">
        <v>23</v>
      </c>
      <c r="G16" s="19">
        <f>'[2]51000-0102'!J14</f>
        <v>3559.2030193978758</v>
      </c>
      <c r="H16" s="19">
        <f>'[2]51000-0102'!J35</f>
        <v>2987.2631916943169</v>
      </c>
      <c r="I16" s="19">
        <f>'[2]51000-0102'!J56</f>
        <v>2652.9928840519042</v>
      </c>
      <c r="J16" s="19">
        <f>'[2]51000-0102'!J77</f>
        <v>2593.6199722607494</v>
      </c>
      <c r="K16" s="19">
        <f>'[2]51000-0102'!J98</f>
        <v>2796.4285714285711</v>
      </c>
      <c r="L16" s="19">
        <f>'[2]51000-0102'!J119</f>
        <v>2828.4304768865341</v>
      </c>
      <c r="M16" s="19">
        <f>'[2]51000-0102'!J140</f>
        <v>1651.7857142857144</v>
      </c>
      <c r="N16" s="19">
        <f>'[2]51000-0102'!J161</f>
        <v>1295.3367875647668</v>
      </c>
      <c r="O16" s="19">
        <f>'[2]51000-0102'!J182</f>
        <v>4301.0752688172042</v>
      </c>
      <c r="P16" s="19">
        <f>'[2]51000-0102'!J203</f>
        <v>9214.2857142857138</v>
      </c>
      <c r="Q16" s="19">
        <f>'[2]51000-0102'!J224</f>
        <v>3569.0607734806631</v>
      </c>
      <c r="R16" s="19">
        <f>'[2]51000-0102'!J245</f>
        <v>3636.363636363636</v>
      </c>
    </row>
    <row r="17" spans="2:18" x14ac:dyDescent="0.25">
      <c r="B17" s="15"/>
      <c r="C17" s="16"/>
      <c r="D17" s="17"/>
      <c r="E17" s="18"/>
      <c r="F17" t="s">
        <v>24</v>
      </c>
      <c r="G17" s="19">
        <f>G15-G16</f>
        <v>1501.5147225403102</v>
      </c>
      <c r="H17" s="19">
        <f t="shared" ref="H17:R17" si="4">H15-H16</f>
        <v>1876.1256039535979</v>
      </c>
      <c r="I17" s="19">
        <f t="shared" si="4"/>
        <v>1796.0600956540884</v>
      </c>
      <c r="J17" s="19">
        <f t="shared" si="4"/>
        <v>1474.9698157483967</v>
      </c>
      <c r="K17" s="19">
        <f t="shared" si="4"/>
        <v>1016.6630111859613</v>
      </c>
      <c r="L17" s="19">
        <f t="shared" si="4"/>
        <v>2450.9540789515277</v>
      </c>
      <c r="M17" s="19">
        <f t="shared" si="4"/>
        <v>2588.4670423984999</v>
      </c>
      <c r="N17" s="19">
        <f t="shared" si="4"/>
        <v>2476.4232316157841</v>
      </c>
      <c r="O17" s="19">
        <f t="shared" si="4"/>
        <v>-825.80899369057443</v>
      </c>
      <c r="P17" s="19">
        <f t="shared" si="4"/>
        <v>-5323.998885181607</v>
      </c>
      <c r="Q17" s="19">
        <f t="shared" si="4"/>
        <v>1268.7387771438603</v>
      </c>
      <c r="R17" s="19">
        <f t="shared" si="4"/>
        <v>1424.848473342463</v>
      </c>
    </row>
    <row r="18" spans="2:18" x14ac:dyDescent="0.25">
      <c r="B18" s="15"/>
      <c r="C18" s="16"/>
      <c r="D18" s="17"/>
      <c r="E18" s="18"/>
      <c r="F18" t="s">
        <v>25</v>
      </c>
      <c r="G18" s="2">
        <f t="shared" ref="G18:R18" si="5">(G15/G16)*100</f>
        <v>142.18682425129902</v>
      </c>
      <c r="H18" s="2">
        <f t="shared" si="5"/>
        <v>162.80416165438362</v>
      </c>
      <c r="I18" s="2">
        <f t="shared" si="5"/>
        <v>167.69939363391634</v>
      </c>
      <c r="J18" s="2">
        <f t="shared" si="5"/>
        <v>156.86915706709058</v>
      </c>
      <c r="K18" s="2">
        <f t="shared" si="5"/>
        <v>136.35576540639454</v>
      </c>
      <c r="L18" s="2">
        <f t="shared" si="5"/>
        <v>186.65420978101881</v>
      </c>
      <c r="M18" s="2">
        <f t="shared" si="5"/>
        <v>256.70719391817943</v>
      </c>
      <c r="N18" s="2">
        <f t="shared" si="5"/>
        <v>291.17987348073854</v>
      </c>
      <c r="O18" s="2">
        <f t="shared" si="5"/>
        <v>80.799940896694139</v>
      </c>
      <c r="P18" s="2">
        <f t="shared" si="5"/>
        <v>42.220167137563955</v>
      </c>
      <c r="Q18" s="2">
        <f t="shared" si="5"/>
        <v>135.54825366300909</v>
      </c>
      <c r="R18" s="2">
        <f t="shared" si="5"/>
        <v>139.18333301691774</v>
      </c>
    </row>
    <row r="19" spans="2:18" x14ac:dyDescent="0.25">
      <c r="B19" s="15"/>
      <c r="C19" s="16"/>
      <c r="D19" s="17"/>
      <c r="E19" s="18"/>
    </row>
    <row r="20" spans="2:18" x14ac:dyDescent="0.25">
      <c r="B20" s="15"/>
      <c r="C20" s="16"/>
      <c r="D20" s="17"/>
      <c r="E20" s="18"/>
      <c r="F20" t="s">
        <v>26</v>
      </c>
      <c r="G20" s="19">
        <f>'[2]51000-0102'!I14</f>
        <v>3309.1191307722156</v>
      </c>
      <c r="H20" s="19">
        <f>'[2]51000-0102'!I35</f>
        <v>2603.9516581939652</v>
      </c>
      <c r="I20" s="19">
        <f>'[2]51000-0102'!I56</f>
        <v>2292.4187134885701</v>
      </c>
      <c r="J20" s="19">
        <f>'[2]51000-0102'!I77</f>
        <v>2752.0265928525532</v>
      </c>
      <c r="K20" s="19">
        <f>'[2]51000-0102'!I98</f>
        <v>2610.2305039627322</v>
      </c>
      <c r="L20" s="19">
        <f>'[2]51000-0102'!I119</f>
        <v>2951.7607289568714</v>
      </c>
      <c r="M20" s="19">
        <f>'[2]51000-0102'!I140</f>
        <v>2958.445142092125</v>
      </c>
      <c r="N20" s="19">
        <f>'[2]51000-0102'!I161</f>
        <v>2537.1330564312589</v>
      </c>
      <c r="O20" s="19">
        <f>'[2]51000-0102'!I182</f>
        <v>2149.1834077196049</v>
      </c>
      <c r="P20" s="19">
        <f>'[2]51000-0102'!I203</f>
        <v>2712.5418905509896</v>
      </c>
      <c r="Q20" s="19">
        <f>'[2]51000-0102'!I224</f>
        <v>3355.9045142361806</v>
      </c>
      <c r="R20" s="19">
        <f>'[2]51000-0102'!I245</f>
        <v>3860.0677180666562</v>
      </c>
    </row>
    <row r="21" spans="2:18" x14ac:dyDescent="0.25">
      <c r="B21" s="15"/>
      <c r="C21" s="16"/>
      <c r="D21" s="17"/>
      <c r="E21" s="18"/>
      <c r="F21" t="s">
        <v>27</v>
      </c>
      <c r="G21" s="19">
        <f>G6-G20</f>
        <v>233.59472442548622</v>
      </c>
      <c r="H21" s="19">
        <f t="shared" ref="H21:R21" si="6">H6-H20</f>
        <v>817.50797216126284</v>
      </c>
      <c r="I21" s="19">
        <f t="shared" si="6"/>
        <v>928.96474609365941</v>
      </c>
      <c r="J21" s="19">
        <f t="shared" si="6"/>
        <v>501.88534011438878</v>
      </c>
      <c r="K21" s="19">
        <f t="shared" si="6"/>
        <v>507.38665092320844</v>
      </c>
      <c r="L21" s="19">
        <f t="shared" si="6"/>
        <v>486.63780082538142</v>
      </c>
      <c r="M21" s="19">
        <f t="shared" si="6"/>
        <v>418.67821056762568</v>
      </c>
      <c r="N21" s="19">
        <f t="shared" si="6"/>
        <v>659.25438774523536</v>
      </c>
      <c r="O21" s="19">
        <f t="shared" si="6"/>
        <v>922.18300007641847</v>
      </c>
      <c r="P21" s="19">
        <f t="shared" si="6"/>
        <v>888.64643434939262</v>
      </c>
      <c r="Q21" s="19">
        <f t="shared" si="6"/>
        <v>1336.1458604988743</v>
      </c>
      <c r="R21" s="19">
        <f t="shared" si="6"/>
        <v>511.48736114278017</v>
      </c>
    </row>
    <row r="22" spans="2:18" x14ac:dyDescent="0.25">
      <c r="B22" s="15"/>
      <c r="C22" s="16"/>
      <c r="D22" s="17"/>
      <c r="E22" s="18"/>
      <c r="F22" t="s">
        <v>28</v>
      </c>
      <c r="G22" s="2">
        <f>(G15/G20)*100</f>
        <v>152.93247362651513</v>
      </c>
      <c r="H22" s="2">
        <f>(H15/H20)*100</f>
        <v>186.76955005459041</v>
      </c>
      <c r="I22" s="2">
        <f>(I15/I20)*100</f>
        <v>194.07680427348663</v>
      </c>
      <c r="J22" s="2">
        <f>(J15/J20)*100</f>
        <v>147.83977010163764</v>
      </c>
      <c r="K22" s="2">
        <f t="shared" ref="K22:R22" si="7">(K15/K20)*100</f>
        <v>146.08256155253997</v>
      </c>
      <c r="L22" s="2">
        <f t="shared" si="7"/>
        <v>178.85543716491389</v>
      </c>
      <c r="M22" s="2">
        <f t="shared" si="7"/>
        <v>143.32707057348486</v>
      </c>
      <c r="N22" s="2">
        <f t="shared" si="7"/>
        <v>148.66228673422131</v>
      </c>
      <c r="O22" s="2">
        <f t="shared" si="7"/>
        <v>161.70170785070724</v>
      </c>
      <c r="P22" s="2">
        <f t="shared" si="7"/>
        <v>143.41849770710402</v>
      </c>
      <c r="Q22" s="2">
        <f t="shared" si="7"/>
        <v>144.15784269492627</v>
      </c>
      <c r="R22" s="2">
        <f t="shared" si="7"/>
        <v>131.11718444776523</v>
      </c>
    </row>
    <row r="23" spans="2:18" x14ac:dyDescent="0.25">
      <c r="B23" s="15"/>
      <c r="C23" s="16"/>
      <c r="D23" s="17"/>
      <c r="E23" s="18"/>
    </row>
    <row r="24" spans="2:18" x14ac:dyDescent="0.25">
      <c r="B24" s="9" t="s">
        <v>29</v>
      </c>
      <c r="C24" s="10">
        <v>11200</v>
      </c>
      <c r="D24" s="11" t="s">
        <v>30</v>
      </c>
      <c r="E24" s="20" t="s">
        <v>31</v>
      </c>
      <c r="F24" s="13" t="s">
        <v>32</v>
      </c>
      <c r="G24" s="14">
        <f>'[1]2012'!$G$985</f>
        <v>1706.7444459074304</v>
      </c>
      <c r="H24" s="14">
        <f>'[1]2013'!$G$985</f>
        <v>1677.149896357957</v>
      </c>
      <c r="I24" s="14">
        <f>'[1]2014'!$G$985</f>
        <v>1517.267942397493</v>
      </c>
      <c r="J24" s="14">
        <f>'[1]2015'!$G$985</f>
        <v>1360.5321243905428</v>
      </c>
      <c r="K24" s="14">
        <f>'[1]2016'!$G$985</f>
        <v>1490.9913711001898</v>
      </c>
      <c r="L24" s="14">
        <f>'[1]2017'!$G$985</f>
        <v>1599.7571262158303</v>
      </c>
      <c r="M24" s="14">
        <f>'[1]2018'!$G$985</f>
        <v>1410.3647624477937</v>
      </c>
      <c r="N24" s="14">
        <f>'[1]2019'!$G$985</f>
        <v>1747.3736269944704</v>
      </c>
      <c r="O24" s="14">
        <f>'[1]2020'!$W$985</f>
        <v>1507.0555067567777</v>
      </c>
      <c r="P24" s="14">
        <f>'[1]2021'!$W$985</f>
        <v>1356.8849940760167</v>
      </c>
      <c r="Q24" s="14">
        <f>'[1]2022'!$W$985</f>
        <v>1859.6559317778992</v>
      </c>
      <c r="R24" s="14">
        <f>'[1]2023'!$W$985</f>
        <v>2275.184383418959</v>
      </c>
    </row>
    <row r="25" spans="2:18" x14ac:dyDescent="0.25">
      <c r="B25" s="15"/>
      <c r="C25" s="16"/>
      <c r="D25" s="17"/>
      <c r="E25" s="21"/>
      <c r="F25" t="s">
        <v>33</v>
      </c>
      <c r="G25" s="19">
        <f>'[2]51000-0103'!$J$16</f>
        <v>2212.1957437166002</v>
      </c>
      <c r="H25" s="19">
        <f>'[2]51000-0103'!$J$24</f>
        <v>2211.535602163191</v>
      </c>
      <c r="I25" s="19">
        <f>'[2]51000-0103'!$J$32</f>
        <v>2056.4164158817489</v>
      </c>
      <c r="J25" s="19">
        <f>'[2]51000-0103'!J40</f>
        <v>1673.7651774862229</v>
      </c>
      <c r="K25" s="19">
        <f>'[2]51000-0103'!J48</f>
        <v>1952.6554356724953</v>
      </c>
      <c r="L25" s="19">
        <f>'[2]51000-0103'!J56</f>
        <v>2330.1374554444687</v>
      </c>
      <c r="M25" s="19">
        <f>'[2]51000-0103'!J64</f>
        <v>1759.7196478260587</v>
      </c>
      <c r="N25" s="19">
        <f>'[2]51000-0103'!J72</f>
        <v>2350.3688872588205</v>
      </c>
      <c r="O25" s="19">
        <f>'[2]51000-0103'!J80</f>
        <v>2197.5143889463839</v>
      </c>
      <c r="P25" s="19">
        <f>'[2]51000-0103'!J88</f>
        <v>1616.4632480950991</v>
      </c>
      <c r="Q25" s="19">
        <f>'[2]51000-0103'!J96</f>
        <v>1980.7086738681594</v>
      </c>
      <c r="R25" s="19">
        <f>'[2]51000-0103'!J104</f>
        <v>3332.85902047746</v>
      </c>
    </row>
    <row r="26" spans="2:18" x14ac:dyDescent="0.25">
      <c r="B26" s="15"/>
      <c r="C26" s="16"/>
      <c r="D26" s="17"/>
      <c r="E26" s="21"/>
      <c r="F26" t="s">
        <v>34</v>
      </c>
      <c r="G26" s="19">
        <f>G24-G25</f>
        <v>-505.45129780916977</v>
      </c>
      <c r="H26" s="19">
        <f t="shared" ref="H26:R26" si="8">H24-H25</f>
        <v>-534.38570580523401</v>
      </c>
      <c r="I26" s="19">
        <f t="shared" si="8"/>
        <v>-539.14847348425587</v>
      </c>
      <c r="J26" s="19">
        <f t="shared" si="8"/>
        <v>-313.23305309568013</v>
      </c>
      <c r="K26" s="19">
        <f t="shared" si="8"/>
        <v>-461.66406457230551</v>
      </c>
      <c r="L26" s="19">
        <f t="shared" si="8"/>
        <v>-730.3803292286384</v>
      </c>
      <c r="M26" s="19">
        <f t="shared" si="8"/>
        <v>-349.35488537826495</v>
      </c>
      <c r="N26" s="19">
        <f t="shared" si="8"/>
        <v>-602.99526026435001</v>
      </c>
      <c r="O26" s="19">
        <f t="shared" si="8"/>
        <v>-690.45888218960613</v>
      </c>
      <c r="P26" s="19">
        <f t="shared" si="8"/>
        <v>-259.57825401908235</v>
      </c>
      <c r="Q26" s="19">
        <f t="shared" si="8"/>
        <v>-121.05274209026015</v>
      </c>
      <c r="R26" s="19">
        <f t="shared" si="8"/>
        <v>-1057.674637058501</v>
      </c>
    </row>
    <row r="27" spans="2:18" x14ac:dyDescent="0.25">
      <c r="B27" s="15"/>
      <c r="C27" s="16"/>
      <c r="D27" s="17"/>
      <c r="E27" s="21"/>
      <c r="F27" t="s">
        <v>35</v>
      </c>
      <c r="G27" s="2">
        <f t="shared" ref="G27:R27" si="9">(G24/G25)*100</f>
        <v>77.151601559453951</v>
      </c>
      <c r="H27" s="2">
        <f t="shared" si="9"/>
        <v>75.836441191246024</v>
      </c>
      <c r="I27" s="2">
        <f t="shared" si="9"/>
        <v>73.782135304873051</v>
      </c>
      <c r="J27" s="2">
        <f t="shared" si="9"/>
        <v>81.285722913287316</v>
      </c>
      <c r="K27" s="2">
        <f t="shared" si="9"/>
        <v>76.357115744114466</v>
      </c>
      <c r="L27" s="2">
        <f t="shared" si="9"/>
        <v>68.655053910142826</v>
      </c>
      <c r="M27" s="2">
        <f t="shared" si="9"/>
        <v>80.147128219551632</v>
      </c>
      <c r="N27" s="2">
        <f t="shared" si="9"/>
        <v>74.34465442709255</v>
      </c>
      <c r="O27" s="2">
        <f t="shared" si="9"/>
        <v>68.580006317016554</v>
      </c>
      <c r="P27" s="2">
        <f t="shared" si="9"/>
        <v>83.941592589563712</v>
      </c>
      <c r="Q27" s="2">
        <f t="shared" si="9"/>
        <v>93.88841258245948</v>
      </c>
      <c r="R27" s="2">
        <f t="shared" si="9"/>
        <v>68.265245227595003</v>
      </c>
    </row>
    <row r="28" spans="2:18" x14ac:dyDescent="0.25">
      <c r="B28" s="15"/>
      <c r="C28" s="16"/>
      <c r="D28" s="17"/>
      <c r="E28" s="21"/>
    </row>
    <row r="29" spans="2:18" x14ac:dyDescent="0.25">
      <c r="B29" s="15"/>
      <c r="C29" s="16"/>
      <c r="D29" s="17"/>
      <c r="E29" s="21"/>
      <c r="F29" t="s">
        <v>36</v>
      </c>
      <c r="G29" s="19">
        <f>'[2]51000-0103'!$J$19</f>
        <v>1435.3033721061581</v>
      </c>
      <c r="H29" s="19">
        <f>'[2]51000-0103'!$J$27</f>
        <v>1431.948594712429</v>
      </c>
      <c r="I29" s="19">
        <f>'[2]51000-0103'!$J$35</f>
        <v>1303.1258271485472</v>
      </c>
      <c r="J29" s="19">
        <f>'[2]51000-0103'!$J$43</f>
        <v>1155.7234854504554</v>
      </c>
      <c r="K29" s="19">
        <f>'[2]51000-0103'!$J$51</f>
        <v>1269.2878265454083</v>
      </c>
      <c r="L29" s="19">
        <f>'[2]51000-0103'!$J$59</f>
        <v>1406.5007806614333</v>
      </c>
      <c r="M29" s="19">
        <f>'[2]51000-0103'!$J$67</f>
        <v>1215.6477758558453</v>
      </c>
      <c r="N29" s="19">
        <f>'[2]51000-0103'!$J$75</f>
        <v>1446.5356420068165</v>
      </c>
      <c r="O29" s="19">
        <f>'[2]51000-0103'!$J$83</f>
        <v>1379.7330076380465</v>
      </c>
      <c r="P29" s="19">
        <f>'[2]51000-0103'!$J$91</f>
        <v>1104.2855117199856</v>
      </c>
      <c r="Q29" s="19">
        <f>'[2]51000-0103'!$J$99</f>
        <v>1376.1834632227315</v>
      </c>
      <c r="R29" s="19">
        <f>'[2]51000-0103'!$J$107</f>
        <v>1846.9411603783847</v>
      </c>
    </row>
    <row r="30" spans="2:18" x14ac:dyDescent="0.25">
      <c r="B30" s="15"/>
      <c r="C30" s="16"/>
      <c r="D30" s="17"/>
      <c r="E30" s="21"/>
      <c r="F30" t="s">
        <v>37</v>
      </c>
      <c r="G30" s="19">
        <f>G24-G29</f>
        <v>271.4410738012723</v>
      </c>
      <c r="H30" s="19">
        <f t="shared" ref="H30:R30" si="10">H24-H29</f>
        <v>245.20130164552802</v>
      </c>
      <c r="I30" s="19">
        <f t="shared" si="10"/>
        <v>214.14211524894586</v>
      </c>
      <c r="J30" s="19">
        <f t="shared" si="10"/>
        <v>204.80863894008735</v>
      </c>
      <c r="K30" s="19">
        <f t="shared" si="10"/>
        <v>221.7035445547815</v>
      </c>
      <c r="L30" s="19">
        <f t="shared" si="10"/>
        <v>193.25634555439706</v>
      </c>
      <c r="M30" s="19">
        <f t="shared" si="10"/>
        <v>194.7169865919484</v>
      </c>
      <c r="N30" s="19">
        <f t="shared" si="10"/>
        <v>300.83798498765395</v>
      </c>
      <c r="O30" s="19">
        <f t="shared" si="10"/>
        <v>127.32249911873123</v>
      </c>
      <c r="P30" s="19">
        <f t="shared" si="10"/>
        <v>252.5994823560311</v>
      </c>
      <c r="Q30" s="19">
        <f t="shared" si="10"/>
        <v>483.47246855516778</v>
      </c>
      <c r="R30" s="19">
        <f t="shared" si="10"/>
        <v>428.24322304057432</v>
      </c>
    </row>
    <row r="31" spans="2:18" x14ac:dyDescent="0.25">
      <c r="B31" s="15"/>
      <c r="C31" s="16"/>
      <c r="D31" s="17"/>
      <c r="E31" s="21"/>
      <c r="F31" t="s">
        <v>38</v>
      </c>
      <c r="G31" s="19"/>
      <c r="H31" s="19"/>
      <c r="I31" s="19"/>
      <c r="J31" s="19"/>
      <c r="K31" s="19"/>
      <c r="L31" s="19"/>
      <c r="M31" s="19"/>
      <c r="N31" s="19"/>
      <c r="O31" s="19"/>
      <c r="P31" s="19"/>
      <c r="Q31" s="19"/>
      <c r="R31" s="19"/>
    </row>
    <row r="32" spans="2:18" x14ac:dyDescent="0.25">
      <c r="B32" s="15"/>
      <c r="C32" s="16"/>
      <c r="D32" s="17"/>
      <c r="E32" s="21"/>
      <c r="G32" s="19"/>
      <c r="H32" s="19"/>
      <c r="I32" s="19"/>
      <c r="J32" s="19"/>
      <c r="K32" s="19"/>
      <c r="L32" s="19"/>
      <c r="M32" s="19"/>
      <c r="N32" s="19"/>
      <c r="O32" s="19"/>
      <c r="P32" s="19"/>
      <c r="Q32" s="19"/>
      <c r="R32" s="19"/>
    </row>
    <row r="33" spans="2:18" x14ac:dyDescent="0.25">
      <c r="B33" s="15"/>
      <c r="C33" s="16"/>
      <c r="D33" s="17"/>
      <c r="E33" s="21"/>
      <c r="F33" t="s">
        <v>39</v>
      </c>
      <c r="G33" s="19">
        <f>'[2]51000-0103'!$J$21</f>
        <v>1692.8558526423831</v>
      </c>
      <c r="H33" s="19">
        <f>'[2]51000-0103'!$J$29</f>
        <v>1683.0778812060209</v>
      </c>
      <c r="I33" s="19">
        <f>'[2]51000-0103'!$J$37</f>
        <v>1574.5796711169385</v>
      </c>
      <c r="J33" s="19">
        <f>'[2]51000-0103'!$J$45</f>
        <v>1348.5350455576076</v>
      </c>
      <c r="K33" s="19">
        <f>'[2]51000-0103'!$J$53</f>
        <v>1519.6999107678685</v>
      </c>
      <c r="L33" s="19">
        <f>'[2]51000-0103'!$J$61</f>
        <v>1783.20459953113</v>
      </c>
      <c r="M33" s="19">
        <f>'[2]51000-0103'!$J$69</f>
        <v>1449.7418496330765</v>
      </c>
      <c r="N33" s="19">
        <f>'[2]51000-0103'!$J$77</f>
        <v>1842.9538568073622</v>
      </c>
      <c r="O33" s="19">
        <f>'[2]51000-0103'!$J$85</f>
        <v>1814.7373652782023</v>
      </c>
      <c r="P33" s="19">
        <f>'[2]51000-0103'!$J$93</f>
        <v>1443.2457024813712</v>
      </c>
      <c r="Q33" s="19">
        <f>'[2]51000-0103'!$J$101</f>
        <v>1743.0979077988027</v>
      </c>
      <c r="R33" s="19">
        <f>'[2]51000-0103'!$J$109</f>
        <v>2661.9677249862079</v>
      </c>
    </row>
    <row r="34" spans="2:18" x14ac:dyDescent="0.25">
      <c r="B34" s="15"/>
      <c r="C34" s="16"/>
      <c r="D34" s="17"/>
      <c r="E34" s="21"/>
      <c r="F34" t="s">
        <v>40</v>
      </c>
      <c r="G34" s="19"/>
      <c r="H34" s="19"/>
      <c r="I34" s="19"/>
      <c r="J34" s="19"/>
      <c r="K34" s="19"/>
      <c r="L34" s="19"/>
      <c r="M34" s="19"/>
      <c r="N34" s="19"/>
      <c r="O34" s="19"/>
      <c r="P34" s="19"/>
      <c r="Q34" s="19"/>
      <c r="R34" s="19"/>
    </row>
    <row r="35" spans="2:18" x14ac:dyDescent="0.25">
      <c r="B35" s="15"/>
      <c r="C35" s="16"/>
      <c r="D35" s="17"/>
      <c r="E35" s="21"/>
      <c r="F35" t="s">
        <v>41</v>
      </c>
      <c r="G35" s="19"/>
      <c r="H35" s="19"/>
      <c r="I35" s="19"/>
      <c r="J35" s="19"/>
      <c r="K35" s="19"/>
      <c r="L35" s="19"/>
      <c r="M35" s="19"/>
      <c r="N35" s="19"/>
      <c r="O35" s="19"/>
      <c r="P35" s="19"/>
      <c r="Q35" s="19"/>
      <c r="R35" s="19"/>
    </row>
    <row r="36" spans="2:18" x14ac:dyDescent="0.25">
      <c r="B36" s="15"/>
      <c r="C36" s="16"/>
      <c r="D36" s="17"/>
      <c r="E36" s="21"/>
    </row>
    <row r="37" spans="2:18" x14ac:dyDescent="0.25">
      <c r="B37" s="15"/>
      <c r="C37" s="16"/>
      <c r="D37" s="17"/>
      <c r="E37" s="21"/>
      <c r="F37" t="s">
        <v>42</v>
      </c>
      <c r="G37" s="19">
        <f>'[2]51000-0103'!$I$16</f>
        <v>2162.3081042484828</v>
      </c>
      <c r="H37" s="19">
        <f>'[2]51000-0103'!$I$32</f>
        <v>2048.7577947507698</v>
      </c>
      <c r="I37" s="19">
        <f>'[2]51000-0103'!I32</f>
        <v>2048.7577947507698</v>
      </c>
      <c r="J37" s="19">
        <f>'[2]51000-0103'!I40</f>
        <v>1656.1286140539257</v>
      </c>
      <c r="K37" s="19">
        <f>'[2]51000-0103'!I48</f>
        <v>1870.2539709504799</v>
      </c>
      <c r="L37" s="19">
        <f>'[2]51000-0103'!I56</f>
        <v>2262.2215224750057</v>
      </c>
      <c r="M37" s="19">
        <f>'[2]51000-0103'!I64</f>
        <v>1748.2458203216859</v>
      </c>
      <c r="N37" s="19">
        <f>'[2]51000-0103'!I72</f>
        <v>2319.2996979527911</v>
      </c>
      <c r="O37" s="19">
        <f>'[2]51000-0103'!I80</f>
        <v>2198.0287713237076</v>
      </c>
      <c r="P37" s="19">
        <f>'[2]51000-0103'!I88</f>
        <v>1677.260247414803</v>
      </c>
      <c r="Q37" s="19">
        <f>'[2]51000-0103'!I96</f>
        <v>2062.8532898094991</v>
      </c>
      <c r="R37" s="19">
        <f>'[2]51000-0103'!I104</f>
        <v>3360.0740142526247</v>
      </c>
    </row>
    <row r="38" spans="2:18" x14ac:dyDescent="0.25">
      <c r="B38" s="15"/>
      <c r="C38" s="16"/>
      <c r="D38" s="17"/>
      <c r="E38" s="21"/>
      <c r="F38" t="s">
        <v>43</v>
      </c>
      <c r="G38" s="19">
        <f t="shared" ref="G38:R38" si="11">G24-G37</f>
        <v>-455.56365834105236</v>
      </c>
      <c r="H38" s="19">
        <f t="shared" si="11"/>
        <v>-371.60789839281279</v>
      </c>
      <c r="I38" s="19">
        <f t="shared" si="11"/>
        <v>-531.48985235327677</v>
      </c>
      <c r="J38" s="19">
        <f t="shared" si="11"/>
        <v>-295.59648966338295</v>
      </c>
      <c r="K38" s="19">
        <f t="shared" si="11"/>
        <v>-379.26259985029014</v>
      </c>
      <c r="L38" s="19">
        <f t="shared" si="11"/>
        <v>-662.46439625917537</v>
      </c>
      <c r="M38" s="19">
        <f t="shared" si="11"/>
        <v>-337.88105787389213</v>
      </c>
      <c r="N38" s="19">
        <f t="shared" si="11"/>
        <v>-571.92607095832068</v>
      </c>
      <c r="O38" s="19">
        <f t="shared" si="11"/>
        <v>-690.97326456692986</v>
      </c>
      <c r="P38" s="19">
        <f t="shared" si="11"/>
        <v>-320.37525333878625</v>
      </c>
      <c r="Q38" s="19">
        <f t="shared" si="11"/>
        <v>-203.19735803159983</v>
      </c>
      <c r="R38" s="19">
        <f t="shared" si="11"/>
        <v>-1084.8896308336657</v>
      </c>
    </row>
    <row r="39" spans="2:18" x14ac:dyDescent="0.25">
      <c r="B39" s="15"/>
      <c r="C39" s="16"/>
      <c r="D39" s="17"/>
      <c r="E39" s="21"/>
      <c r="F39" t="s">
        <v>44</v>
      </c>
      <c r="G39" s="2">
        <f t="shared" ref="G39:R39" si="12">(G24/G37)*100</f>
        <v>78.931602880923151</v>
      </c>
      <c r="H39" s="2">
        <f t="shared" si="12"/>
        <v>81.861794530084083</v>
      </c>
      <c r="I39" s="2">
        <f t="shared" si="12"/>
        <v>74.057946053211609</v>
      </c>
      <c r="J39" s="2">
        <f t="shared" si="12"/>
        <v>82.151356654613181</v>
      </c>
      <c r="K39" s="2">
        <f t="shared" si="12"/>
        <v>79.721331661841333</v>
      </c>
      <c r="L39" s="2">
        <f t="shared" si="12"/>
        <v>70.716201323449539</v>
      </c>
      <c r="M39" s="2">
        <f t="shared" si="12"/>
        <v>80.673137956553489</v>
      </c>
      <c r="N39" s="2">
        <f t="shared" si="12"/>
        <v>75.340570627282418</v>
      </c>
      <c r="O39" s="2">
        <f t="shared" si="12"/>
        <v>68.563957233789594</v>
      </c>
      <c r="P39" s="2">
        <f t="shared" si="12"/>
        <v>80.898894263273249</v>
      </c>
      <c r="Q39" s="2">
        <f t="shared" si="12"/>
        <v>90.149694162188098</v>
      </c>
      <c r="R39" s="2">
        <f t="shared" si="12"/>
        <v>67.712329364418011</v>
      </c>
    </row>
    <row r="40" spans="2:18" x14ac:dyDescent="0.25">
      <c r="B40" s="15"/>
      <c r="C40" s="16"/>
      <c r="D40" s="17"/>
      <c r="E40" s="21"/>
      <c r="G40" s="2"/>
      <c r="H40" s="2"/>
      <c r="I40" s="2"/>
      <c r="J40" s="2"/>
      <c r="K40" s="2"/>
      <c r="L40" s="2"/>
      <c r="M40" s="2"/>
      <c r="N40" s="2"/>
      <c r="O40" s="2"/>
      <c r="P40" s="2"/>
      <c r="Q40" s="2"/>
      <c r="R40" s="2"/>
    </row>
    <row r="41" spans="2:18" x14ac:dyDescent="0.25">
      <c r="B41" s="15"/>
      <c r="C41" s="16"/>
      <c r="D41" s="17"/>
      <c r="E41" s="21"/>
      <c r="F41" t="s">
        <v>45</v>
      </c>
      <c r="G41" s="19">
        <f>'[2]51000-0103'!$I$19</f>
        <v>1492.0732214550601</v>
      </c>
      <c r="H41" s="19">
        <f>'[2]51000-0103'!$I$27</f>
        <v>1458.9891380151703</v>
      </c>
      <c r="I41" s="19">
        <f>'[2]51000-0103'!$I$35</f>
        <v>1386.5986234611526</v>
      </c>
      <c r="J41" s="19">
        <f>'[2]51000-0103'!$I$43</f>
        <v>1224.5791525002073</v>
      </c>
      <c r="K41" s="19">
        <f>'[2]51000-0103'!$I$51</f>
        <v>1312.8577345783801</v>
      </c>
      <c r="L41" s="19">
        <f>'[2]51000-0103'!$I$59</f>
        <v>1448.4036739598253</v>
      </c>
      <c r="M41" s="19">
        <f>'[2]51000-0103'!$I$67</f>
        <v>1252.7085411999471</v>
      </c>
      <c r="N41" s="19">
        <f>'[2]51000-0103'!$I$75</f>
        <v>1535.8871460635582</v>
      </c>
      <c r="O41" s="19">
        <f>'[2]51000-0103'!$I$83</f>
        <v>1288.9957840316351</v>
      </c>
      <c r="P41" s="19">
        <f>'[2]51000-0103'!$I$91</f>
        <v>1146.3308161112568</v>
      </c>
      <c r="Q41" s="19">
        <f>'[2]51000-0103'!$I$99</f>
        <v>1645.8402801653765</v>
      </c>
      <c r="R41" s="19">
        <f>'[2]51000-0103'!$I$107</f>
        <v>2079.1852369241651</v>
      </c>
    </row>
    <row r="42" spans="2:18" x14ac:dyDescent="0.25">
      <c r="B42" s="15"/>
      <c r="C42" s="16"/>
      <c r="D42" s="17"/>
      <c r="E42" s="21"/>
      <c r="F42" t="s">
        <v>46</v>
      </c>
      <c r="G42" s="2"/>
      <c r="H42" s="2"/>
      <c r="I42" s="2"/>
      <c r="J42" s="2"/>
      <c r="K42" s="2"/>
      <c r="L42" s="2"/>
      <c r="M42" s="2"/>
      <c r="N42" s="2"/>
      <c r="O42" s="2"/>
      <c r="P42" s="2"/>
      <c r="Q42" s="2"/>
      <c r="R42" s="2"/>
    </row>
    <row r="43" spans="2:18" x14ac:dyDescent="0.25">
      <c r="B43" s="15"/>
      <c r="C43" s="16"/>
      <c r="D43" s="17"/>
      <c r="E43" s="21"/>
      <c r="F43" t="s">
        <v>47</v>
      </c>
      <c r="G43" s="2"/>
      <c r="H43" s="2"/>
      <c r="I43" s="2"/>
      <c r="J43" s="2"/>
      <c r="K43" s="2"/>
      <c r="L43" s="2"/>
      <c r="M43" s="2"/>
      <c r="N43" s="2"/>
      <c r="O43" s="2"/>
      <c r="P43" s="2"/>
      <c r="Q43" s="2"/>
      <c r="R43" s="2"/>
    </row>
    <row r="44" spans="2:18" x14ac:dyDescent="0.25">
      <c r="B44" s="15"/>
      <c r="C44" s="16"/>
      <c r="D44" s="17"/>
      <c r="E44" s="21"/>
      <c r="G44" s="2"/>
      <c r="H44" s="2"/>
      <c r="I44" s="2"/>
      <c r="J44" s="2"/>
      <c r="K44" s="2"/>
      <c r="L44" s="2"/>
      <c r="M44" s="2"/>
      <c r="N44" s="2"/>
      <c r="O44" s="2"/>
      <c r="P44" s="2"/>
      <c r="Q44" s="2"/>
      <c r="R44" s="2"/>
    </row>
    <row r="45" spans="2:18" x14ac:dyDescent="0.25">
      <c r="B45" s="15"/>
      <c r="C45" s="16"/>
      <c r="D45" s="17"/>
      <c r="E45" s="21"/>
      <c r="F45" t="s">
        <v>48</v>
      </c>
      <c r="G45" s="19">
        <f>'[2]51000-0103'!$I$21</f>
        <v>1644.4810521366453</v>
      </c>
      <c r="H45" s="19">
        <f>'[2]51000-0103'!$I$29</f>
        <v>1596.8520725212454</v>
      </c>
      <c r="I45" s="19">
        <f>'[2]51000-0103'!$I$37</f>
        <v>1560.758300427022</v>
      </c>
      <c r="J45" s="19">
        <f>'[2]51000-0103'!$I$45</f>
        <v>1391.1224641135991</v>
      </c>
      <c r="K45" s="19">
        <f>'[2]51000-0103'!$I$53</f>
        <v>1612.4697397844786</v>
      </c>
      <c r="L45" s="19">
        <f>'[2]51000-0103'!$I$61</f>
        <v>1888.6609524442636</v>
      </c>
      <c r="M45" s="19">
        <f>'[2]51000-0103'!$I$69</f>
        <v>1531.9337770249379</v>
      </c>
      <c r="N45" s="19">
        <f>'[2]51000-0103'!$I$77</f>
        <v>1957.0159011939422</v>
      </c>
      <c r="O45" s="19">
        <f>'[2]51000-0103'!$I$85</f>
        <v>1710.9337560174254</v>
      </c>
      <c r="P45" s="19">
        <f>'[2]51000-0103'!$I$93</f>
        <v>1333.5927742682861</v>
      </c>
      <c r="Q45" s="19">
        <f>'[2]51000-0103'!$I$101</f>
        <v>1793.5224704996233</v>
      </c>
      <c r="R45" s="19">
        <f>'[2]51000-0103'!$I$109</f>
        <v>2436.4161527809233</v>
      </c>
    </row>
    <row r="46" spans="2:18" x14ac:dyDescent="0.25">
      <c r="B46" s="15"/>
      <c r="C46" s="16"/>
      <c r="D46" s="17"/>
      <c r="E46" s="21"/>
      <c r="F46" t="s">
        <v>49</v>
      </c>
      <c r="G46" s="2"/>
      <c r="H46" s="2"/>
      <c r="I46" s="2"/>
      <c r="J46" s="2"/>
      <c r="K46" s="2"/>
      <c r="L46" s="2"/>
      <c r="M46" s="2"/>
      <c r="N46" s="2"/>
      <c r="O46" s="2"/>
      <c r="P46" s="2"/>
      <c r="Q46" s="2"/>
      <c r="R46" s="2"/>
    </row>
    <row r="47" spans="2:18" x14ac:dyDescent="0.25">
      <c r="B47" s="15"/>
      <c r="C47" s="16"/>
      <c r="D47" s="17"/>
      <c r="E47" s="21"/>
      <c r="F47" t="s">
        <v>50</v>
      </c>
      <c r="G47" s="2"/>
      <c r="H47" s="2"/>
      <c r="I47" s="2"/>
      <c r="J47" s="2"/>
      <c r="K47" s="2"/>
      <c r="L47" s="2"/>
      <c r="M47" s="2"/>
      <c r="N47" s="2"/>
      <c r="O47" s="2"/>
      <c r="P47" s="2"/>
      <c r="Q47" s="2"/>
      <c r="R47" s="2"/>
    </row>
    <row r="48" spans="2:18" x14ac:dyDescent="0.25">
      <c r="B48" s="15"/>
      <c r="C48" s="16"/>
      <c r="D48" s="17"/>
      <c r="E48" s="21"/>
      <c r="G48" s="2"/>
      <c r="H48" s="2"/>
      <c r="I48" s="2"/>
      <c r="J48" s="2"/>
      <c r="K48" s="2"/>
      <c r="L48" s="2"/>
      <c r="M48" s="2"/>
      <c r="N48" s="2"/>
      <c r="O48" s="2"/>
      <c r="P48" s="2"/>
      <c r="Q48" s="2"/>
      <c r="R48" s="2"/>
    </row>
    <row r="49" spans="2:19" x14ac:dyDescent="0.25">
      <c r="B49" s="9" t="s">
        <v>51</v>
      </c>
      <c r="C49" s="10">
        <v>11300</v>
      </c>
      <c r="D49" s="11" t="s">
        <v>52</v>
      </c>
      <c r="E49" s="20" t="s">
        <v>53</v>
      </c>
      <c r="F49" s="13" t="s">
        <v>54</v>
      </c>
      <c r="G49" s="14">
        <f>'[4]2012'!$H$1013</f>
        <v>12420.066093696121</v>
      </c>
      <c r="H49" s="14">
        <f>'[4]2013'!$H$1013</f>
        <v>16469.628716341729</v>
      </c>
      <c r="I49" s="14">
        <f>'[4]2014'!$H$1013</f>
        <v>13733.518678381963</v>
      </c>
      <c r="J49" s="14">
        <f>'[4]2015'!$H$1013</f>
        <v>24010.474804718793</v>
      </c>
      <c r="K49" s="14">
        <f>'[4]2016'!$H$1013</f>
        <v>18573.863741936515</v>
      </c>
      <c r="L49" s="14">
        <f>'[4]2017'!$H$1013</f>
        <v>23792.730815508075</v>
      </c>
      <c r="M49" s="14">
        <f>'[4]2018'!$H$1013</f>
        <v>35892.072589666423</v>
      </c>
      <c r="N49" s="14">
        <f>'[4]2019'!$H$1013</f>
        <v>53453.359222849736</v>
      </c>
      <c r="O49" s="14">
        <f>'[4]2020'!$X$1013</f>
        <v>27076.604045427281</v>
      </c>
      <c r="P49" s="14">
        <f>'[4]2021'!$X$1013</f>
        <v>44309.906164711829</v>
      </c>
      <c r="Q49" s="14">
        <f>'[4]2022'!$X$1013</f>
        <v>72964.035858492003</v>
      </c>
      <c r="R49" s="14">
        <f>'[4]2023'!$X$1013</f>
        <v>71107.681043079283</v>
      </c>
    </row>
    <row r="50" spans="2:19" x14ac:dyDescent="0.25">
      <c r="B50" s="15"/>
      <c r="C50" s="16"/>
      <c r="D50" s="17"/>
      <c r="E50" s="21"/>
      <c r="F50" t="s">
        <v>55</v>
      </c>
      <c r="G50" s="19">
        <f>'[2]51000-0101'!J9</f>
        <v>22759.391295094178</v>
      </c>
      <c r="H50" s="19">
        <f>'[2]51000-0101'!J21</f>
        <v>25292.859688725199</v>
      </c>
      <c r="I50" s="19">
        <f>'[2]51000-0101'!J33</f>
        <v>32216.090002122692</v>
      </c>
      <c r="J50" s="19">
        <f>'[2]51000-0101'!J45</f>
        <v>26801.396677600253</v>
      </c>
      <c r="K50" s="19">
        <f>'[2]51000-0101'!J57</f>
        <v>26160.760143810989</v>
      </c>
      <c r="L50" s="19">
        <f>'[2]51000-0101'!J69</f>
        <v>36751.676087813852</v>
      </c>
      <c r="M50" s="19">
        <f>'[2]51000-0101'!J81</f>
        <v>52174.759802648667</v>
      </c>
      <c r="N50" s="19">
        <f>'[2]51000-0101'!J93</f>
        <v>41917.775945341025</v>
      </c>
      <c r="O50" s="19">
        <f>'[2]51000-0101'!J105</f>
        <v>38546.990038977907</v>
      </c>
      <c r="P50" s="19">
        <f>'[2]51000-0101'!J117</f>
        <v>35381.57150932731</v>
      </c>
      <c r="Q50" s="19">
        <f>'[2]51000-0101'!J129</f>
        <v>51469.632591852031</v>
      </c>
      <c r="R50" s="19">
        <f>'[2]51000-0101'!J141</f>
        <v>51272.874058127025</v>
      </c>
    </row>
    <row r="51" spans="2:19" x14ac:dyDescent="0.25">
      <c r="B51" s="15"/>
      <c r="C51" s="16"/>
      <c r="D51" s="17"/>
      <c r="E51" s="21"/>
      <c r="F51" t="s">
        <v>56</v>
      </c>
      <c r="G51" s="19">
        <f>G49-G50</f>
        <v>-10339.325201398056</v>
      </c>
      <c r="H51" s="19">
        <f t="shared" ref="H51:R51" si="13">H49-H50</f>
        <v>-8823.2309723834696</v>
      </c>
      <c r="I51" s="19">
        <f t="shared" si="13"/>
        <v>-18482.571323740729</v>
      </c>
      <c r="J51" s="19">
        <f t="shared" si="13"/>
        <v>-2790.9218728814594</v>
      </c>
      <c r="K51" s="19">
        <f t="shared" si="13"/>
        <v>-7586.8964018744737</v>
      </c>
      <c r="L51" s="19">
        <f t="shared" si="13"/>
        <v>-12958.945272305777</v>
      </c>
      <c r="M51" s="19">
        <f t="shared" si="13"/>
        <v>-16282.687212982244</v>
      </c>
      <c r="N51" s="19">
        <f t="shared" si="13"/>
        <v>11535.583277508711</v>
      </c>
      <c r="O51" s="19">
        <f t="shared" si="13"/>
        <v>-11470.385993550626</v>
      </c>
      <c r="P51" s="19">
        <f t="shared" si="13"/>
        <v>8928.3346553845186</v>
      </c>
      <c r="Q51" s="19">
        <f t="shared" si="13"/>
        <v>21494.403266639973</v>
      </c>
      <c r="R51" s="19">
        <f t="shared" si="13"/>
        <v>19834.806984952258</v>
      </c>
      <c r="S51" s="19"/>
    </row>
    <row r="52" spans="2:19" x14ac:dyDescent="0.25">
      <c r="B52" s="15"/>
      <c r="C52" s="16"/>
      <c r="D52" s="17"/>
      <c r="E52" s="21"/>
      <c r="F52" t="s">
        <v>57</v>
      </c>
      <c r="G52" s="2">
        <f t="shared" ref="G52:R52" si="14">(G49/G50)*100</f>
        <v>54.571169908104203</v>
      </c>
      <c r="H52" s="2">
        <f t="shared" si="14"/>
        <v>65.115724038446302</v>
      </c>
      <c r="I52" s="2">
        <f t="shared" si="14"/>
        <v>42.629377672700421</v>
      </c>
      <c r="J52" s="2">
        <f t="shared" si="14"/>
        <v>89.586655104381094</v>
      </c>
      <c r="K52" s="2">
        <f t="shared" si="14"/>
        <v>70.998945137038177</v>
      </c>
      <c r="L52" s="2">
        <f t="shared" si="14"/>
        <v>64.739172054787687</v>
      </c>
      <c r="M52" s="2">
        <f t="shared" si="14"/>
        <v>68.792022666569807</v>
      </c>
      <c r="N52" s="2">
        <f t="shared" si="14"/>
        <v>127.5195499220918</v>
      </c>
      <c r="O52" s="2">
        <f t="shared" si="14"/>
        <v>70.243108522994888</v>
      </c>
      <c r="P52" s="2">
        <f t="shared" si="14"/>
        <v>125.234420842587</v>
      </c>
      <c r="Q52" s="2">
        <f t="shared" si="14"/>
        <v>141.76133029176253</v>
      </c>
      <c r="R52" s="2">
        <f t="shared" si="14"/>
        <v>138.68479649193438</v>
      </c>
    </row>
    <row r="53" spans="2:19" x14ac:dyDescent="0.25">
      <c r="B53" s="15"/>
      <c r="C53" s="16"/>
      <c r="D53" s="17"/>
      <c r="E53" s="21"/>
    </row>
    <row r="54" spans="2:19" x14ac:dyDescent="0.25">
      <c r="B54" s="15"/>
      <c r="C54" s="16"/>
      <c r="D54" s="17"/>
      <c r="E54" s="21"/>
      <c r="F54" t="s">
        <v>58</v>
      </c>
      <c r="G54" s="19">
        <f>'[2]51000-0101'!I9</f>
        <v>71235.442759833008</v>
      </c>
      <c r="H54" s="19">
        <f>'[2]51000-0101'!I21</f>
        <v>77994.244604316555</v>
      </c>
      <c r="I54" s="19">
        <f>'[2]51000-0101'!I33</f>
        <v>65493.046444502754</v>
      </c>
      <c r="J54" s="19">
        <f>'[2]51000-0101'!I45</f>
        <v>56494.929669610734</v>
      </c>
      <c r="K54" s="19">
        <f>'[2]51000-0101'!I57</f>
        <v>53392.16589861751</v>
      </c>
      <c r="L54" s="19">
        <f>'[2]51000-0101'!I69</f>
        <v>80799.570073367926</v>
      </c>
      <c r="M54" s="19">
        <f>'[2]51000-0101'!I81</f>
        <v>81473.679293754962</v>
      </c>
      <c r="N54" s="19">
        <f>'[2]51000-0101'!I93</f>
        <v>95504.518773874966</v>
      </c>
      <c r="O54" s="19">
        <f>'[2]51000-0101'!I105</f>
        <v>78942.569406641254</v>
      </c>
      <c r="P54" s="19">
        <f>'[2]51000-0101'!I117</f>
        <v>98851.065805972219</v>
      </c>
      <c r="Q54" s="19">
        <f>'[2]51000-0101'!I129</f>
        <v>127637.21552878179</v>
      </c>
      <c r="R54" s="19">
        <f>'[2]51000-0101'!I141</f>
        <v>125208.91742787375</v>
      </c>
    </row>
    <row r="55" spans="2:19" x14ac:dyDescent="0.25">
      <c r="B55" s="15"/>
      <c r="C55" s="16"/>
      <c r="D55" s="17"/>
      <c r="E55" s="21"/>
      <c r="F55" t="s">
        <v>59</v>
      </c>
      <c r="G55" s="19">
        <f>G49-G54</f>
        <v>-58815.376666136886</v>
      </c>
      <c r="H55" s="19">
        <f t="shared" ref="H55:R55" si="15">H49-H54</f>
        <v>-61524.615887974825</v>
      </c>
      <c r="I55" s="19">
        <f t="shared" si="15"/>
        <v>-51759.527766120795</v>
      </c>
      <c r="J55" s="19">
        <f t="shared" si="15"/>
        <v>-32484.454864891941</v>
      </c>
      <c r="K55" s="19">
        <f t="shared" si="15"/>
        <v>-34818.302156680991</v>
      </c>
      <c r="L55" s="19">
        <f t="shared" si="15"/>
        <v>-57006.83925785985</v>
      </c>
      <c r="M55" s="19">
        <f t="shared" si="15"/>
        <v>-45581.606704088539</v>
      </c>
      <c r="N55" s="19">
        <f t="shared" si="15"/>
        <v>-42051.15955102523</v>
      </c>
      <c r="O55" s="19">
        <f t="shared" si="15"/>
        <v>-51865.965361213974</v>
      </c>
      <c r="P55" s="19">
        <f t="shared" si="15"/>
        <v>-54541.15964126039</v>
      </c>
      <c r="Q55" s="19">
        <f t="shared" si="15"/>
        <v>-54673.179670289785</v>
      </c>
      <c r="R55" s="19">
        <f t="shared" si="15"/>
        <v>-54101.236384794465</v>
      </c>
    </row>
    <row r="56" spans="2:19" x14ac:dyDescent="0.25">
      <c r="B56" s="15"/>
      <c r="C56" s="16"/>
      <c r="D56" s="17"/>
      <c r="E56" s="21"/>
      <c r="F56" t="s">
        <v>60</v>
      </c>
      <c r="G56" s="2">
        <f>(G49/G54)*100</f>
        <v>17.435233940455454</v>
      </c>
      <c r="H56" s="2">
        <f>(H49/H54)*100</f>
        <v>21.11646673404697</v>
      </c>
      <c r="I56" s="2">
        <f>(I49/I54)*100</f>
        <v>20.96943022801576</v>
      </c>
      <c r="J56" s="2">
        <f>(J49/J54)*100</f>
        <v>42.500229569511795</v>
      </c>
      <c r="K56" s="2">
        <f t="shared" ref="K56:R56" si="16">(K49/K54)*100</f>
        <v>34.787619923876228</v>
      </c>
      <c r="L56" s="2">
        <f t="shared" si="16"/>
        <v>29.446605710777558</v>
      </c>
      <c r="M56" s="2">
        <f t="shared" si="16"/>
        <v>44.053580126480902</v>
      </c>
      <c r="N56" s="2">
        <f t="shared" si="16"/>
        <v>55.969455591322003</v>
      </c>
      <c r="O56" s="2">
        <f t="shared" si="16"/>
        <v>34.299116748978513</v>
      </c>
      <c r="P56" s="2">
        <f t="shared" si="16"/>
        <v>44.824914939900211</v>
      </c>
      <c r="Q56" s="2">
        <f t="shared" si="16"/>
        <v>57.165173618221758</v>
      </c>
      <c r="R56" s="2">
        <f t="shared" si="16"/>
        <v>56.791227417201071</v>
      </c>
    </row>
    <row r="57" spans="2:19" x14ac:dyDescent="0.25">
      <c r="B57" s="15"/>
      <c r="C57" s="16"/>
      <c r="D57" s="17"/>
      <c r="E57" s="21"/>
    </row>
    <row r="58" spans="2:19" ht="22.5" x14ac:dyDescent="0.25">
      <c r="B58" s="9" t="s">
        <v>61</v>
      </c>
      <c r="C58" s="10">
        <v>11400</v>
      </c>
      <c r="D58" s="11" t="s">
        <v>62</v>
      </c>
      <c r="E58" s="20" t="s">
        <v>63</v>
      </c>
      <c r="F58" s="13" t="s">
        <v>64</v>
      </c>
      <c r="G58" s="14">
        <f>'[4]2012'!$H$1053</f>
        <v>3985.3065983670253</v>
      </c>
      <c r="H58" s="14">
        <f>'[4]2013'!$H$1053</f>
        <v>4633.8504864807683</v>
      </c>
      <c r="I58" s="14">
        <f>'[4]2014'!$H$1053</f>
        <v>4291.569193544181</v>
      </c>
      <c r="J58" s="14">
        <f>'[4]2015'!$H$1053</f>
        <v>4822.3115648524499</v>
      </c>
      <c r="K58" s="14">
        <f>'[4]2016'!$H$1053</f>
        <v>4747.8017776881679</v>
      </c>
      <c r="L58" s="14">
        <f>'[4]2017'!$H$1053</f>
        <v>5835.4189662590716</v>
      </c>
      <c r="M58" s="14">
        <f>'[4]2018'!$H$1053</f>
        <v>4462.5583710876253</v>
      </c>
      <c r="N58" s="14">
        <f>'[4]2019'!$H$1053</f>
        <v>5461.1770478339567</v>
      </c>
      <c r="O58" s="14">
        <f>'[4]2020'!$X$1053</f>
        <v>5224.2233861079549</v>
      </c>
      <c r="P58" s="14">
        <f>'[4]2021'!$X$1053</f>
        <v>4037.5513920931921</v>
      </c>
      <c r="Q58" s="14">
        <f>'[4]2022'!$X$1053</f>
        <v>7222.7623579620267</v>
      </c>
      <c r="R58" s="14">
        <f>'[4]2023'!$X$1053</f>
        <v>7435.7590628778507</v>
      </c>
    </row>
    <row r="59" spans="2:19" x14ac:dyDescent="0.25">
      <c r="B59" s="15"/>
      <c r="C59" s="16"/>
      <c r="D59" s="17"/>
      <c r="E59" s="21"/>
      <c r="F59" t="s">
        <v>65</v>
      </c>
      <c r="G59" s="19">
        <f>'[2]51000-0104'!R7</f>
        <v>5200</v>
      </c>
      <c r="H59" s="19">
        <f>'[2]51000-0104'!R13</f>
        <v>4473.6842105263158</v>
      </c>
      <c r="I59" s="19">
        <f>'[2]51000-0104'!R19</f>
        <v>5696.2025316455702</v>
      </c>
      <c r="J59" s="19">
        <f>'[2]51000-0104'!R25</f>
        <v>0</v>
      </c>
      <c r="K59" s="19">
        <f>'[2]51000-0104'!R31</f>
        <v>0</v>
      </c>
      <c r="L59" s="19">
        <f>'[2]51000-0104'!R37</f>
        <v>12000</v>
      </c>
      <c r="M59" s="19">
        <f>'[2]51000-0104'!R43</f>
        <v>0</v>
      </c>
      <c r="N59" s="19">
        <f>'[2]51000-0104'!R49</f>
        <v>0</v>
      </c>
      <c r="O59" s="19">
        <f>'[2]51000-0104'!R55</f>
        <v>2645.4839522343491</v>
      </c>
      <c r="P59" s="19">
        <f>'[2]51000-0104'!R61</f>
        <v>2994.9335665111598</v>
      </c>
      <c r="Q59" s="19">
        <f>'[2]51000-0104'!R67</f>
        <v>3571.708828204306</v>
      </c>
      <c r="R59" s="19">
        <f>'[2]51000-0104'!R73</f>
        <v>3491.3751017919571</v>
      </c>
    </row>
    <row r="60" spans="2:19" x14ac:dyDescent="0.25">
      <c r="B60" s="15"/>
      <c r="C60" s="16"/>
      <c r="D60" s="17"/>
      <c r="E60" s="21"/>
      <c r="F60" t="s">
        <v>66</v>
      </c>
      <c r="G60" s="19">
        <f>G58-G59</f>
        <v>-1214.6934016329747</v>
      </c>
      <c r="H60" s="19">
        <f t="shared" ref="H60:R60" si="17">H58-H59</f>
        <v>160.16627595445243</v>
      </c>
      <c r="I60" s="19">
        <f t="shared" si="17"/>
        <v>-1404.6333381013892</v>
      </c>
      <c r="J60" s="19">
        <f t="shared" si="17"/>
        <v>4822.3115648524499</v>
      </c>
      <c r="K60" s="19">
        <f t="shared" si="17"/>
        <v>4747.8017776881679</v>
      </c>
      <c r="L60" s="19">
        <f t="shared" si="17"/>
        <v>-6164.5810337409284</v>
      </c>
      <c r="M60" s="19">
        <f t="shared" si="17"/>
        <v>4462.5583710876253</v>
      </c>
      <c r="N60" s="19">
        <f t="shared" si="17"/>
        <v>5461.1770478339567</v>
      </c>
      <c r="O60" s="19">
        <f t="shared" si="17"/>
        <v>2578.7394338736058</v>
      </c>
      <c r="P60" s="19">
        <f t="shared" si="17"/>
        <v>1042.6178255820323</v>
      </c>
      <c r="Q60" s="19">
        <f t="shared" si="17"/>
        <v>3651.0535297577208</v>
      </c>
      <c r="R60" s="19">
        <f t="shared" si="17"/>
        <v>3944.3839610858936</v>
      </c>
    </row>
    <row r="61" spans="2:19" x14ac:dyDescent="0.25">
      <c r="B61" s="15"/>
      <c r="C61" s="16"/>
      <c r="D61" s="17"/>
      <c r="E61" s="21"/>
      <c r="F61" t="s">
        <v>67</v>
      </c>
      <c r="G61" s="2">
        <f t="shared" ref="G61:R61" si="18">(G58/G59)*100</f>
        <v>76.640511507058179</v>
      </c>
      <c r="H61" s="2">
        <f t="shared" si="18"/>
        <v>103.58018734486423</v>
      </c>
      <c r="I61" s="2">
        <f t="shared" si="18"/>
        <v>75.340881397775618</v>
      </c>
      <c r="J61" s="2" t="e">
        <f t="shared" si="18"/>
        <v>#DIV/0!</v>
      </c>
      <c r="K61" s="2" t="e">
        <f t="shared" si="18"/>
        <v>#DIV/0!</v>
      </c>
      <c r="L61" s="2">
        <f t="shared" si="18"/>
        <v>48.628491385492261</v>
      </c>
      <c r="M61" s="2" t="e">
        <f t="shared" si="18"/>
        <v>#DIV/0!</v>
      </c>
      <c r="N61" s="2" t="e">
        <f t="shared" si="18"/>
        <v>#DIV/0!</v>
      </c>
      <c r="O61" s="2">
        <f t="shared" si="18"/>
        <v>197.47703937858435</v>
      </c>
      <c r="P61" s="2">
        <f t="shared" si="18"/>
        <v>134.81271962892293</v>
      </c>
      <c r="Q61" s="2">
        <f t="shared" si="18"/>
        <v>202.22147731995571</v>
      </c>
      <c r="R61" s="2">
        <f t="shared" si="18"/>
        <v>212.97508420282392</v>
      </c>
    </row>
    <row r="62" spans="2:19" x14ac:dyDescent="0.25">
      <c r="B62" s="15"/>
      <c r="C62" s="16"/>
      <c r="D62" s="17"/>
      <c r="E62" s="21"/>
    </row>
    <row r="63" spans="2:19" x14ac:dyDescent="0.25">
      <c r="B63" s="15"/>
      <c r="C63" s="16"/>
      <c r="D63" s="17"/>
      <c r="E63" s="21"/>
      <c r="F63" t="s">
        <v>68</v>
      </c>
      <c r="G63" s="19">
        <f>'[2]51000-0104'!Q7</f>
        <v>6860.727562400426</v>
      </c>
      <c r="H63" s="19">
        <f>'[2]51000-0104'!Q13</f>
        <v>6456.6509218345273</v>
      </c>
      <c r="I63" s="19">
        <f>'[2]51000-0104'!Q19</f>
        <v>6623.1811339688938</v>
      </c>
      <c r="J63" s="19">
        <f>'[2]51000-0104'!Q25</f>
        <v>7468.7581359021078</v>
      </c>
      <c r="K63" s="19">
        <f>'[2]51000-0104'!Q31</f>
        <v>7910.2483495756069</v>
      </c>
      <c r="L63" s="19">
        <f>'[2]51000-0104'!Q37</f>
        <v>7454.2682926829266</v>
      </c>
      <c r="M63" s="19">
        <f>'[2]51000-0104'!Q43</f>
        <v>5444.598819034386</v>
      </c>
      <c r="N63" s="19">
        <f>'[2]51000-0104'!Q49</f>
        <v>5283.4527104020844</v>
      </c>
      <c r="O63" s="19">
        <f>'[2]51000-0104'!Q55</f>
        <v>6380.4660788195079</v>
      </c>
      <c r="P63" s="19">
        <f>'[2]51000-0104'!Q61</f>
        <v>6433.2041315567922</v>
      </c>
      <c r="Q63" s="19">
        <f>'[2]51000-0104'!Q67</f>
        <v>6824.5392716103552</v>
      </c>
      <c r="R63" s="19">
        <f>'[2]51000-0104'!Q73</f>
        <v>6336.9416144200641</v>
      </c>
    </row>
    <row r="64" spans="2:19" x14ac:dyDescent="0.25">
      <c r="B64" s="15"/>
      <c r="C64" s="16"/>
      <c r="D64" s="17"/>
      <c r="E64" s="21"/>
      <c r="F64" t="s">
        <v>69</v>
      </c>
      <c r="G64" s="19">
        <f>G58-G63</f>
        <v>-2875.4209640334007</v>
      </c>
      <c r="H64" s="19">
        <f t="shared" ref="H64:R64" si="19">H58-H63</f>
        <v>-1822.800435353759</v>
      </c>
      <c r="I64" s="19">
        <f t="shared" si="19"/>
        <v>-2331.6119404247129</v>
      </c>
      <c r="J64" s="19">
        <f t="shared" si="19"/>
        <v>-2646.4465710496579</v>
      </c>
      <c r="K64" s="19">
        <f t="shared" si="19"/>
        <v>-3162.4465718874389</v>
      </c>
      <c r="L64" s="19">
        <f t="shared" si="19"/>
        <v>-1618.849326423855</v>
      </c>
      <c r="M64" s="19">
        <f t="shared" si="19"/>
        <v>-982.04044794676065</v>
      </c>
      <c r="N64" s="19">
        <f t="shared" si="19"/>
        <v>177.7243374318723</v>
      </c>
      <c r="O64" s="19">
        <f t="shared" si="19"/>
        <v>-1156.242692711553</v>
      </c>
      <c r="P64" s="19">
        <f t="shared" si="19"/>
        <v>-2395.6527394636</v>
      </c>
      <c r="Q64" s="19">
        <f t="shared" si="19"/>
        <v>398.22308635167155</v>
      </c>
      <c r="R64" s="19">
        <f t="shared" si="19"/>
        <v>1098.8174484577867</v>
      </c>
      <c r="S64" s="19"/>
    </row>
    <row r="65" spans="2:18" x14ac:dyDescent="0.25">
      <c r="B65" s="15"/>
      <c r="C65" s="16"/>
      <c r="D65" s="17"/>
      <c r="E65" s="21"/>
      <c r="F65" t="s">
        <v>70</v>
      </c>
      <c r="G65" s="2">
        <f>(G58/G63)*100</f>
        <v>58.088687564393673</v>
      </c>
      <c r="H65" s="2">
        <f>(H58/H63)*100</f>
        <v>71.768638920998896</v>
      </c>
      <c r="I65" s="2">
        <f>(I58/I63)*100</f>
        <v>64.796192444951132</v>
      </c>
      <c r="J65" s="2">
        <f>(J58/J63)*100</f>
        <v>64.566444341954735</v>
      </c>
      <c r="K65" s="2">
        <f t="shared" ref="K65:R65" si="20">(K58/K63)*100</f>
        <v>60.0208940082506</v>
      </c>
      <c r="L65" s="2">
        <f t="shared" si="20"/>
        <v>78.2829211015532</v>
      </c>
      <c r="M65" s="2">
        <f t="shared" si="20"/>
        <v>81.963033814107021</v>
      </c>
      <c r="N65" s="2">
        <f t="shared" si="20"/>
        <v>103.36379158049371</v>
      </c>
      <c r="O65" s="2">
        <f t="shared" si="20"/>
        <v>81.878397621299214</v>
      </c>
      <c r="P65" s="2">
        <f t="shared" si="20"/>
        <v>62.761126641198807</v>
      </c>
      <c r="Q65" s="2">
        <f t="shared" si="20"/>
        <v>105.83516440455188</v>
      </c>
      <c r="R65" s="2">
        <f t="shared" si="20"/>
        <v>117.33987016634913</v>
      </c>
    </row>
    <row r="66" spans="2:18" x14ac:dyDescent="0.25">
      <c r="B66" s="15"/>
      <c r="C66" s="16"/>
      <c r="D66" s="17"/>
      <c r="E66" s="21"/>
      <c r="F66" t="s">
        <v>71</v>
      </c>
    </row>
    <row r="68" spans="2:18" ht="22.5" x14ac:dyDescent="0.25">
      <c r="B68" s="22" t="s">
        <v>72</v>
      </c>
      <c r="C68" s="23">
        <v>11500</v>
      </c>
      <c r="D68" s="24" t="s">
        <v>73</v>
      </c>
      <c r="E68" s="25" t="s">
        <v>74</v>
      </c>
      <c r="F68" s="13" t="s">
        <v>75</v>
      </c>
      <c r="G68" s="14">
        <f>'[4]2012'!$H$1253</f>
        <v>1196.2426926711967</v>
      </c>
      <c r="H68" s="14">
        <f>'[4]2013'!$H$1253</f>
        <v>1215.0374433551572</v>
      </c>
      <c r="I68" s="14">
        <f>'[4]2014'!$H$1253</f>
        <v>1170.3085603319973</v>
      </c>
      <c r="J68" s="14">
        <f>'[4]2015'!$H$1253</f>
        <v>1145.0686759157409</v>
      </c>
      <c r="K68" s="14">
        <f>'[4]2016'!$H$1253</f>
        <v>1099.3922013291794</v>
      </c>
      <c r="L68" s="14">
        <f>'[4]2017'!$H$1253</f>
        <v>1120.8393834687497</v>
      </c>
      <c r="M68" s="14">
        <f>'[4]2018'!$H$1253</f>
        <v>1155.5615595551481</v>
      </c>
      <c r="N68" s="14">
        <f>'[4]2019'!$H$1253</f>
        <v>1125.5170516879793</v>
      </c>
      <c r="O68" s="14">
        <f>'[4]2020'!$X$1253</f>
        <v>1053.0867849262061</v>
      </c>
      <c r="P68" s="14">
        <f>'[4]2021'!$X$1253</f>
        <v>1091.1287094104557</v>
      </c>
      <c r="Q68" s="14">
        <f>'[4]2022'!$X$1253</f>
        <v>1453.264197918335</v>
      </c>
      <c r="R68" s="14">
        <f>'[4]2023'!$X$1253</f>
        <v>1507.9635898426109</v>
      </c>
    </row>
    <row r="69" spans="2:18" x14ac:dyDescent="0.25">
      <c r="B69" s="15"/>
      <c r="C69" s="16"/>
      <c r="D69" s="17"/>
      <c r="E69" s="18"/>
      <c r="F69" t="s">
        <v>76</v>
      </c>
      <c r="G69" s="19">
        <f>'Calcul. import share poultry'!J41</f>
        <v>11336.551385255734</v>
      </c>
      <c r="H69" s="19">
        <f>'Calcul. import share poultry'!J47</f>
        <v>11830.184909082524</v>
      </c>
      <c r="I69" s="19">
        <f>'Calcul. import share poultry'!J63</f>
        <v>11965.163197634933</v>
      </c>
      <c r="J69" s="19">
        <f>'Calcul. import share poultry'!J74</f>
        <v>13086.082648350412</v>
      </c>
      <c r="K69" s="19">
        <f>'Calcul. import share poultry'!J85</f>
        <v>13308.797807835821</v>
      </c>
      <c r="L69" s="19">
        <f>'Calcul. import share poultry'!J96</f>
        <v>13256.331618519984</v>
      </c>
      <c r="M69" s="19">
        <f>'Calcul. import share poultry'!J107</f>
        <v>14452.647992635591</v>
      </c>
      <c r="N69" s="19">
        <f>'Calcul. import share poultry'!J118</f>
        <v>17139.389175317319</v>
      </c>
      <c r="O69" s="19">
        <f>'Calcul. import share poultry'!J129</f>
        <v>17181.957615951262</v>
      </c>
      <c r="P69" s="19">
        <f>'Calcul. import share poultry'!J140</f>
        <v>17324.331318073819</v>
      </c>
      <c r="Q69" s="19">
        <f>'Calcul. import share poultry'!J151</f>
        <v>21083.518655794414</v>
      </c>
      <c r="R69" s="19">
        <f>'Calcul. import share poultry'!J162</f>
        <v>23075.434690415601</v>
      </c>
    </row>
    <row r="70" spans="2:18" x14ac:dyDescent="0.25">
      <c r="B70" s="15"/>
      <c r="C70" s="16"/>
      <c r="D70" s="17"/>
      <c r="E70" s="18"/>
      <c r="F70" t="s">
        <v>77</v>
      </c>
      <c r="G70" s="19">
        <f>G68-G69</f>
        <v>-10140.308692584538</v>
      </c>
      <c r="H70" s="19">
        <f t="shared" ref="H70:R70" si="21">H68-H69</f>
        <v>-10615.147465727367</v>
      </c>
      <c r="I70" s="19">
        <f t="shared" si="21"/>
        <v>-10794.854637302935</v>
      </c>
      <c r="J70" s="19">
        <f t="shared" si="21"/>
        <v>-11941.01397243467</v>
      </c>
      <c r="K70" s="19">
        <f t="shared" si="21"/>
        <v>-12209.405606506642</v>
      </c>
      <c r="L70" s="19">
        <f t="shared" si="21"/>
        <v>-12135.492235051233</v>
      </c>
      <c r="M70" s="19">
        <f t="shared" si="21"/>
        <v>-13297.086433080443</v>
      </c>
      <c r="N70" s="19">
        <f t="shared" si="21"/>
        <v>-16013.87212362934</v>
      </c>
      <c r="O70" s="19">
        <f t="shared" si="21"/>
        <v>-16128.870831025055</v>
      </c>
      <c r="P70" s="19">
        <f t="shared" si="21"/>
        <v>-16233.202608663363</v>
      </c>
      <c r="Q70" s="19">
        <f t="shared" si="21"/>
        <v>-19630.254457876079</v>
      </c>
      <c r="R70" s="19">
        <f t="shared" si="21"/>
        <v>-21567.471100572991</v>
      </c>
    </row>
    <row r="71" spans="2:18" x14ac:dyDescent="0.25">
      <c r="B71" s="15"/>
      <c r="C71" s="16"/>
      <c r="D71" s="17"/>
      <c r="E71" s="18"/>
      <c r="F71" t="s">
        <v>78</v>
      </c>
      <c r="G71" s="2">
        <f t="shared" ref="G71:R71" si="22">(G68/G69)*100</f>
        <v>10.552086362233796</v>
      </c>
      <c r="H71" s="2">
        <f t="shared" si="22"/>
        <v>10.27065470821443</v>
      </c>
      <c r="I71" s="2">
        <f t="shared" si="22"/>
        <v>9.7809661347813766</v>
      </c>
      <c r="J71" s="2">
        <f t="shared" si="22"/>
        <v>8.7502784957581206</v>
      </c>
      <c r="K71" s="2">
        <f t="shared" si="22"/>
        <v>8.2606424502286018</v>
      </c>
      <c r="L71" s="2">
        <f t="shared" si="22"/>
        <v>8.4551248092108828</v>
      </c>
      <c r="M71" s="2">
        <f t="shared" si="22"/>
        <v>7.9955006179073171</v>
      </c>
      <c r="N71" s="2">
        <f t="shared" si="22"/>
        <v>6.5668445950737411</v>
      </c>
      <c r="O71" s="2">
        <f t="shared" si="22"/>
        <v>6.1290267876609645</v>
      </c>
      <c r="P71" s="2">
        <f t="shared" si="22"/>
        <v>6.2982442980187212</v>
      </c>
      <c r="Q71" s="2">
        <f t="shared" si="22"/>
        <v>6.8928921288901286</v>
      </c>
      <c r="R71" s="2">
        <f t="shared" si="22"/>
        <v>6.5349303710796169</v>
      </c>
    </row>
    <row r="72" spans="2:18" x14ac:dyDescent="0.25">
      <c r="B72" s="15"/>
      <c r="C72" s="16"/>
      <c r="D72" s="17"/>
      <c r="E72" s="18"/>
    </row>
    <row r="73" spans="2:18" x14ac:dyDescent="0.25">
      <c r="B73" s="15"/>
      <c r="C73" s="16"/>
      <c r="D73" s="17"/>
      <c r="E73" s="18"/>
      <c r="F73" t="s">
        <v>79</v>
      </c>
      <c r="G73" s="19">
        <f>'Calcul. import share poultry'!I41</f>
        <v>31331.509231319997</v>
      </c>
      <c r="H73" s="19">
        <f>'Calcul. import share poultry'!I52</f>
        <v>30893.028930758584</v>
      </c>
      <c r="I73" s="19">
        <f>'Calcul. import share poultry'!I63</f>
        <v>31391.625040847768</v>
      </c>
      <c r="J73" s="19">
        <f>'Calcul. import share poultry'!I74</f>
        <v>30172.749707754265</v>
      </c>
      <c r="K73" s="19">
        <f>'Calcul. import share poultry'!I85</f>
        <v>31356.916023470523</v>
      </c>
      <c r="L73" s="19">
        <f>'Calcul. import share poultry'!I96</f>
        <v>29118.038204239539</v>
      </c>
      <c r="M73" s="19">
        <f>'Calcul. import share poultry'!I107</f>
        <v>28381.796774653914</v>
      </c>
      <c r="N73" s="19">
        <f>'Calcul. import share poultry'!I118</f>
        <v>27022.936189201249</v>
      </c>
      <c r="O73" s="19">
        <f>'Calcul. import share poultry'!I129</f>
        <v>26646.36622005684</v>
      </c>
      <c r="P73" s="19">
        <f>'Calcul. import share poultry'!I140</f>
        <v>23354.000384232491</v>
      </c>
      <c r="Q73" s="19">
        <f>'Calcul. import share poultry'!I151</f>
        <v>26002.320315862351</v>
      </c>
      <c r="R73" s="19">
        <f>'Calcul. import share poultry'!I162</f>
        <v>29557.148413624487</v>
      </c>
    </row>
    <row r="74" spans="2:18" x14ac:dyDescent="0.25">
      <c r="B74" s="15"/>
      <c r="C74" s="16"/>
      <c r="D74" s="17"/>
      <c r="E74" s="18"/>
      <c r="F74" t="s">
        <v>80</v>
      </c>
      <c r="G74" s="19">
        <f>G68-G73</f>
        <v>-30135.266538648801</v>
      </c>
      <c r="H74" s="19">
        <f t="shared" ref="H74:R74" si="23">H68-H73</f>
        <v>-29677.991487403426</v>
      </c>
      <c r="I74" s="19">
        <f t="shared" si="23"/>
        <v>-30221.316480515772</v>
      </c>
      <c r="J74" s="19">
        <f t="shared" si="23"/>
        <v>-29027.681031838525</v>
      </c>
      <c r="K74" s="19">
        <f t="shared" si="23"/>
        <v>-30257.523822141346</v>
      </c>
      <c r="L74" s="19">
        <f t="shared" si="23"/>
        <v>-27997.198820770791</v>
      </c>
      <c r="M74" s="19">
        <f t="shared" si="23"/>
        <v>-27226.235215098764</v>
      </c>
      <c r="N74" s="19">
        <f t="shared" si="23"/>
        <v>-25897.419137513269</v>
      </c>
      <c r="O74" s="19">
        <f t="shared" si="23"/>
        <v>-25593.279435130633</v>
      </c>
      <c r="P74" s="19">
        <f t="shared" si="23"/>
        <v>-22262.871674822036</v>
      </c>
      <c r="Q74" s="19">
        <f t="shared" si="23"/>
        <v>-24549.056117944016</v>
      </c>
      <c r="R74" s="19">
        <f t="shared" si="23"/>
        <v>-28049.184823781878</v>
      </c>
    </row>
    <row r="75" spans="2:18" x14ac:dyDescent="0.25">
      <c r="B75" s="15"/>
      <c r="C75" s="16"/>
      <c r="D75" s="17"/>
      <c r="E75" s="18"/>
      <c r="F75" t="s">
        <v>81</v>
      </c>
      <c r="G75" s="2">
        <f>(G68/G73)*100</f>
        <v>3.8180180974984554</v>
      </c>
      <c r="H75" s="2">
        <f>(H68/H73)*100</f>
        <v>3.9330473100531997</v>
      </c>
      <c r="I75" s="2">
        <f>(I68/I73)*100</f>
        <v>3.7280916767104446</v>
      </c>
      <c r="J75" s="2">
        <f>(J68/J73)*100</f>
        <v>3.7950425036053748</v>
      </c>
      <c r="K75" s="2">
        <f t="shared" ref="K75:R75" si="24">(K68/K73)*100</f>
        <v>3.5060597174361434</v>
      </c>
      <c r="L75" s="2">
        <f t="shared" si="24"/>
        <v>3.849295668914801</v>
      </c>
      <c r="M75" s="2">
        <f t="shared" si="24"/>
        <v>4.071488386482673</v>
      </c>
      <c r="N75" s="2">
        <f t="shared" si="24"/>
        <v>4.1650435163953503</v>
      </c>
      <c r="O75" s="2">
        <f t="shared" si="24"/>
        <v>3.9520840336328598</v>
      </c>
      <c r="P75" s="2">
        <f t="shared" si="24"/>
        <v>4.6721276503323761</v>
      </c>
      <c r="Q75" s="2">
        <f t="shared" si="24"/>
        <v>5.5889789075161556</v>
      </c>
      <c r="R75" s="2">
        <f t="shared" si="24"/>
        <v>5.1018574888892489</v>
      </c>
    </row>
    <row r="76" spans="2:18" x14ac:dyDescent="0.25">
      <c r="B76" s="9" t="s">
        <v>82</v>
      </c>
      <c r="C76" s="10" t="s">
        <v>83</v>
      </c>
      <c r="D76" s="11"/>
      <c r="E76" s="12" t="s">
        <v>84</v>
      </c>
      <c r="F76" s="13" t="s">
        <v>85</v>
      </c>
      <c r="G76" s="14">
        <f>'[4]2012'!$H$1137</f>
        <v>910.49222009001221</v>
      </c>
      <c r="H76" s="14">
        <f>'[4]2013'!$H$1165</f>
        <v>1452.3717726538043</v>
      </c>
      <c r="I76" s="14">
        <f>'[4]2014'!$H$1137</f>
        <v>892.8402699915124</v>
      </c>
      <c r="J76" s="14">
        <f>'[4]2015'!$H$1137</f>
        <v>863.08259104514104</v>
      </c>
      <c r="K76" s="14">
        <f>'[4]2016'!$H$1137</f>
        <v>830.16638668801932</v>
      </c>
      <c r="L76" s="14">
        <f>'[4]2017'!$H$1137</f>
        <v>830.59366329826082</v>
      </c>
      <c r="M76" s="14">
        <f>'[4]2018'!$H$1137</f>
        <v>1214.8536939888313</v>
      </c>
      <c r="N76" s="14">
        <f>'[4]2019'!$H$1137</f>
        <v>1140.6939883126802</v>
      </c>
      <c r="O76" s="14">
        <f>'[4]2020'!$X$1137</f>
        <v>768.86881987963329</v>
      </c>
      <c r="P76" s="14">
        <f>'[4]2021'!$X$1137</f>
        <v>838.24232155391633</v>
      </c>
      <c r="Q76" s="14">
        <f>'[4]2022'!$X$1137</f>
        <v>1190.1310802823036</v>
      </c>
      <c r="R76" s="14">
        <f>'[4]2023'!$X$1137</f>
        <v>1187.7481283215552</v>
      </c>
    </row>
    <row r="77" spans="2:18" x14ac:dyDescent="0.25">
      <c r="B77" s="15"/>
      <c r="C77" s="16"/>
      <c r="D77" s="17"/>
      <c r="E77" s="18"/>
      <c r="F77" t="s">
        <v>86</v>
      </c>
      <c r="G77" s="19">
        <f>'[2]51000-0105'!J10</f>
        <v>11025.356172403957</v>
      </c>
      <c r="H77" s="19">
        <f>'[2]51000-0105'!J21</f>
        <v>11830.184909082524</v>
      </c>
      <c r="I77" s="19">
        <f>'[2]51000-0105'!J32</f>
        <v>11352.583179173704</v>
      </c>
      <c r="J77" s="19">
        <f>'[2]51000-0105'!J43</f>
        <v>12386.334556001024</v>
      </c>
      <c r="K77" s="19">
        <f>'[2]51000-0105'!J54</f>
        <v>12363.677230838392</v>
      </c>
      <c r="L77" s="19">
        <f>'[2]51000-0105'!J65</f>
        <v>12229.832964240959</v>
      </c>
      <c r="M77" s="19">
        <f>'[2]51000-0105'!J76</f>
        <v>13581.674076937947</v>
      </c>
      <c r="N77" s="19">
        <f>'[2]51000-0105'!J87</f>
        <v>16266.163665266806</v>
      </c>
      <c r="O77" s="19">
        <f>'[2]51000-0105'!J98</f>
        <v>16521.233402831123</v>
      </c>
      <c r="P77" s="19">
        <f>'[2]51000-0105'!J109</f>
        <v>17421.019014395912</v>
      </c>
      <c r="Q77" s="19">
        <f>'[2]51000-0105'!J120</f>
        <v>21240.188792406581</v>
      </c>
      <c r="R77" s="19">
        <f>'[2]51000-0105'!J131</f>
        <v>23273.186352999135</v>
      </c>
    </row>
    <row r="78" spans="2:18" x14ac:dyDescent="0.25">
      <c r="B78" s="15"/>
      <c r="C78" s="16"/>
      <c r="D78" s="17"/>
      <c r="E78" s="18"/>
      <c r="F78" t="s">
        <v>87</v>
      </c>
    </row>
    <row r="79" spans="2:18" x14ac:dyDescent="0.25">
      <c r="B79" s="15"/>
      <c r="C79" s="16"/>
      <c r="D79" s="17"/>
      <c r="E79" s="18"/>
      <c r="F79" t="s">
        <v>88</v>
      </c>
    </row>
    <row r="80" spans="2:18" x14ac:dyDescent="0.25">
      <c r="B80" s="15"/>
      <c r="C80" s="16"/>
      <c r="D80" s="17"/>
      <c r="E80" s="18"/>
    </row>
    <row r="81" spans="2:18" x14ac:dyDescent="0.25">
      <c r="B81" s="15"/>
      <c r="C81" s="16"/>
      <c r="D81" s="17"/>
      <c r="E81" s="18"/>
      <c r="F81" t="s">
        <v>89</v>
      </c>
      <c r="G81" s="19">
        <f>'[2]51000-0105'!I10</f>
        <v>32349.139310168299</v>
      </c>
      <c r="H81" s="19">
        <f>'[2]51000-0105'!I21</f>
        <v>31971.01184494991</v>
      </c>
      <c r="I81" s="19">
        <f>'[2]51000-0105'!I32</f>
        <v>33217.276048233281</v>
      </c>
      <c r="J81" s="19">
        <f>'[2]51000-0105'!I43</f>
        <v>31346.639341827795</v>
      </c>
      <c r="K81" s="19">
        <f>'[2]51000-0105'!I54</f>
        <v>33546.799554289952</v>
      </c>
      <c r="L81" s="19">
        <f>'[2]51000-0105'!I65</f>
        <v>30833.259252674314</v>
      </c>
      <c r="M81" s="19">
        <f>'[2]51000-0105'!I76</f>
        <v>29496.226267269074</v>
      </c>
      <c r="N81" s="19">
        <f>'[2]51000-0105'!I87</f>
        <v>27539.348202517249</v>
      </c>
      <c r="O81" s="19">
        <f>'[2]51000-0105'!I98</f>
        <v>27811.80531180531</v>
      </c>
      <c r="P81" s="19">
        <f>'[2]51000-0105'!I109</f>
        <v>23143.786295005808</v>
      </c>
      <c r="Q81" s="19">
        <f>'[2]51000-0105'!I120</f>
        <v>26592.094529453934</v>
      </c>
      <c r="R81" s="19">
        <f>'[2]51000-0105'!I131</f>
        <v>30262.699142898644</v>
      </c>
    </row>
    <row r="82" spans="2:18" x14ac:dyDescent="0.25">
      <c r="B82" s="15"/>
      <c r="C82" s="16"/>
      <c r="D82" s="17"/>
      <c r="E82" s="18"/>
      <c r="F82" t="s">
        <v>90</v>
      </c>
    </row>
    <row r="83" spans="2:18" ht="15" customHeight="1" x14ac:dyDescent="0.25">
      <c r="B83" s="15"/>
      <c r="C83" s="16"/>
      <c r="D83" s="17"/>
      <c r="E83" s="18"/>
      <c r="F83" t="s">
        <v>91</v>
      </c>
    </row>
    <row r="84" spans="2:18" x14ac:dyDescent="0.25">
      <c r="B84" s="15"/>
      <c r="C84" s="16"/>
      <c r="D84" s="17"/>
      <c r="E84" s="18"/>
    </row>
    <row r="85" spans="2:18" x14ac:dyDescent="0.25">
      <c r="B85" s="9" t="s">
        <v>92</v>
      </c>
      <c r="C85" s="10" t="s">
        <v>93</v>
      </c>
      <c r="D85" s="11"/>
      <c r="E85" s="12" t="s">
        <v>94</v>
      </c>
      <c r="F85" s="13" t="s">
        <v>95</v>
      </c>
      <c r="G85" s="14">
        <f>'[4]2012'!$H$1165</f>
        <v>1397.4865080810096</v>
      </c>
      <c r="H85" s="14">
        <f>'[4]2013'!$H$1165</f>
        <v>1452.3717726538043</v>
      </c>
      <c r="I85" s="14">
        <f>'[4]2014'!$H$1165</f>
        <v>1434.0557941346842</v>
      </c>
      <c r="J85" s="14">
        <f>'[4]2015'!$H$1165</f>
        <v>1409.058252733071</v>
      </c>
      <c r="K85" s="14">
        <f>'[4]2016'!$H$1165</f>
        <v>1356.8565169000044</v>
      </c>
      <c r="L85" s="14">
        <f>'[4]2017'!$H$1165</f>
        <v>1242.3323903529806</v>
      </c>
      <c r="M85" s="14">
        <f>'[4]2018'!$H$1165</f>
        <v>1304.9511063117011</v>
      </c>
      <c r="N85" s="14">
        <f>'[4]2019'!$H$1165</f>
        <v>1353.5629143382503</v>
      </c>
      <c r="O85" s="14">
        <f>'[4]2020'!$X$1165</f>
        <v>1321.1420288090644</v>
      </c>
      <c r="P85" s="14">
        <f>'[4]2021'!$X$1165</f>
        <v>1303.4065145993031</v>
      </c>
      <c r="Q85" s="14">
        <f>'[4]2022'!$X$1165</f>
        <v>1700.6097496053037</v>
      </c>
      <c r="R85" s="14">
        <f>'[4]2023'!$X$1165</f>
        <v>1827.9349673995214</v>
      </c>
    </row>
    <row r="86" spans="2:18" x14ac:dyDescent="0.25">
      <c r="B86" s="15"/>
      <c r="C86" s="16"/>
      <c r="D86" s="17"/>
      <c r="E86" s="18"/>
      <c r="F86" t="s">
        <v>96</v>
      </c>
      <c r="G86" s="19">
        <f>'[2]51000-0105'!J11</f>
        <v>139321.26696832577</v>
      </c>
      <c r="H86" s="19">
        <f>'[2]51000-0105'!J22</f>
        <v>95082.742316784876</v>
      </c>
      <c r="I86" s="19">
        <f>'[2]51000-0105'!J33</f>
        <v>175164.83516483515</v>
      </c>
      <c r="J86" s="19">
        <f>'[2]51000-0105'!J44</f>
        <v>184440.55944055945</v>
      </c>
      <c r="K86" s="19">
        <f>'[2]51000-0105'!J55</f>
        <v>150803.38266384779</v>
      </c>
      <c r="L86" s="19">
        <f>'[2]51000-0105'!J66</f>
        <v>112957.48613678373</v>
      </c>
      <c r="M86" s="19">
        <f>'[2]51000-0105'!J77</f>
        <v>110854.92227979275</v>
      </c>
      <c r="N86" s="19">
        <f>'[2]51000-0105'!J88</f>
        <v>108562.30031948882</v>
      </c>
      <c r="O86" s="19">
        <f>'[2]51000-0105'!J99</f>
        <v>92047.477744807111</v>
      </c>
      <c r="P86" s="19">
        <f>'[2]51000-0105'!J110</f>
        <v>44239.130434782608</v>
      </c>
      <c r="Q86" s="19">
        <f>'[2]51000-0105'!J121</f>
        <v>126185.56701030929</v>
      </c>
      <c r="R86" s="19">
        <f>'[2]51000-0105'!J132</f>
        <v>306363.63636363635</v>
      </c>
    </row>
    <row r="87" spans="2:18" x14ac:dyDescent="0.25">
      <c r="B87" s="15"/>
      <c r="C87" s="16"/>
      <c r="D87" s="17"/>
      <c r="E87" s="18"/>
      <c r="F87" t="s">
        <v>97</v>
      </c>
    </row>
    <row r="88" spans="2:18" x14ac:dyDescent="0.25">
      <c r="B88" s="15"/>
      <c r="C88" s="16"/>
      <c r="D88" s="17"/>
      <c r="E88" s="18"/>
      <c r="F88" t="s">
        <v>98</v>
      </c>
    </row>
    <row r="89" spans="2:18" x14ac:dyDescent="0.25">
      <c r="B89" s="15"/>
      <c r="C89" s="16"/>
      <c r="D89" s="17"/>
      <c r="E89" s="18"/>
    </row>
    <row r="90" spans="2:18" x14ac:dyDescent="0.25">
      <c r="B90" s="15"/>
      <c r="C90" s="16"/>
      <c r="D90" s="17"/>
      <c r="E90" s="18"/>
      <c r="F90" t="s">
        <v>99</v>
      </c>
      <c r="G90" s="19">
        <f>'[2]51000-0105'!I11</f>
        <v>25311.919299177061</v>
      </c>
      <c r="H90" s="19">
        <f>'[2]51000-0105'!I22</f>
        <v>26322.037556658754</v>
      </c>
      <c r="I90" s="19">
        <f>'[2]51000-0105'!I33</f>
        <v>25469.741664431927</v>
      </c>
      <c r="J90" s="19">
        <f>'[2]51000-0105'!I44</f>
        <v>26038.287911720447</v>
      </c>
      <c r="K90" s="19">
        <f>'[2]51000-0105'!I55</f>
        <v>25460.717749757514</v>
      </c>
      <c r="L90" s="19">
        <f>'[2]51000-0105'!I66</f>
        <v>24864.135798407788</v>
      </c>
      <c r="M90" s="19">
        <f>'[2]51000-0105'!I77</f>
        <v>25106.320141760189</v>
      </c>
      <c r="N90" s="19">
        <f>'[2]51000-0105'!I88</f>
        <v>24697.371593923319</v>
      </c>
      <c r="O90" s="19">
        <f>'[2]51000-0105'!I99</f>
        <v>23582.913082171461</v>
      </c>
      <c r="P90" s="19">
        <f>'[2]51000-0105'!I110</f>
        <v>22874.595231086252</v>
      </c>
      <c r="Q90" s="19">
        <f>'[2]51000-0105'!I121</f>
        <v>22791.17622849617</v>
      </c>
      <c r="R90" s="19">
        <f>'[2]51000-0105'!I132</f>
        <v>25246.536939313984</v>
      </c>
    </row>
    <row r="91" spans="2:18" x14ac:dyDescent="0.25">
      <c r="B91" s="15"/>
      <c r="C91" s="16"/>
      <c r="D91" s="17"/>
      <c r="E91" s="18"/>
      <c r="F91" t="s">
        <v>100</v>
      </c>
    </row>
    <row r="92" spans="2:18" x14ac:dyDescent="0.25">
      <c r="B92" s="15"/>
      <c r="C92" s="16"/>
      <c r="D92" s="17"/>
      <c r="E92" s="18"/>
      <c r="F92" t="s">
        <v>101</v>
      </c>
    </row>
    <row r="93" spans="2:18" x14ac:dyDescent="0.25">
      <c r="B93" s="15"/>
      <c r="C93" s="16"/>
      <c r="D93" s="17"/>
      <c r="E93" s="18"/>
    </row>
    <row r="94" spans="2:18" x14ac:dyDescent="0.25">
      <c r="B94" s="9" t="s">
        <v>102</v>
      </c>
      <c r="C94" s="10" t="s">
        <v>103</v>
      </c>
      <c r="D94" s="11"/>
      <c r="E94" s="12" t="s">
        <v>104</v>
      </c>
      <c r="F94" s="13" t="s">
        <v>105</v>
      </c>
      <c r="G94" s="14">
        <f>'[4]2012'!$H$1193</f>
        <v>5044.9612026683162</v>
      </c>
      <c r="H94" s="14">
        <f>'[4]2013'!$H$1193</f>
        <v>5262.5896755163722</v>
      </c>
      <c r="I94" s="14">
        <f>'[4]2014'!$H$1193</f>
        <v>5297.1798868512742</v>
      </c>
      <c r="J94" s="14">
        <f>'[4]2015'!$H$1193</f>
        <v>5924.371596890056</v>
      </c>
      <c r="K94" s="14">
        <f>'[4]2016'!$H$1193</f>
        <v>5852.3199980580766</v>
      </c>
      <c r="L94" s="14">
        <f>'[4]2017'!$H$1193</f>
        <v>8831.4526737202123</v>
      </c>
      <c r="M94" s="14">
        <f>'[4]2018'!$H$1193</f>
        <v>8354.2150127621917</v>
      </c>
      <c r="N94" s="14">
        <f>'[4]2019'!$H$1193</f>
        <v>7962.010515346843</v>
      </c>
      <c r="O94" s="14">
        <f>'[4]2020'!$X$1193</f>
        <v>8842.0090150731576</v>
      </c>
      <c r="P94" s="14">
        <f>'[4]2021'!$X$1193</f>
        <v>8900.1012860850078</v>
      </c>
      <c r="Q94" s="14">
        <f>'[4]2022'!$X$1193</f>
        <v>10204.586273191188</v>
      </c>
      <c r="R94" s="14">
        <f>'[4]2023'!$X$1193</f>
        <v>11369.049348141205</v>
      </c>
    </row>
    <row r="95" spans="2:18" x14ac:dyDescent="0.25">
      <c r="B95" s="15"/>
      <c r="C95" s="16"/>
      <c r="D95" s="17"/>
      <c r="E95" s="18"/>
      <c r="F95" t="s">
        <v>106</v>
      </c>
      <c r="G95" s="19">
        <f>'[2]51000-0105'!J13</f>
        <v>26666.666666666664</v>
      </c>
      <c r="H95" s="19">
        <f>'[2]51000-0105'!J24</f>
        <v>18648.64864864865</v>
      </c>
      <c r="I95" s="19">
        <f>'[2]51000-0105'!J35</f>
        <v>19000</v>
      </c>
      <c r="J95" s="19">
        <f>'[2]51000-0105'!J46</f>
        <v>30000</v>
      </c>
      <c r="K95" s="19">
        <f>'[2]51000-0105'!J57</f>
        <v>19285.71428571429</v>
      </c>
      <c r="L95" s="19">
        <f>'[2]51000-0105'!J68</f>
        <v>23333.333333333336</v>
      </c>
      <c r="M95" s="19">
        <f>'[2]51000-0105'!J79</f>
        <v>20000</v>
      </c>
      <c r="N95" s="19">
        <f>'[2]51000-0105'!J90</f>
        <v>25000</v>
      </c>
      <c r="O95" s="19">
        <f>'[2]51000-0105'!J101</f>
        <v>18000</v>
      </c>
      <c r="P95" s="19">
        <f>'[2]51000-0105'!J112</f>
        <v>28378.378378378377</v>
      </c>
      <c r="Q95" s="19">
        <f>'[2]51000-0105'!J123</f>
        <v>29444.444444444442</v>
      </c>
      <c r="R95" s="19">
        <f>'[2]51000-0105'!J134</f>
        <v>34444.444444444445</v>
      </c>
    </row>
    <row r="96" spans="2:18" x14ac:dyDescent="0.25">
      <c r="B96" s="15"/>
      <c r="C96" s="16"/>
      <c r="D96" s="17"/>
      <c r="E96" s="18"/>
      <c r="F96" t="s">
        <v>107</v>
      </c>
    </row>
    <row r="97" spans="2:18" x14ac:dyDescent="0.25">
      <c r="B97" s="15"/>
      <c r="C97" s="16"/>
      <c r="D97" s="17"/>
      <c r="E97" s="18"/>
      <c r="F97" t="s">
        <v>108</v>
      </c>
    </row>
    <row r="98" spans="2:18" x14ac:dyDescent="0.25">
      <c r="B98" s="15"/>
      <c r="C98" s="16"/>
      <c r="D98" s="17"/>
      <c r="E98" s="18"/>
    </row>
    <row r="99" spans="2:18" x14ac:dyDescent="0.25">
      <c r="B99" s="15"/>
      <c r="C99" s="16"/>
      <c r="D99" s="17"/>
      <c r="E99" s="18"/>
      <c r="F99" t="s">
        <v>109</v>
      </c>
      <c r="G99" s="19">
        <f>'[2]51000-0105'!I13</f>
        <v>87272.727272727265</v>
      </c>
      <c r="H99" s="19">
        <f>'[2]51000-0105'!I24</f>
        <v>70096.153846153844</v>
      </c>
      <c r="I99" s="19">
        <f>'[2]51000-0105'!I35</f>
        <v>49879.518072289153</v>
      </c>
      <c r="J99" s="19">
        <f>'[2]51000-0105'!I46</f>
        <v>38181.818181818177</v>
      </c>
      <c r="K99" s="19">
        <f>'[2]51000-0105'!I57</f>
        <v>73434.343434343435</v>
      </c>
      <c r="L99" s="19">
        <f>'[2]51000-0105'!I68</f>
        <v>0</v>
      </c>
      <c r="M99" s="19">
        <f>'[2]51000-0105'!I79</f>
        <v>40000</v>
      </c>
      <c r="N99" s="19">
        <f>'[2]51000-0105'!I90</f>
        <v>80761.904761904763</v>
      </c>
      <c r="O99" s="19">
        <f>'[2]51000-0105'!I101</f>
        <v>95000</v>
      </c>
      <c r="P99" s="19">
        <f>'[2]51000-0105'!I112</f>
        <v>48681.318681318684</v>
      </c>
      <c r="Q99" s="19">
        <f>'[2]51000-0105'!I123</f>
        <v>49416.666666666664</v>
      </c>
      <c r="R99" s="19">
        <f>'[2]51000-0105'!I134</f>
        <v>55000</v>
      </c>
    </row>
    <row r="100" spans="2:18" x14ac:dyDescent="0.25">
      <c r="B100" s="15"/>
      <c r="C100" s="16"/>
      <c r="D100" s="17"/>
      <c r="E100" s="18"/>
      <c r="F100" t="s">
        <v>110</v>
      </c>
    </row>
    <row r="101" spans="2:18" x14ac:dyDescent="0.25">
      <c r="B101" s="15"/>
      <c r="C101" s="16"/>
      <c r="D101" s="17"/>
      <c r="E101" s="18"/>
      <c r="F101" t="s">
        <v>111</v>
      </c>
    </row>
    <row r="102" spans="2:18" x14ac:dyDescent="0.25">
      <c r="B102" s="15"/>
      <c r="C102" s="16"/>
      <c r="D102" s="17"/>
      <c r="E102" s="18"/>
    </row>
    <row r="103" spans="2:18" x14ac:dyDescent="0.25">
      <c r="B103" s="9" t="s">
        <v>112</v>
      </c>
      <c r="C103" s="10" t="s">
        <v>113</v>
      </c>
      <c r="D103" s="11"/>
      <c r="E103" s="12" t="s">
        <v>114</v>
      </c>
      <c r="F103" s="13" t="s">
        <v>115</v>
      </c>
      <c r="G103" s="14">
        <f>'[4]2012'!$H$1221</f>
        <v>5178.5331188391647</v>
      </c>
      <c r="H103" s="14">
        <f>'[4]2013'!$H$1221</f>
        <v>5805.0114101270392</v>
      </c>
      <c r="I103" s="14">
        <f>'[4]2014'!$H$1221</f>
        <v>5786.9424568719332</v>
      </c>
      <c r="J103" s="14">
        <f>'[4]2015'!$H$1221</f>
        <v>6182.0150258481326</v>
      </c>
      <c r="K103" s="14">
        <f>'[4]2016'!$H$1221</f>
        <v>6153.3658962111467</v>
      </c>
      <c r="L103" s="14">
        <f>'[4]2017'!$H$1221</f>
        <v>9175.1860301012948</v>
      </c>
      <c r="M103" s="14">
        <f>'[4]2018'!$H$1221</f>
        <v>9156.647894726304</v>
      </c>
      <c r="N103" s="14">
        <f>'[4]2019'!$H$1221</f>
        <v>8311.893599723775</v>
      </c>
      <c r="O103" s="14">
        <f>'[4]2020'!$X$1221</f>
        <v>9232.6419014523944</v>
      </c>
      <c r="P103" s="14">
        <f>'[4]2021'!$X$1221</f>
        <v>10163.393942458173</v>
      </c>
      <c r="Q103" s="14">
        <f>'[4]2022'!$X$1221</f>
        <v>10650.024613350564</v>
      </c>
      <c r="R103" s="14">
        <f>'[4]2023'!$X$1221</f>
        <v>13609.183616339862</v>
      </c>
    </row>
    <row r="104" spans="2:18" x14ac:dyDescent="0.25">
      <c r="B104" s="15"/>
      <c r="C104" s="16"/>
      <c r="D104" s="17"/>
      <c r="E104" s="18"/>
      <c r="F104" t="s">
        <v>116</v>
      </c>
      <c r="G104" s="19">
        <f>'[2]51000-0105'!J12</f>
        <v>8041.0607356715127</v>
      </c>
      <c r="H104" s="19">
        <f>'[2]51000-0105'!J23</f>
        <v>6562.2423742786486</v>
      </c>
      <c r="I104" s="19">
        <f>'[2]51000-0105'!J34</f>
        <v>17050</v>
      </c>
      <c r="J104" s="19">
        <f>'[2]51000-0105'!J45</f>
        <v>13503.649635036496</v>
      </c>
      <c r="K104" s="19">
        <f>'[2]51000-0105'!J56</f>
        <v>11797.671033478893</v>
      </c>
      <c r="L104" s="19">
        <f>'[2]51000-0105'!J67</f>
        <v>16385.869565217392</v>
      </c>
      <c r="M104" s="19">
        <f>'[2]51000-0105'!J78</f>
        <v>21541.251133272894</v>
      </c>
      <c r="N104" s="19">
        <f>'[2]51000-0105'!J89</f>
        <v>27609.254498714654</v>
      </c>
      <c r="O104" s="19">
        <f>'[2]51000-0105'!J100</f>
        <v>30159.574468085106</v>
      </c>
      <c r="P104" s="19">
        <f>'[2]51000-0105'!J111</f>
        <v>11427.664974619291</v>
      </c>
      <c r="Q104" s="19">
        <f>'[2]51000-0105'!J122</f>
        <v>12919.161676646705</v>
      </c>
      <c r="R104" s="19">
        <f>'[2]51000-0105'!J133</f>
        <v>13806.52772316162</v>
      </c>
    </row>
    <row r="105" spans="2:18" x14ac:dyDescent="0.25">
      <c r="B105" s="15"/>
      <c r="C105" s="16"/>
      <c r="D105" s="17"/>
      <c r="E105" s="18"/>
      <c r="F105" t="s">
        <v>117</v>
      </c>
    </row>
    <row r="106" spans="2:18" x14ac:dyDescent="0.25">
      <c r="B106" s="15"/>
      <c r="C106" s="16"/>
      <c r="D106" s="17"/>
      <c r="E106" s="18"/>
      <c r="F106" t="s">
        <v>118</v>
      </c>
    </row>
    <row r="107" spans="2:18" x14ac:dyDescent="0.25">
      <c r="B107" s="15"/>
      <c r="C107" s="16"/>
      <c r="D107" s="17"/>
      <c r="E107" s="18"/>
    </row>
    <row r="108" spans="2:18" x14ac:dyDescent="0.25">
      <c r="B108" s="15"/>
      <c r="C108" s="16"/>
      <c r="D108" s="17"/>
      <c r="E108" s="18"/>
      <c r="F108" t="s">
        <v>119</v>
      </c>
      <c r="G108" s="19">
        <f>'[2]51000-0105'!I12</f>
        <v>67899.543378995426</v>
      </c>
      <c r="H108" s="19">
        <f>'[2]51000-0105'!I23</f>
        <v>37941.176470588238</v>
      </c>
      <c r="I108" s="19">
        <f>'[2]51000-0105'!I34</f>
        <v>44287.949921752741</v>
      </c>
      <c r="J108" s="19">
        <f>'[2]51000-0105'!I45</f>
        <v>48631.984585741811</v>
      </c>
      <c r="K108" s="19">
        <f>'[2]51000-0105'!I56</f>
        <v>45748.587570621472</v>
      </c>
      <c r="L108" s="19">
        <f>'[2]51000-0105'!I67</f>
        <v>39046.92082111437</v>
      </c>
      <c r="M108" s="19">
        <f>'[2]51000-0105'!I78</f>
        <v>43697.478991596639</v>
      </c>
      <c r="N108" s="19">
        <f>'[2]51000-0105'!I89</f>
        <v>47292.644757433496</v>
      </c>
      <c r="O108" s="19">
        <f>'[2]51000-0105'!I100</f>
        <v>43834.808259587022</v>
      </c>
      <c r="P108" s="19">
        <f>'[2]51000-0105'!I111</f>
        <v>48465.909090909096</v>
      </c>
      <c r="Q108" s="19">
        <f>'[2]51000-0105'!I122</f>
        <v>43171.07093184979</v>
      </c>
      <c r="R108" s="19">
        <f>'[2]51000-0105'!I133</f>
        <v>71694.91525423729</v>
      </c>
    </row>
    <row r="109" spans="2:18" x14ac:dyDescent="0.25">
      <c r="B109" s="15"/>
      <c r="C109" s="16"/>
      <c r="D109" s="17"/>
      <c r="E109" s="18"/>
      <c r="F109" t="s">
        <v>120</v>
      </c>
    </row>
    <row r="110" spans="2:18" x14ac:dyDescent="0.25">
      <c r="B110" s="15"/>
      <c r="C110" s="16"/>
      <c r="D110" s="17"/>
      <c r="E110" s="18"/>
      <c r="F110" t="s">
        <v>121</v>
      </c>
    </row>
  </sheetData>
  <pageMargins left="0.70866141732283472" right="0.70866141732283472" top="0.78740157480314965" bottom="0.78740157480314965" header="0.31496062992125984" footer="0.31496062992125984"/>
  <pageSetup paperSize="9" scale="9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37"/>
  <sheetViews>
    <sheetView workbookViewId="0">
      <selection activeCell="B1" sqref="B1"/>
    </sheetView>
  </sheetViews>
  <sheetFormatPr baseColWidth="10" defaultRowHeight="15" x14ac:dyDescent="0.25"/>
  <cols>
    <col min="1" max="1" width="4.5703125" customWidth="1"/>
    <col min="6" max="6" width="30" customWidth="1"/>
    <col min="7" max="7" width="14.28515625" customWidth="1"/>
  </cols>
  <sheetData>
    <row r="1" spans="2:22" ht="21" x14ac:dyDescent="0.35">
      <c r="B1" s="147" t="s">
        <v>759</v>
      </c>
      <c r="C1" s="1"/>
      <c r="D1" s="1"/>
      <c r="E1" s="1"/>
      <c r="F1" s="1"/>
      <c r="G1" s="1"/>
      <c r="H1" s="1"/>
      <c r="I1" s="1"/>
      <c r="J1" s="1"/>
      <c r="K1" s="1"/>
      <c r="L1" s="1"/>
      <c r="M1" s="1"/>
    </row>
    <row r="2" spans="2:22" x14ac:dyDescent="0.25">
      <c r="K2" s="2"/>
      <c r="L2" s="2"/>
      <c r="M2" s="2"/>
      <c r="N2" s="2"/>
      <c r="O2" s="2"/>
      <c r="P2" s="2"/>
      <c r="Q2" s="2"/>
      <c r="R2" s="2"/>
      <c r="S2" s="2"/>
      <c r="T2" s="2"/>
      <c r="U2" s="2"/>
      <c r="V2" s="2"/>
    </row>
    <row r="3" spans="2:22" x14ac:dyDescent="0.25">
      <c r="C3" s="26" t="s">
        <v>122</v>
      </c>
    </row>
    <row r="4" spans="2:22" x14ac:dyDescent="0.25">
      <c r="B4" s="3">
        <v>11</v>
      </c>
      <c r="C4" s="4">
        <v>11000</v>
      </c>
      <c r="D4" s="5" t="s">
        <v>123</v>
      </c>
      <c r="E4" s="6" t="s">
        <v>124</v>
      </c>
    </row>
    <row r="5" spans="2:22" x14ac:dyDescent="0.25">
      <c r="B5" s="3"/>
      <c r="C5" s="4"/>
      <c r="D5" s="7"/>
      <c r="E5" s="8"/>
      <c r="F5" t="s">
        <v>125</v>
      </c>
      <c r="G5">
        <v>2012</v>
      </c>
      <c r="H5">
        <v>2013</v>
      </c>
      <c r="I5">
        <v>2014</v>
      </c>
      <c r="J5">
        <v>2015</v>
      </c>
      <c r="K5">
        <v>2016</v>
      </c>
      <c r="L5">
        <v>2017</v>
      </c>
      <c r="M5">
        <v>2018</v>
      </c>
      <c r="N5">
        <v>2019</v>
      </c>
      <c r="O5">
        <v>2020</v>
      </c>
      <c r="P5">
        <v>2021</v>
      </c>
      <c r="Q5">
        <v>2022</v>
      </c>
      <c r="R5">
        <v>2023</v>
      </c>
    </row>
    <row r="6" spans="2:22" x14ac:dyDescent="0.25">
      <c r="B6" s="9" t="s">
        <v>126</v>
      </c>
      <c r="C6" s="10">
        <v>11200</v>
      </c>
      <c r="D6" s="11" t="s">
        <v>127</v>
      </c>
      <c r="E6" s="20" t="s">
        <v>128</v>
      </c>
      <c r="F6" s="13" t="s">
        <v>731</v>
      </c>
      <c r="G6" s="14">
        <f>'[1]2012'!$G$985</f>
        <v>1706.7444459074304</v>
      </c>
      <c r="H6" s="14">
        <f>'[1]2013'!$G$985</f>
        <v>1677.149896357957</v>
      </c>
      <c r="I6" s="14">
        <f>'[1]2014'!$G$985</f>
        <v>1517.267942397493</v>
      </c>
      <c r="J6" s="14">
        <f>'[1]2015'!$G$985</f>
        <v>1360.5321243905428</v>
      </c>
      <c r="K6" s="14">
        <f>'[1]2016'!$G$985</f>
        <v>1490.9913711001898</v>
      </c>
      <c r="L6" s="14">
        <f>'[1]2017'!$G$985</f>
        <v>1599.7571262158303</v>
      </c>
      <c r="M6" s="14">
        <f>'[1]2018'!$G$985</f>
        <v>1410.3647624477937</v>
      </c>
      <c r="N6" s="14">
        <f>'[1]2019'!$G$985</f>
        <v>1747.3736269944704</v>
      </c>
      <c r="O6" s="14">
        <f>'[1]2020'!$W$985</f>
        <v>1507.0555067567777</v>
      </c>
      <c r="P6" s="14">
        <f>'[1]2021'!$W$985</f>
        <v>1356.8849940760167</v>
      </c>
      <c r="Q6" s="14">
        <f>'[1]2022'!$W$985</f>
        <v>1859.6559317778992</v>
      </c>
      <c r="R6" s="14">
        <f>'[1]2023'!$W$985</f>
        <v>2275.184383418959</v>
      </c>
    </row>
    <row r="7" spans="2:22" x14ac:dyDescent="0.25">
      <c r="B7" s="136"/>
      <c r="C7" s="137"/>
      <c r="D7" s="138"/>
      <c r="E7" s="139"/>
      <c r="F7" t="s">
        <v>728</v>
      </c>
      <c r="G7" s="19">
        <f>'[2]51000-0103'!$J$16</f>
        <v>2212.1957437166002</v>
      </c>
      <c r="H7" s="19">
        <f>'[2]51000-0103'!$J$24</f>
        <v>2211.535602163191</v>
      </c>
      <c r="I7" s="19">
        <f>'[2]51000-0103'!$J$32</f>
        <v>2056.4164158817489</v>
      </c>
      <c r="J7" s="19">
        <f>'[2]51000-0103'!J40</f>
        <v>1673.7651774862229</v>
      </c>
      <c r="K7" s="19">
        <f>'[2]51000-0103'!J48</f>
        <v>1952.6554356724953</v>
      </c>
      <c r="L7" s="19">
        <f>'[2]51000-0103'!J56</f>
        <v>2330.1374554444687</v>
      </c>
      <c r="M7" s="19">
        <f>'[2]51000-0103'!J64</f>
        <v>1759.7196478260587</v>
      </c>
      <c r="N7" s="19">
        <f>'[2]51000-0103'!J72</f>
        <v>2350.3688872588205</v>
      </c>
      <c r="O7" s="19">
        <f>'[2]51000-0103'!J80</f>
        <v>2197.5143889463839</v>
      </c>
      <c r="P7" s="19">
        <f>'[2]51000-0103'!J88</f>
        <v>1616.4632480950991</v>
      </c>
      <c r="Q7" s="19">
        <f>'[2]51000-0103'!J96</f>
        <v>1980.7086738681594</v>
      </c>
      <c r="R7" s="19">
        <f>'[2]51000-0103'!J104</f>
        <v>3332.85902047746</v>
      </c>
    </row>
    <row r="8" spans="2:22" x14ac:dyDescent="0.25">
      <c r="B8" s="83"/>
      <c r="C8" s="84"/>
      <c r="D8" s="85"/>
      <c r="E8" s="85"/>
      <c r="F8" t="s">
        <v>729</v>
      </c>
      <c r="G8" s="19">
        <f>G6-G7</f>
        <v>-505.45129780916977</v>
      </c>
      <c r="H8" s="19">
        <f t="shared" ref="H8:R8" si="0">H6-H7</f>
        <v>-534.38570580523401</v>
      </c>
      <c r="I8" s="19">
        <f t="shared" si="0"/>
        <v>-539.14847348425587</v>
      </c>
      <c r="J8" s="19">
        <f t="shared" si="0"/>
        <v>-313.23305309568013</v>
      </c>
      <c r="K8" s="19">
        <f t="shared" si="0"/>
        <v>-461.66406457230551</v>
      </c>
      <c r="L8" s="19">
        <f t="shared" si="0"/>
        <v>-730.3803292286384</v>
      </c>
      <c r="M8" s="19">
        <f t="shared" si="0"/>
        <v>-349.35488537826495</v>
      </c>
      <c r="N8" s="19">
        <f t="shared" si="0"/>
        <v>-602.99526026435001</v>
      </c>
      <c r="O8" s="19">
        <f t="shared" si="0"/>
        <v>-690.45888218960613</v>
      </c>
      <c r="P8" s="19">
        <f t="shared" si="0"/>
        <v>-259.57825401908235</v>
      </c>
      <c r="Q8" s="19">
        <f t="shared" si="0"/>
        <v>-121.05274209026015</v>
      </c>
      <c r="R8" s="19">
        <f t="shared" si="0"/>
        <v>-1057.674637058501</v>
      </c>
    </row>
    <row r="9" spans="2:22" x14ac:dyDescent="0.25">
      <c r="B9" s="83"/>
      <c r="C9" s="84"/>
      <c r="D9" s="85"/>
      <c r="E9" s="85"/>
      <c r="F9" t="s">
        <v>129</v>
      </c>
      <c r="G9" s="2">
        <f t="shared" ref="G9:R9" si="1">(G6/G7)*100</f>
        <v>77.151601559453951</v>
      </c>
      <c r="H9" s="2">
        <f t="shared" si="1"/>
        <v>75.836441191246024</v>
      </c>
      <c r="I9" s="2">
        <f t="shared" si="1"/>
        <v>73.782135304873051</v>
      </c>
      <c r="J9" s="2">
        <f t="shared" si="1"/>
        <v>81.285722913287316</v>
      </c>
      <c r="K9" s="2">
        <f t="shared" si="1"/>
        <v>76.357115744114466</v>
      </c>
      <c r="L9" s="2">
        <f t="shared" si="1"/>
        <v>68.655053910142826</v>
      </c>
      <c r="M9" s="2">
        <f t="shared" si="1"/>
        <v>80.147128219551632</v>
      </c>
      <c r="N9" s="2">
        <f t="shared" si="1"/>
        <v>74.34465442709255</v>
      </c>
      <c r="O9" s="2">
        <f t="shared" si="1"/>
        <v>68.580006317016554</v>
      </c>
      <c r="P9" s="2">
        <f t="shared" si="1"/>
        <v>83.941592589563712</v>
      </c>
      <c r="Q9" s="2">
        <f t="shared" si="1"/>
        <v>93.88841258245948</v>
      </c>
      <c r="R9" s="2">
        <f t="shared" si="1"/>
        <v>68.265245227595003</v>
      </c>
    </row>
    <row r="10" spans="2:22" x14ac:dyDescent="0.25">
      <c r="B10" s="83"/>
      <c r="C10" s="84"/>
      <c r="D10" s="85"/>
      <c r="E10" s="85"/>
    </row>
    <row r="11" spans="2:22" x14ac:dyDescent="0.25">
      <c r="B11" s="83"/>
      <c r="C11" s="84"/>
      <c r="D11" s="85"/>
      <c r="E11" s="85"/>
      <c r="F11" t="s">
        <v>130</v>
      </c>
      <c r="G11" s="19">
        <f>'[2]51000-0103'!$J$19</f>
        <v>1435.3033721061581</v>
      </c>
      <c r="H11" s="19">
        <f>'[2]51000-0103'!$J$27</f>
        <v>1431.948594712429</v>
      </c>
      <c r="I11" s="19">
        <f>'[2]51000-0103'!$J$35</f>
        <v>1303.1258271485472</v>
      </c>
      <c r="J11" s="19">
        <f>'[2]51000-0103'!$J$43</f>
        <v>1155.7234854504554</v>
      </c>
      <c r="K11" s="19">
        <f>'[2]51000-0103'!$J$51</f>
        <v>1269.2878265454083</v>
      </c>
      <c r="L11" s="19">
        <f>'[2]51000-0103'!$J$59</f>
        <v>1406.5007806614333</v>
      </c>
      <c r="M11" s="19">
        <f>'[2]51000-0103'!$J$67</f>
        <v>1215.6477758558453</v>
      </c>
      <c r="N11" s="19">
        <f>'[2]51000-0103'!$J$75</f>
        <v>1446.5356420068165</v>
      </c>
      <c r="O11" s="19">
        <f>'[2]51000-0103'!$J$83</f>
        <v>1379.7330076380465</v>
      </c>
      <c r="P11" s="19">
        <f>'[2]51000-0103'!$J$91</f>
        <v>1104.2855117199856</v>
      </c>
      <c r="Q11" s="19">
        <f>'[2]51000-0103'!$J$99</f>
        <v>1376.1834632227315</v>
      </c>
      <c r="R11" s="19">
        <f>'[2]51000-0103'!$J$107</f>
        <v>1846.9411603783847</v>
      </c>
    </row>
    <row r="12" spans="2:22" x14ac:dyDescent="0.25">
      <c r="B12" s="83"/>
      <c r="C12" s="84"/>
      <c r="D12" s="85"/>
      <c r="E12" s="85"/>
      <c r="F12" t="s">
        <v>729</v>
      </c>
      <c r="G12" s="19">
        <f>G6-G11</f>
        <v>271.4410738012723</v>
      </c>
      <c r="H12" s="19">
        <f t="shared" ref="H12:R12" si="2">H6-H11</f>
        <v>245.20130164552802</v>
      </c>
      <c r="I12" s="19">
        <f t="shared" si="2"/>
        <v>214.14211524894586</v>
      </c>
      <c r="J12" s="19">
        <f t="shared" si="2"/>
        <v>204.80863894008735</v>
      </c>
      <c r="K12" s="19">
        <f t="shared" si="2"/>
        <v>221.7035445547815</v>
      </c>
      <c r="L12" s="19">
        <f t="shared" si="2"/>
        <v>193.25634555439706</v>
      </c>
      <c r="M12" s="19">
        <f t="shared" si="2"/>
        <v>194.7169865919484</v>
      </c>
      <c r="N12" s="19">
        <f t="shared" si="2"/>
        <v>300.83798498765395</v>
      </c>
      <c r="O12" s="19">
        <f t="shared" si="2"/>
        <v>127.32249911873123</v>
      </c>
      <c r="P12" s="19">
        <f t="shared" si="2"/>
        <v>252.5994823560311</v>
      </c>
      <c r="Q12" s="19">
        <f t="shared" si="2"/>
        <v>483.47246855516778</v>
      </c>
      <c r="R12" s="19">
        <f t="shared" si="2"/>
        <v>428.24322304057432</v>
      </c>
    </row>
    <row r="13" spans="2:22" x14ac:dyDescent="0.25">
      <c r="B13" s="83"/>
      <c r="C13" s="84"/>
      <c r="D13" s="85"/>
      <c r="E13" s="85"/>
      <c r="F13" t="s">
        <v>131</v>
      </c>
      <c r="G13" s="19">
        <f>G6/G11*100</f>
        <v>118.91175615388967</v>
      </c>
      <c r="H13" s="19">
        <f t="shared" ref="H13:R13" si="3">H6/H11*100</f>
        <v>117.1236106205873</v>
      </c>
      <c r="I13" s="19">
        <f t="shared" si="3"/>
        <v>116.43295764596455</v>
      </c>
      <c r="J13" s="19">
        <f t="shared" si="3"/>
        <v>117.72124920177261</v>
      </c>
      <c r="K13" s="19">
        <f t="shared" si="3"/>
        <v>117.46676678986097</v>
      </c>
      <c r="L13" s="19">
        <f t="shared" si="3"/>
        <v>113.7402231276057</v>
      </c>
      <c r="M13" s="19">
        <f t="shared" si="3"/>
        <v>116.01754969319653</v>
      </c>
      <c r="N13" s="19">
        <f t="shared" si="3"/>
        <v>120.79713601597079</v>
      </c>
      <c r="O13" s="19">
        <f t="shared" si="3"/>
        <v>109.22805342873501</v>
      </c>
      <c r="P13" s="19">
        <f t="shared" si="3"/>
        <v>122.87447219719414</v>
      </c>
      <c r="Q13" s="19">
        <f t="shared" si="3"/>
        <v>135.13139646533588</v>
      </c>
      <c r="R13" s="19">
        <f t="shared" si="3"/>
        <v>123.18661970546152</v>
      </c>
    </row>
    <row r="14" spans="2:22" x14ac:dyDescent="0.25">
      <c r="B14" s="83"/>
      <c r="C14" s="84"/>
      <c r="D14" s="85"/>
      <c r="E14" s="85"/>
      <c r="G14" s="19"/>
      <c r="H14" s="19"/>
      <c r="I14" s="19"/>
      <c r="J14" s="19"/>
      <c r="K14" s="19"/>
      <c r="L14" s="19"/>
      <c r="M14" s="19"/>
      <c r="N14" s="19"/>
      <c r="O14" s="19"/>
      <c r="P14" s="19"/>
      <c r="Q14" s="19"/>
      <c r="R14" s="19"/>
    </row>
    <row r="15" spans="2:22" x14ac:dyDescent="0.25">
      <c r="B15" s="83"/>
      <c r="C15" s="84"/>
      <c r="D15" s="85"/>
      <c r="E15" s="85"/>
      <c r="F15" t="s">
        <v>132</v>
      </c>
      <c r="G15" s="19">
        <f>'[2]51000-0103'!$J$21</f>
        <v>1692.8558526423831</v>
      </c>
      <c r="H15" s="19">
        <f>'[2]51000-0103'!$J$29</f>
        <v>1683.0778812060209</v>
      </c>
      <c r="I15" s="19">
        <f>'[2]51000-0103'!$J$37</f>
        <v>1574.5796711169385</v>
      </c>
      <c r="J15" s="19">
        <f>'[2]51000-0103'!$J$45</f>
        <v>1348.5350455576076</v>
      </c>
      <c r="K15" s="19">
        <f>'[2]51000-0103'!$J$53</f>
        <v>1519.6999107678685</v>
      </c>
      <c r="L15" s="19">
        <f>'[2]51000-0103'!$J$61</f>
        <v>1783.20459953113</v>
      </c>
      <c r="M15" s="19">
        <f>'[2]51000-0103'!$J$69</f>
        <v>1449.7418496330765</v>
      </c>
      <c r="N15" s="19">
        <f>'[2]51000-0103'!$J$77</f>
        <v>1842.9538568073622</v>
      </c>
      <c r="O15" s="19">
        <f>'[2]51000-0103'!$J$85</f>
        <v>1814.7373652782023</v>
      </c>
      <c r="P15" s="19">
        <f>'[2]51000-0103'!$J$93</f>
        <v>1443.2457024813712</v>
      </c>
      <c r="Q15" s="19">
        <f>'[2]51000-0103'!$J$101</f>
        <v>1743.0979077988027</v>
      </c>
      <c r="R15" s="19">
        <f>'[2]51000-0103'!$J$109</f>
        <v>2661.9677249862079</v>
      </c>
    </row>
    <row r="16" spans="2:22" x14ac:dyDescent="0.25">
      <c r="B16" s="83"/>
      <c r="C16" s="84"/>
      <c r="D16" s="85"/>
      <c r="E16" s="85"/>
      <c r="F16" t="s">
        <v>729</v>
      </c>
      <c r="G16" s="19">
        <f>G6-G15</f>
        <v>13.888593265047348</v>
      </c>
      <c r="H16" s="19">
        <f t="shared" ref="H16:R16" si="4">H6-H15</f>
        <v>-5.927984848063943</v>
      </c>
      <c r="I16" s="19">
        <f t="shared" si="4"/>
        <v>-57.311728719445455</v>
      </c>
      <c r="J16" s="19">
        <f t="shared" si="4"/>
        <v>11.997078832935131</v>
      </c>
      <c r="K16" s="19">
        <f t="shared" si="4"/>
        <v>-28.708539667678679</v>
      </c>
      <c r="L16" s="19">
        <f t="shared" si="4"/>
        <v>-183.4474733152997</v>
      </c>
      <c r="M16" s="19">
        <f t="shared" si="4"/>
        <v>-39.37708718528279</v>
      </c>
      <c r="N16" s="19">
        <f t="shared" si="4"/>
        <v>-95.58022981289173</v>
      </c>
      <c r="O16" s="19">
        <f t="shared" si="4"/>
        <v>-307.6818585214246</v>
      </c>
      <c r="P16" s="19">
        <f t="shared" si="4"/>
        <v>-86.360708405354444</v>
      </c>
      <c r="Q16" s="19">
        <f t="shared" si="4"/>
        <v>116.55802397909656</v>
      </c>
      <c r="R16" s="19">
        <f t="shared" si="4"/>
        <v>-386.78334156724895</v>
      </c>
    </row>
    <row r="17" spans="2:18" x14ac:dyDescent="0.25">
      <c r="B17" s="83"/>
      <c r="C17" s="84"/>
      <c r="D17" s="85"/>
      <c r="E17" s="85"/>
      <c r="F17" t="s">
        <v>133</v>
      </c>
      <c r="G17" s="19"/>
      <c r="H17" s="19"/>
      <c r="I17" s="19"/>
      <c r="J17" s="19"/>
      <c r="K17" s="19"/>
      <c r="L17" s="19"/>
      <c r="M17" s="19"/>
      <c r="N17" s="19"/>
      <c r="O17" s="19"/>
      <c r="P17" s="19"/>
      <c r="Q17" s="19"/>
      <c r="R17" s="19"/>
    </row>
    <row r="18" spans="2:18" x14ac:dyDescent="0.25">
      <c r="B18" s="83"/>
      <c r="C18" s="84"/>
      <c r="D18" s="85"/>
      <c r="E18" s="85"/>
    </row>
    <row r="19" spans="2:18" x14ac:dyDescent="0.25">
      <c r="B19" s="83"/>
      <c r="C19" s="84"/>
      <c r="D19" s="85"/>
      <c r="E19" s="85"/>
      <c r="F19" t="s">
        <v>730</v>
      </c>
      <c r="G19" s="19">
        <f>'[2]51000-0103'!$I$16</f>
        <v>2162.3081042484828</v>
      </c>
      <c r="H19" s="19">
        <f>'[2]51000-0103'!$I$32</f>
        <v>2048.7577947507698</v>
      </c>
      <c r="I19" s="19">
        <f>'[2]51000-0103'!I32</f>
        <v>2048.7577947507698</v>
      </c>
      <c r="J19" s="19">
        <f>'[2]51000-0103'!I40</f>
        <v>1656.1286140539257</v>
      </c>
      <c r="K19" s="19">
        <f>'[2]51000-0103'!I48</f>
        <v>1870.2539709504799</v>
      </c>
      <c r="L19" s="19">
        <f>'[2]51000-0103'!I56</f>
        <v>2262.2215224750057</v>
      </c>
      <c r="M19" s="19">
        <f>'[2]51000-0103'!I64</f>
        <v>1748.2458203216859</v>
      </c>
      <c r="N19" s="19">
        <f>'[2]51000-0103'!I72</f>
        <v>2319.2996979527911</v>
      </c>
      <c r="O19" s="19">
        <f>'[2]51000-0103'!I80</f>
        <v>2198.0287713237076</v>
      </c>
      <c r="P19" s="19">
        <f>'[2]51000-0103'!I88</f>
        <v>1677.260247414803</v>
      </c>
      <c r="Q19" s="19">
        <f>'[2]51000-0103'!I96</f>
        <v>2062.8532898094991</v>
      </c>
      <c r="R19" s="19">
        <f>'[2]51000-0103'!I104</f>
        <v>3360.0740142526247</v>
      </c>
    </row>
    <row r="20" spans="2:18" x14ac:dyDescent="0.25">
      <c r="B20" s="83"/>
      <c r="C20" s="84"/>
      <c r="D20" s="85"/>
      <c r="E20" s="85"/>
      <c r="F20" t="s">
        <v>729</v>
      </c>
      <c r="G20" s="19">
        <f t="shared" ref="G20:R20" si="5">G6-G19</f>
        <v>-455.56365834105236</v>
      </c>
      <c r="H20" s="19">
        <f t="shared" si="5"/>
        <v>-371.60789839281279</v>
      </c>
      <c r="I20" s="19">
        <f t="shared" si="5"/>
        <v>-531.48985235327677</v>
      </c>
      <c r="J20" s="19">
        <f t="shared" si="5"/>
        <v>-295.59648966338295</v>
      </c>
      <c r="K20" s="19">
        <f t="shared" si="5"/>
        <v>-379.26259985029014</v>
      </c>
      <c r="L20" s="19">
        <f t="shared" si="5"/>
        <v>-662.46439625917537</v>
      </c>
      <c r="M20" s="19">
        <f t="shared" si="5"/>
        <v>-337.88105787389213</v>
      </c>
      <c r="N20" s="19">
        <f t="shared" si="5"/>
        <v>-571.92607095832068</v>
      </c>
      <c r="O20" s="19">
        <f t="shared" si="5"/>
        <v>-690.97326456692986</v>
      </c>
      <c r="P20" s="19">
        <f t="shared" si="5"/>
        <v>-320.37525333878625</v>
      </c>
      <c r="Q20" s="19">
        <f t="shared" si="5"/>
        <v>-203.19735803159983</v>
      </c>
      <c r="R20" s="19">
        <f t="shared" si="5"/>
        <v>-1084.8896308336657</v>
      </c>
    </row>
    <row r="21" spans="2:18" x14ac:dyDescent="0.25">
      <c r="B21" s="83"/>
      <c r="C21" s="84"/>
      <c r="D21" s="85"/>
      <c r="E21" s="85"/>
      <c r="F21" t="s">
        <v>134</v>
      </c>
      <c r="G21" s="2">
        <f t="shared" ref="G21:R21" si="6">(G6/G19)*100</f>
        <v>78.931602880923151</v>
      </c>
      <c r="H21" s="2">
        <f t="shared" si="6"/>
        <v>81.861794530084083</v>
      </c>
      <c r="I21" s="2">
        <f t="shared" si="6"/>
        <v>74.057946053211609</v>
      </c>
      <c r="J21" s="2">
        <f t="shared" si="6"/>
        <v>82.151356654613181</v>
      </c>
      <c r="K21" s="2">
        <f t="shared" si="6"/>
        <v>79.721331661841333</v>
      </c>
      <c r="L21" s="2">
        <f t="shared" si="6"/>
        <v>70.716201323449539</v>
      </c>
      <c r="M21" s="2">
        <f t="shared" si="6"/>
        <v>80.673137956553489</v>
      </c>
      <c r="N21" s="2">
        <f t="shared" si="6"/>
        <v>75.340570627282418</v>
      </c>
      <c r="O21" s="2">
        <f t="shared" si="6"/>
        <v>68.563957233789594</v>
      </c>
      <c r="P21" s="2">
        <f t="shared" si="6"/>
        <v>80.898894263273249</v>
      </c>
      <c r="Q21" s="2">
        <f t="shared" si="6"/>
        <v>90.149694162188098</v>
      </c>
      <c r="R21" s="2">
        <f t="shared" si="6"/>
        <v>67.712329364418011</v>
      </c>
    </row>
    <row r="22" spans="2:18" x14ac:dyDescent="0.25">
      <c r="B22" s="83"/>
      <c r="C22" s="84"/>
      <c r="D22" s="85"/>
      <c r="E22" s="85"/>
      <c r="G22" s="2"/>
      <c r="H22" s="2"/>
      <c r="I22" s="2"/>
      <c r="J22" s="2"/>
      <c r="K22" s="2"/>
      <c r="L22" s="2"/>
      <c r="M22" s="2"/>
      <c r="N22" s="2"/>
      <c r="O22" s="2"/>
      <c r="P22" s="2"/>
      <c r="Q22" s="2"/>
      <c r="R22" s="2"/>
    </row>
    <row r="23" spans="2:18" x14ac:dyDescent="0.25">
      <c r="B23" s="83"/>
      <c r="C23" s="84"/>
      <c r="D23" s="85"/>
      <c r="E23" s="85"/>
      <c r="F23" t="s">
        <v>135</v>
      </c>
      <c r="G23" s="19">
        <f>'[2]51000-0103'!$I$19</f>
        <v>1492.0732214550601</v>
      </c>
      <c r="H23" s="19">
        <f>'[2]51000-0103'!$I$27</f>
        <v>1458.9891380151703</v>
      </c>
      <c r="I23" s="19">
        <f>'[2]51000-0103'!$I$35</f>
        <v>1386.5986234611526</v>
      </c>
      <c r="J23" s="19">
        <f>'[2]51000-0103'!$I$43</f>
        <v>1224.5791525002073</v>
      </c>
      <c r="K23" s="19">
        <f>'[2]51000-0103'!$I$51</f>
        <v>1312.8577345783801</v>
      </c>
      <c r="L23" s="19">
        <f>'[2]51000-0103'!$I$59</f>
        <v>1448.4036739598253</v>
      </c>
      <c r="M23" s="19">
        <f>'[2]51000-0103'!$I$67</f>
        <v>1252.7085411999471</v>
      </c>
      <c r="N23" s="19">
        <f>'[2]51000-0103'!$I$75</f>
        <v>1535.8871460635582</v>
      </c>
      <c r="O23" s="19">
        <f>'[2]51000-0103'!$I$83</f>
        <v>1288.9957840316351</v>
      </c>
      <c r="P23" s="19">
        <f>'[2]51000-0103'!$I$91</f>
        <v>1146.3308161112568</v>
      </c>
      <c r="Q23" s="19">
        <f>'[2]51000-0103'!$I$99</f>
        <v>1645.8402801653765</v>
      </c>
      <c r="R23" s="19">
        <f>'[2]51000-0103'!$I$107</f>
        <v>2079.1852369241651</v>
      </c>
    </row>
    <row r="24" spans="2:18" x14ac:dyDescent="0.25">
      <c r="B24" s="83"/>
      <c r="C24" s="84"/>
      <c r="D24" s="85"/>
      <c r="E24" s="85"/>
      <c r="F24" t="s">
        <v>729</v>
      </c>
      <c r="G24" s="2">
        <f>G6-G23</f>
        <v>214.67122445237032</v>
      </c>
      <c r="H24" s="2">
        <f t="shared" ref="H24:R24" si="7">H6-H23</f>
        <v>218.16075834278672</v>
      </c>
      <c r="I24" s="2">
        <f t="shared" si="7"/>
        <v>130.66931893634046</v>
      </c>
      <c r="J24" s="2">
        <f t="shared" si="7"/>
        <v>135.95297189033545</v>
      </c>
      <c r="K24" s="2">
        <f t="shared" si="7"/>
        <v>178.13363652180965</v>
      </c>
      <c r="L24" s="2">
        <f t="shared" si="7"/>
        <v>151.35345225600508</v>
      </c>
      <c r="M24" s="2">
        <f t="shared" si="7"/>
        <v>157.65622124784659</v>
      </c>
      <c r="N24" s="2">
        <f t="shared" si="7"/>
        <v>211.48648093091219</v>
      </c>
      <c r="O24" s="2">
        <f t="shared" si="7"/>
        <v>218.05972272514259</v>
      </c>
      <c r="P24" s="2">
        <f t="shared" si="7"/>
        <v>210.5541779647599</v>
      </c>
      <c r="Q24" s="2">
        <f t="shared" si="7"/>
        <v>213.81565161252274</v>
      </c>
      <c r="R24" s="2">
        <f t="shared" si="7"/>
        <v>195.99914649479388</v>
      </c>
    </row>
    <row r="25" spans="2:18" x14ac:dyDescent="0.25">
      <c r="B25" s="83"/>
      <c r="C25" s="84"/>
      <c r="D25" s="85"/>
      <c r="E25" s="85"/>
      <c r="F25" t="s">
        <v>136</v>
      </c>
      <c r="G25" s="2"/>
      <c r="H25" s="2"/>
      <c r="I25" s="2"/>
      <c r="J25" s="2"/>
      <c r="K25" s="2"/>
      <c r="L25" s="2"/>
      <c r="M25" s="2"/>
      <c r="N25" s="2"/>
      <c r="O25" s="2"/>
      <c r="P25" s="2"/>
      <c r="Q25" s="2"/>
      <c r="R25" s="2"/>
    </row>
    <row r="26" spans="2:18" x14ac:dyDescent="0.25">
      <c r="B26" s="83"/>
      <c r="C26" s="84"/>
      <c r="D26" s="85"/>
      <c r="E26" s="85"/>
      <c r="G26" s="2"/>
      <c r="H26" s="2"/>
      <c r="I26" s="2"/>
      <c r="J26" s="2"/>
      <c r="K26" s="2"/>
      <c r="L26" s="2"/>
      <c r="M26" s="2"/>
      <c r="N26" s="2"/>
      <c r="O26" s="2"/>
      <c r="P26" s="2"/>
      <c r="Q26" s="2"/>
      <c r="R26" s="2"/>
    </row>
    <row r="27" spans="2:18" x14ac:dyDescent="0.25">
      <c r="B27" s="83"/>
      <c r="C27" s="84"/>
      <c r="D27" s="85"/>
      <c r="E27" s="85"/>
      <c r="F27" t="s">
        <v>137</v>
      </c>
      <c r="G27" s="19">
        <f>'[2]51000-0103'!$I$21</f>
        <v>1644.4810521366453</v>
      </c>
      <c r="H27" s="19">
        <f>'[2]51000-0103'!$I$29</f>
        <v>1596.8520725212454</v>
      </c>
      <c r="I27" s="19">
        <f>'[2]51000-0103'!$I$37</f>
        <v>1560.758300427022</v>
      </c>
      <c r="J27" s="19">
        <f>'[2]51000-0103'!$I$45</f>
        <v>1391.1224641135991</v>
      </c>
      <c r="K27" s="19">
        <f>'[2]51000-0103'!$I$53</f>
        <v>1612.4697397844786</v>
      </c>
      <c r="L27" s="19">
        <f>'[2]51000-0103'!$I$61</f>
        <v>1888.6609524442636</v>
      </c>
      <c r="M27" s="19">
        <f>'[2]51000-0103'!$I$69</f>
        <v>1531.9337770249379</v>
      </c>
      <c r="N27" s="19">
        <f>'[2]51000-0103'!$I$77</f>
        <v>1957.0159011939422</v>
      </c>
      <c r="O27" s="19">
        <f>'[2]51000-0103'!$I$85</f>
        <v>1710.9337560174254</v>
      </c>
      <c r="P27" s="19">
        <f>'[2]51000-0103'!$I$93</f>
        <v>1333.5927742682861</v>
      </c>
      <c r="Q27" s="19">
        <f>'[2]51000-0103'!$I$101</f>
        <v>1793.5224704996233</v>
      </c>
      <c r="R27" s="19">
        <f>'[2]51000-0103'!$I$109</f>
        <v>2436.4161527809233</v>
      </c>
    </row>
    <row r="28" spans="2:18" x14ac:dyDescent="0.25">
      <c r="B28" s="83"/>
      <c r="C28" s="84"/>
      <c r="D28" s="85"/>
      <c r="E28" s="85"/>
      <c r="F28" t="s">
        <v>729</v>
      </c>
      <c r="G28" s="2">
        <f>G6-G27</f>
        <v>62.263393770785115</v>
      </c>
      <c r="H28" s="2">
        <f t="shared" ref="H28:R28" si="8">H6-H27</f>
        <v>80.297823836711586</v>
      </c>
      <c r="I28" s="2">
        <f t="shared" si="8"/>
        <v>-43.490358029529034</v>
      </c>
      <c r="J28" s="2">
        <f t="shared" si="8"/>
        <v>-30.590339723056331</v>
      </c>
      <c r="K28" s="2">
        <f t="shared" si="8"/>
        <v>-121.47836868428885</v>
      </c>
      <c r="L28" s="2">
        <f t="shared" si="8"/>
        <v>-288.90382622843322</v>
      </c>
      <c r="M28" s="2">
        <f t="shared" si="8"/>
        <v>-121.56901457714412</v>
      </c>
      <c r="N28" s="2">
        <f t="shared" si="8"/>
        <v>-209.64227419947179</v>
      </c>
      <c r="O28" s="2">
        <f t="shared" si="8"/>
        <v>-203.87824926064764</v>
      </c>
      <c r="P28" s="2">
        <f t="shared" si="8"/>
        <v>23.292219807730589</v>
      </c>
      <c r="Q28" s="2">
        <f t="shared" si="8"/>
        <v>66.133461278275945</v>
      </c>
      <c r="R28" s="2">
        <f t="shared" si="8"/>
        <v>-161.23176936196433</v>
      </c>
    </row>
    <row r="29" spans="2:18" x14ac:dyDescent="0.25">
      <c r="B29" s="83"/>
      <c r="C29" s="84"/>
      <c r="D29" s="85"/>
      <c r="E29" s="85"/>
      <c r="F29" t="s">
        <v>138</v>
      </c>
      <c r="G29" s="2"/>
      <c r="H29" s="2"/>
      <c r="I29" s="2"/>
      <c r="J29" s="2"/>
      <c r="K29" s="2"/>
      <c r="L29" s="2"/>
      <c r="M29" s="2"/>
      <c r="N29" s="2"/>
      <c r="O29" s="2"/>
      <c r="P29" s="2"/>
      <c r="Q29" s="2"/>
      <c r="R29" s="2"/>
    </row>
    <row r="30" spans="2:18" x14ac:dyDescent="0.25">
      <c r="B30" s="83"/>
      <c r="D30" s="85"/>
      <c r="E30" s="85"/>
      <c r="G30" s="2"/>
      <c r="H30" s="2"/>
      <c r="I30" s="2"/>
      <c r="J30" s="2"/>
      <c r="K30" s="2"/>
      <c r="L30" s="2"/>
      <c r="M30" s="2"/>
      <c r="N30" s="2"/>
      <c r="O30" s="2"/>
      <c r="P30" s="2"/>
      <c r="Q30" s="2"/>
      <c r="R30" s="2"/>
    </row>
    <row r="31" spans="2:18" ht="15.75" x14ac:dyDescent="0.25">
      <c r="B31" s="83"/>
      <c r="C31" s="140" t="s">
        <v>732</v>
      </c>
      <c r="D31" s="141"/>
      <c r="E31" s="141"/>
      <c r="F31" s="142"/>
      <c r="G31" s="143" t="s">
        <v>733</v>
      </c>
    </row>
    <row r="32" spans="2:18" x14ac:dyDescent="0.25">
      <c r="B32" s="83"/>
      <c r="C32" s="145" t="s">
        <v>734</v>
      </c>
      <c r="D32" s="145"/>
      <c r="E32" s="145"/>
      <c r="F32" s="145"/>
      <c r="G32" s="146">
        <f>CORREL(G6:R6,G7:R7)</f>
        <v>0.89394607978238616</v>
      </c>
      <c r="H32" s="2"/>
      <c r="I32" s="2"/>
      <c r="J32" s="2"/>
      <c r="K32" s="2"/>
      <c r="L32" s="2"/>
      <c r="M32" s="2"/>
      <c r="N32" s="2"/>
      <c r="O32" s="2"/>
      <c r="P32" s="2"/>
      <c r="Q32" s="2"/>
      <c r="R32" s="2"/>
    </row>
    <row r="33" spans="2:18" x14ac:dyDescent="0.25">
      <c r="B33" s="83"/>
      <c r="C33" s="145" t="s">
        <v>736</v>
      </c>
      <c r="D33" s="145"/>
      <c r="E33" s="145"/>
      <c r="F33" s="145"/>
      <c r="G33" s="146">
        <f>CORREL(G6:R6,G19:R19)</f>
        <v>0.91153741416136758</v>
      </c>
      <c r="H33" s="2"/>
      <c r="I33" s="2"/>
      <c r="J33" s="2"/>
      <c r="K33" s="2"/>
      <c r="L33" s="2"/>
      <c r="M33" s="2"/>
      <c r="N33" s="2"/>
      <c r="O33" s="2"/>
      <c r="P33" s="2"/>
      <c r="Q33" s="2"/>
      <c r="R33" s="2"/>
    </row>
    <row r="34" spans="2:18" x14ac:dyDescent="0.25">
      <c r="B34" s="83"/>
      <c r="C34" s="145" t="s">
        <v>735</v>
      </c>
      <c r="D34" s="145"/>
      <c r="E34" s="145"/>
      <c r="F34" s="145"/>
      <c r="G34" s="146">
        <f>CORREL(G6:R6,G11:R11)</f>
        <v>0.94264017692187774</v>
      </c>
      <c r="H34" s="2"/>
      <c r="I34" s="2"/>
      <c r="J34" s="2"/>
      <c r="K34" s="2"/>
      <c r="L34" s="2"/>
      <c r="M34" s="2"/>
      <c r="N34" s="2"/>
      <c r="O34" s="2"/>
      <c r="P34" s="2"/>
      <c r="Q34" s="2"/>
      <c r="R34" s="2"/>
    </row>
    <row r="35" spans="2:18" x14ac:dyDescent="0.25">
      <c r="B35" s="83"/>
      <c r="C35" s="145" t="s">
        <v>821</v>
      </c>
      <c r="D35" s="145"/>
      <c r="E35" s="145"/>
      <c r="F35" s="145"/>
      <c r="G35" s="146">
        <f>CORREL(G6:R6,G23:R23)</f>
        <v>0.99196025378588648</v>
      </c>
      <c r="H35" s="2"/>
      <c r="I35" s="2"/>
      <c r="J35" s="2"/>
      <c r="K35" s="2"/>
      <c r="L35" s="2"/>
      <c r="M35" s="2"/>
      <c r="N35" s="2"/>
      <c r="O35" s="2"/>
      <c r="P35" s="2"/>
      <c r="Q35" s="2"/>
      <c r="R35" s="2"/>
    </row>
    <row r="36" spans="2:18" x14ac:dyDescent="0.25">
      <c r="B36" s="83"/>
      <c r="C36" s="142" t="s">
        <v>738</v>
      </c>
      <c r="D36" s="142"/>
      <c r="E36" s="142"/>
      <c r="F36" s="142"/>
      <c r="G36" s="144">
        <f>CORREL(G6:R6,G15:R15)</f>
        <v>0.92200963525262269</v>
      </c>
    </row>
    <row r="37" spans="2:18" x14ac:dyDescent="0.25">
      <c r="C37" s="142" t="s">
        <v>737</v>
      </c>
      <c r="D37" s="142"/>
      <c r="E37" s="142"/>
      <c r="F37" s="142"/>
      <c r="G37" s="144">
        <f>CORREL(G6:R6,G27:R27)</f>
        <v>0.90814157828293429</v>
      </c>
    </row>
  </sheetData>
  <pageMargins left="0.7" right="0.7" top="0.78740157499999996" bottom="0.78740157499999996"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15"/>
  <sheetViews>
    <sheetView zoomScaleNormal="100" workbookViewId="0">
      <pane xSplit="2" ySplit="9" topLeftCell="C91" activePane="bottomRight" state="frozen"/>
      <selection activeCell="N27" sqref="N27"/>
      <selection pane="topRight" activeCell="N27" sqref="N27"/>
      <selection pane="bottomLeft" activeCell="N27" sqref="N27"/>
      <selection pane="bottomRight" activeCell="A2" sqref="A2"/>
    </sheetView>
  </sheetViews>
  <sheetFormatPr baseColWidth="10" defaultColWidth="12.7109375" defaultRowHeight="15" x14ac:dyDescent="0.25"/>
  <cols>
    <col min="1" max="1" width="13.7109375" style="27" customWidth="1"/>
    <col min="2" max="2" width="47" style="27" customWidth="1"/>
    <col min="3" max="3" width="12.28515625" style="39" customWidth="1"/>
    <col min="4" max="4" width="8.85546875" style="39" customWidth="1"/>
    <col min="5" max="5" width="11" style="27" customWidth="1"/>
    <col min="6" max="6" width="13.42578125" style="39" customWidth="1"/>
    <col min="7" max="7" width="11.28515625" style="39" customWidth="1"/>
    <col min="8" max="10" width="12.7109375" style="27"/>
    <col min="11" max="11" width="9.140625" style="27" customWidth="1"/>
    <col min="12" max="12" width="13.42578125" style="27" customWidth="1"/>
    <col min="13" max="13" width="14.85546875" style="27" customWidth="1"/>
    <col min="14" max="14" width="14.7109375" style="129" customWidth="1"/>
    <col min="15" max="15" width="0.140625" style="27" customWidth="1"/>
    <col min="16" max="16" width="9" style="129" customWidth="1"/>
    <col min="17" max="17" width="12.42578125" style="27" customWidth="1"/>
    <col min="18" max="18" width="15.140625" style="41" customWidth="1"/>
    <col min="19" max="19" width="14" style="27" customWidth="1"/>
    <col min="20" max="20" width="12.7109375" style="27"/>
    <col min="21" max="21" width="14.85546875" style="27" customWidth="1"/>
    <col min="22" max="22" width="15.140625" style="27" customWidth="1"/>
    <col min="23" max="23" width="12.7109375" style="27"/>
    <col min="24" max="24" width="13.5703125" style="27" customWidth="1"/>
    <col min="26" max="16384" width="12.7109375" style="27"/>
  </cols>
  <sheetData>
    <row r="1" spans="1:31" s="56" customFormat="1" x14ac:dyDescent="0.25">
      <c r="B1" s="80"/>
      <c r="C1" s="57"/>
      <c r="D1" s="57"/>
      <c r="F1" s="57"/>
      <c r="G1" s="57"/>
      <c r="N1" s="129"/>
      <c r="P1" s="129"/>
      <c r="Y1"/>
    </row>
    <row r="2" spans="1:31" s="56" customFormat="1" ht="21" x14ac:dyDescent="0.35">
      <c r="A2" s="147" t="s">
        <v>739</v>
      </c>
      <c r="B2" s="80"/>
      <c r="C2" s="57"/>
      <c r="D2" s="57"/>
      <c r="F2" s="57"/>
      <c r="G2" s="57"/>
      <c r="N2" s="129"/>
      <c r="P2" s="129"/>
      <c r="Y2"/>
    </row>
    <row r="3" spans="1:31" s="56" customFormat="1" x14ac:dyDescent="0.25">
      <c r="C3" s="57"/>
      <c r="D3" s="57"/>
      <c r="F3" s="57"/>
      <c r="G3" s="57"/>
      <c r="N3" s="129"/>
      <c r="P3" s="129"/>
      <c r="Y3"/>
    </row>
    <row r="4" spans="1:31" s="56" customFormat="1" x14ac:dyDescent="0.25">
      <c r="C4" s="57"/>
      <c r="D4" s="57"/>
      <c r="F4" s="57"/>
      <c r="G4" s="57"/>
      <c r="N4" s="129"/>
      <c r="P4" s="129"/>
      <c r="Y4"/>
    </row>
    <row r="5" spans="1:31" ht="30" customHeight="1" x14ac:dyDescent="0.25">
      <c r="A5" s="178" t="s">
        <v>139</v>
      </c>
      <c r="B5" s="176"/>
      <c r="C5" s="177"/>
      <c r="D5" s="177"/>
      <c r="E5" s="176"/>
      <c r="F5" s="177"/>
      <c r="G5" s="177"/>
      <c r="H5" s="176"/>
    </row>
    <row r="6" spans="1:31" ht="15" customHeight="1" thickBot="1" x14ac:dyDescent="0.3">
      <c r="A6" s="178" t="s">
        <v>140</v>
      </c>
      <c r="B6" s="176"/>
      <c r="C6" s="177"/>
      <c r="D6" s="177"/>
      <c r="E6" s="176"/>
      <c r="F6" s="177"/>
      <c r="G6" s="177"/>
      <c r="H6" s="176"/>
    </row>
    <row r="7" spans="1:31" ht="3" hidden="1" customHeight="1" thickBot="1" x14ac:dyDescent="0.3">
      <c r="A7" s="178" t="s">
        <v>141</v>
      </c>
      <c r="B7" s="176"/>
      <c r="C7" s="177"/>
      <c r="D7" s="177"/>
      <c r="E7" s="176"/>
      <c r="F7" s="177"/>
      <c r="G7" s="177"/>
      <c r="H7" s="176"/>
    </row>
    <row r="8" spans="1:31" ht="66.75" customHeight="1" thickBot="1" x14ac:dyDescent="0.3">
      <c r="A8" s="179" t="s">
        <v>142</v>
      </c>
      <c r="B8" s="180"/>
      <c r="C8" s="28" t="s">
        <v>742</v>
      </c>
      <c r="D8" s="28" t="s">
        <v>743</v>
      </c>
      <c r="E8" s="28" t="s">
        <v>744</v>
      </c>
      <c r="F8" s="28" t="s">
        <v>741</v>
      </c>
      <c r="G8" s="28" t="s">
        <v>740</v>
      </c>
      <c r="H8" s="28" t="s">
        <v>745</v>
      </c>
      <c r="I8" s="28" t="s">
        <v>143</v>
      </c>
      <c r="J8" s="28" t="s">
        <v>144</v>
      </c>
      <c r="L8" s="42" t="s">
        <v>753</v>
      </c>
      <c r="M8" s="42" t="s">
        <v>754</v>
      </c>
      <c r="N8" s="42" t="s">
        <v>752</v>
      </c>
      <c r="O8" s="42" t="s">
        <v>746</v>
      </c>
      <c r="P8" s="42" t="s">
        <v>751</v>
      </c>
      <c r="Q8" s="42" t="s">
        <v>750</v>
      </c>
      <c r="R8" s="42" t="s">
        <v>145</v>
      </c>
      <c r="S8" s="42" t="s">
        <v>747</v>
      </c>
      <c r="T8" s="43" t="s">
        <v>748</v>
      </c>
      <c r="U8" s="42" t="s">
        <v>749</v>
      </c>
      <c r="V8" s="43" t="s">
        <v>755</v>
      </c>
      <c r="W8" s="42" t="s">
        <v>756</v>
      </c>
      <c r="X8" s="30"/>
      <c r="AA8" s="29"/>
      <c r="AB8" s="29"/>
      <c r="AC8" s="29"/>
      <c r="AD8" s="29"/>
      <c r="AE8" s="29"/>
    </row>
    <row r="9" spans="1:31" ht="22.5" customHeight="1" thickBot="1" x14ac:dyDescent="0.3">
      <c r="A9" s="180"/>
      <c r="B9" s="180"/>
      <c r="C9" s="28" t="s">
        <v>146</v>
      </c>
      <c r="D9" s="28" t="s">
        <v>147</v>
      </c>
      <c r="E9" s="28" t="s">
        <v>148</v>
      </c>
      <c r="F9" s="28" t="s">
        <v>149</v>
      </c>
      <c r="G9" s="28" t="s">
        <v>150</v>
      </c>
      <c r="H9" s="28" t="s">
        <v>151</v>
      </c>
      <c r="I9" s="28" t="s">
        <v>152</v>
      </c>
      <c r="J9" s="28" t="s">
        <v>153</v>
      </c>
      <c r="L9" s="44"/>
      <c r="M9" s="44"/>
      <c r="N9" s="44"/>
      <c r="O9" s="44"/>
      <c r="P9" s="44"/>
      <c r="Q9" s="44"/>
      <c r="R9" s="44"/>
      <c r="S9" s="44"/>
      <c r="T9" s="45"/>
      <c r="U9" s="44"/>
      <c r="V9" s="45"/>
      <c r="W9" s="44"/>
      <c r="X9" s="31"/>
    </row>
    <row r="10" spans="1:31" ht="33.75" customHeight="1" x14ac:dyDescent="0.25">
      <c r="A10" s="175" t="s">
        <v>154</v>
      </c>
      <c r="B10" s="176"/>
      <c r="C10" s="177"/>
      <c r="D10" s="177"/>
      <c r="E10" s="176"/>
      <c r="F10" s="177"/>
      <c r="G10" s="177"/>
      <c r="H10" s="176"/>
      <c r="L10" s="44"/>
      <c r="M10" s="44"/>
      <c r="N10" s="44"/>
      <c r="O10" s="44"/>
      <c r="P10" s="44"/>
      <c r="Q10" s="44"/>
      <c r="R10" s="44"/>
      <c r="S10" s="44"/>
      <c r="T10" s="45"/>
      <c r="U10" s="44"/>
      <c r="V10" s="45"/>
      <c r="W10" s="44"/>
      <c r="X10" s="31"/>
    </row>
    <row r="11" spans="1:31" x14ac:dyDescent="0.25">
      <c r="A11" s="32" t="s">
        <v>155</v>
      </c>
      <c r="B11" s="33" t="s">
        <v>156</v>
      </c>
      <c r="C11" s="34">
        <v>20585</v>
      </c>
      <c r="D11" s="34">
        <v>1916.8</v>
      </c>
      <c r="E11" s="34">
        <v>8334</v>
      </c>
      <c r="F11" s="34">
        <v>102628</v>
      </c>
      <c r="G11" s="34">
        <v>8458.5</v>
      </c>
      <c r="H11" s="34">
        <v>22986</v>
      </c>
      <c r="L11" s="46"/>
      <c r="M11" s="44"/>
      <c r="N11" s="44"/>
      <c r="O11" s="44"/>
      <c r="P11" s="44"/>
      <c r="Q11" s="44"/>
      <c r="R11" s="44">
        <v>30</v>
      </c>
      <c r="S11" s="148">
        <f>R11*N12*Q12</f>
        <v>4456.6887598562753</v>
      </c>
      <c r="T11" s="48">
        <f>S11*F11/1000000</f>
        <v>457.38105404652981</v>
      </c>
      <c r="U11" s="46"/>
      <c r="V11" s="48">
        <f>T11/U12*100</f>
        <v>6.2335816943631945</v>
      </c>
      <c r="W11" s="44"/>
      <c r="X11" s="31"/>
    </row>
    <row r="12" spans="1:31" x14ac:dyDescent="0.25">
      <c r="A12" s="32" t="s">
        <v>157</v>
      </c>
      <c r="B12" s="33" t="s">
        <v>158</v>
      </c>
      <c r="C12" s="34">
        <v>1776403</v>
      </c>
      <c r="D12" s="34">
        <v>42953.1</v>
      </c>
      <c r="E12" s="34">
        <v>78921</v>
      </c>
      <c r="F12" s="34">
        <v>8389849</v>
      </c>
      <c r="G12" s="34">
        <v>227877.1</v>
      </c>
      <c r="H12" s="34">
        <v>404765</v>
      </c>
      <c r="I12" s="61">
        <f>SUM(E11:E12)*0.9/SUM(D11:D12)*1000</f>
        <v>1750.1599067526336</v>
      </c>
      <c r="J12" s="61">
        <f>SUM(H11:H12)/SUM(G11:G12)*1000</f>
        <v>1809.9304548277958</v>
      </c>
      <c r="L12" s="46">
        <f>(G12*1000)/F12</f>
        <v>27.161049024839421</v>
      </c>
      <c r="M12" s="46">
        <f>'[5]Gewicht Schweine'!$M$10</f>
        <v>94.01539937218763</v>
      </c>
      <c r="N12" s="46">
        <f>M12/0.77</f>
        <v>122.09792126258134</v>
      </c>
      <c r="O12" s="46">
        <f>M12-L12</f>
        <v>66.854350347348202</v>
      </c>
      <c r="P12" s="46">
        <f>N12-L12</f>
        <v>94.936872237741909</v>
      </c>
      <c r="Q12" s="46">
        <f>(W12/1000)/1.23</f>
        <v>1.2166979622505367</v>
      </c>
      <c r="R12" s="46"/>
      <c r="S12" s="46">
        <f>Q12*P12</f>
        <v>115.50949899410013</v>
      </c>
      <c r="T12" s="49">
        <f>S12*(F12*0.97)/1000000</f>
        <v>940.03403698736724</v>
      </c>
      <c r="U12" s="47">
        <f>'[6]2011'!$H$1007</f>
        <v>7337.3716183125216</v>
      </c>
      <c r="V12" s="50">
        <f>T12/U12*100</f>
        <v>12.811590933206135</v>
      </c>
      <c r="W12" s="47">
        <f>'[6]2011'!$F$985</f>
        <v>1496.53849356816</v>
      </c>
      <c r="X12" s="37"/>
      <c r="AB12" s="35"/>
    </row>
    <row r="13" spans="1:31" x14ac:dyDescent="0.25">
      <c r="A13" s="32" t="s">
        <v>159</v>
      </c>
      <c r="B13" s="33" t="s">
        <v>160</v>
      </c>
      <c r="C13" s="34" t="s">
        <v>161</v>
      </c>
      <c r="D13" s="34" t="s">
        <v>162</v>
      </c>
      <c r="E13" s="34" t="s">
        <v>163</v>
      </c>
      <c r="F13" s="34" t="s">
        <v>164</v>
      </c>
      <c r="G13" s="34" t="s">
        <v>165</v>
      </c>
      <c r="H13" s="34" t="s">
        <v>166</v>
      </c>
      <c r="L13" s="46"/>
      <c r="M13" s="44"/>
      <c r="N13" s="44"/>
      <c r="O13" s="44"/>
      <c r="P13" s="44"/>
      <c r="Q13" s="44"/>
      <c r="R13" s="44"/>
      <c r="S13" s="44"/>
      <c r="T13" s="51">
        <f>T11+T12</f>
        <v>1397.4150910338972</v>
      </c>
      <c r="U13" s="47"/>
      <c r="V13" s="48">
        <f>V12+V11</f>
        <v>19.045172627569329</v>
      </c>
      <c r="W13" s="47"/>
      <c r="X13" s="31"/>
    </row>
    <row r="14" spans="1:31" x14ac:dyDescent="0.25">
      <c r="A14" s="32" t="s">
        <v>167</v>
      </c>
      <c r="B14" s="33" t="s">
        <v>168</v>
      </c>
      <c r="C14" s="34">
        <v>2719</v>
      </c>
      <c r="D14" s="34">
        <v>469.6</v>
      </c>
      <c r="E14" s="34">
        <v>750</v>
      </c>
      <c r="F14" s="34">
        <v>172841</v>
      </c>
      <c r="G14" s="34">
        <v>34113.1</v>
      </c>
      <c r="H14" s="34">
        <v>31359</v>
      </c>
      <c r="I14" s="36"/>
      <c r="J14" s="36"/>
      <c r="L14" s="46"/>
      <c r="M14" s="44"/>
      <c r="N14" s="44"/>
      <c r="O14" s="44"/>
      <c r="P14" s="44"/>
      <c r="Q14" s="44"/>
      <c r="R14" s="44"/>
      <c r="S14" s="44"/>
      <c r="T14" s="45"/>
      <c r="U14" s="47"/>
      <c r="V14" s="45"/>
      <c r="W14" s="47"/>
      <c r="X14" s="31"/>
    </row>
    <row r="15" spans="1:31" x14ac:dyDescent="0.25">
      <c r="A15" s="32" t="s">
        <v>169</v>
      </c>
      <c r="B15" s="33" t="s">
        <v>170</v>
      </c>
      <c r="C15" s="34">
        <v>1056529</v>
      </c>
      <c r="D15" s="34">
        <v>107687</v>
      </c>
      <c r="E15" s="34">
        <v>153179</v>
      </c>
      <c r="F15" s="34">
        <v>4472673</v>
      </c>
      <c r="G15" s="34">
        <v>461180.9</v>
      </c>
      <c r="H15" s="34">
        <v>625633</v>
      </c>
      <c r="I15" s="36">
        <f>SUM(E14:E15)*0.9/SUM(D14:D15)*1000</f>
        <v>1280.884384309418</v>
      </c>
      <c r="J15" s="36">
        <f>SUM(H14:H15)/SUM(G14:G15)*1000</f>
        <v>1326.468723626775</v>
      </c>
      <c r="L15" s="46"/>
      <c r="M15" s="44"/>
      <c r="N15" s="44"/>
      <c r="O15" s="44"/>
      <c r="P15" s="44"/>
      <c r="Q15" s="44"/>
      <c r="R15" s="44"/>
      <c r="S15" s="44"/>
      <c r="T15" s="45"/>
      <c r="U15" s="47"/>
      <c r="V15" s="45"/>
      <c r="W15" s="47"/>
      <c r="X15" s="31"/>
    </row>
    <row r="16" spans="1:31" x14ac:dyDescent="0.25">
      <c r="A16" s="161" t="s">
        <v>171</v>
      </c>
      <c r="B16" s="162" t="s">
        <v>172</v>
      </c>
      <c r="C16" s="164" t="s">
        <v>173</v>
      </c>
      <c r="D16" s="164" t="s">
        <v>174</v>
      </c>
      <c r="E16" s="164" t="s">
        <v>175</v>
      </c>
      <c r="F16" s="164" t="s">
        <v>176</v>
      </c>
      <c r="G16" s="164" t="s">
        <v>177</v>
      </c>
      <c r="H16" s="164" t="s">
        <v>178</v>
      </c>
      <c r="I16" s="117"/>
      <c r="J16" s="117"/>
      <c r="L16" s="46"/>
      <c r="M16" s="44"/>
      <c r="N16" s="44"/>
      <c r="O16" s="44"/>
      <c r="P16" s="44"/>
      <c r="Q16" s="44"/>
      <c r="R16" s="44"/>
      <c r="S16" s="44"/>
      <c r="T16" s="45"/>
      <c r="U16" s="47"/>
      <c r="V16" s="45"/>
      <c r="W16" s="47"/>
      <c r="X16" s="31"/>
    </row>
    <row r="17" spans="1:25" ht="12.75" x14ac:dyDescent="0.2">
      <c r="A17" s="32"/>
      <c r="B17" s="38" t="s">
        <v>179</v>
      </c>
      <c r="C17" s="34">
        <f>SUM(C11:C15)</f>
        <v>2856236</v>
      </c>
      <c r="D17" s="34">
        <f t="shared" ref="D17:H17" si="0">SUM(D11:D15)</f>
        <v>153026.5</v>
      </c>
      <c r="E17" s="34">
        <f t="shared" si="0"/>
        <v>241184</v>
      </c>
      <c r="F17" s="34">
        <f t="shared" si="0"/>
        <v>13137991</v>
      </c>
      <c r="G17" s="34">
        <f t="shared" si="0"/>
        <v>731629.60000000009</v>
      </c>
      <c r="H17" s="34">
        <f t="shared" si="0"/>
        <v>1084743</v>
      </c>
      <c r="I17" s="167">
        <f>E17*0.9/D17*1000</f>
        <v>1418.4837266747916</v>
      </c>
      <c r="J17" s="167">
        <f>H17/G17*1000</f>
        <v>1482.6395760915084</v>
      </c>
      <c r="L17" s="46"/>
      <c r="M17" s="44"/>
      <c r="N17" s="44"/>
      <c r="O17" s="44"/>
      <c r="P17" s="44"/>
      <c r="Q17" s="44"/>
      <c r="R17" s="44"/>
      <c r="S17" s="44"/>
      <c r="T17" s="45"/>
      <c r="U17" s="47"/>
      <c r="V17" s="45"/>
      <c r="W17" s="47"/>
      <c r="X17" s="31"/>
      <c r="Y17" s="27"/>
    </row>
    <row r="18" spans="1:25" ht="33.75" customHeight="1" x14ac:dyDescent="0.25">
      <c r="A18" s="175" t="s">
        <v>180</v>
      </c>
      <c r="B18" s="176"/>
      <c r="C18" s="177"/>
      <c r="D18" s="177"/>
      <c r="E18" s="176"/>
      <c r="F18" s="177"/>
      <c r="G18" s="177"/>
      <c r="H18" s="176"/>
      <c r="L18" s="44"/>
      <c r="M18" s="44"/>
      <c r="N18" s="44"/>
      <c r="O18" s="44"/>
      <c r="P18" s="44"/>
      <c r="Q18" s="44"/>
      <c r="R18" s="44"/>
      <c r="S18" s="44"/>
      <c r="T18" s="45"/>
      <c r="U18" s="44"/>
      <c r="V18" s="45"/>
      <c r="W18" s="47"/>
      <c r="X18" s="31"/>
    </row>
    <row r="19" spans="1:25" x14ac:dyDescent="0.25">
      <c r="A19" s="32" t="s">
        <v>181</v>
      </c>
      <c r="B19" s="33" t="s">
        <v>182</v>
      </c>
      <c r="C19" s="34">
        <v>7274</v>
      </c>
      <c r="D19" s="34">
        <v>669.3</v>
      </c>
      <c r="E19" s="34">
        <v>3298</v>
      </c>
      <c r="F19" s="34">
        <v>89106</v>
      </c>
      <c r="G19" s="34">
        <v>6872.5</v>
      </c>
      <c r="H19" s="34">
        <v>22467</v>
      </c>
      <c r="L19" s="46"/>
      <c r="M19" s="44"/>
      <c r="N19" s="44"/>
      <c r="O19" s="44"/>
      <c r="P19" s="44"/>
      <c r="Q19" s="44"/>
      <c r="R19" s="44">
        <v>30</v>
      </c>
      <c r="S19" s="148">
        <f t="shared" ref="S19" si="1">R19*N20*Q20</f>
        <v>5034.0797530431901</v>
      </c>
      <c r="T19" s="48">
        <f>S19*F19/1000000</f>
        <v>448.56671047466648</v>
      </c>
      <c r="U19" s="46"/>
      <c r="V19" s="48">
        <f>T19/U20*100</f>
        <v>5.2387323362967058</v>
      </c>
      <c r="W19" s="47"/>
      <c r="X19" s="31"/>
    </row>
    <row r="20" spans="1:25" x14ac:dyDescent="0.25">
      <c r="A20" s="32" t="s">
        <v>183</v>
      </c>
      <c r="B20" s="33" t="s">
        <v>184</v>
      </c>
      <c r="C20" s="34">
        <v>1856575</v>
      </c>
      <c r="D20" s="34">
        <v>46387.5</v>
      </c>
      <c r="E20" s="34">
        <v>109759</v>
      </c>
      <c r="F20" s="34">
        <v>9478858</v>
      </c>
      <c r="G20" s="34">
        <v>247321.1</v>
      </c>
      <c r="H20" s="34">
        <v>539859</v>
      </c>
      <c r="I20" s="61">
        <f t="shared" ref="I20" si="2">SUM(E19:E20)*0.9/SUM(D19:D20)*1000</f>
        <v>2162.3081042484828</v>
      </c>
      <c r="J20" s="61">
        <f t="shared" ref="J20" si="3">SUM(H19:H20)/SUM(G19:G20)*1000</f>
        <v>2212.1957437166002</v>
      </c>
      <c r="L20" s="46">
        <f t="shared" ref="L20" si="4">(G20*1000)/F20</f>
        <v>26.091866762852657</v>
      </c>
      <c r="M20" s="46">
        <f>'[5]Gewicht Schweine'!$M$11</f>
        <v>93.788037000941614</v>
      </c>
      <c r="N20" s="46">
        <f t="shared" ref="N20" si="5">M20/0.77</f>
        <v>121.80264545576833</v>
      </c>
      <c r="O20" s="46">
        <f>M20-L20</f>
        <v>67.696170238088953</v>
      </c>
      <c r="P20" s="46">
        <f t="shared" ref="P20" si="6">N20-L20</f>
        <v>95.710778692915667</v>
      </c>
      <c r="Q20" s="46">
        <f t="shared" ref="Q20" si="7">(W20/1000)/1.23</f>
        <v>1.3776602126076909</v>
      </c>
      <c r="R20" s="46"/>
      <c r="S20" s="46">
        <f t="shared" ref="S20" si="8">Q20*P20</f>
        <v>131.85693172292986</v>
      </c>
      <c r="T20" s="49">
        <f>S20*(F20*0.97)/1000000</f>
        <v>1212.3575381538269</v>
      </c>
      <c r="U20" s="47">
        <f>'[6]2012'!$H$1007</f>
        <v>8562.5048519230368</v>
      </c>
      <c r="V20" s="50">
        <f>T20/U20*100</f>
        <v>14.158912130502863</v>
      </c>
      <c r="W20" s="47">
        <f>'[6]2012'!$F$985</f>
        <v>1694.52206150746</v>
      </c>
      <c r="X20" s="37"/>
    </row>
    <row r="21" spans="1:25" x14ac:dyDescent="0.25">
      <c r="A21" s="32" t="s">
        <v>185</v>
      </c>
      <c r="B21" s="33" t="s">
        <v>186</v>
      </c>
      <c r="C21" s="34" t="s">
        <v>187</v>
      </c>
      <c r="D21" s="34" t="s">
        <v>188</v>
      </c>
      <c r="E21" s="34" t="s">
        <v>189</v>
      </c>
      <c r="F21" s="34" t="s">
        <v>190</v>
      </c>
      <c r="G21" s="34" t="s">
        <v>191</v>
      </c>
      <c r="H21" s="34" t="s">
        <v>192</v>
      </c>
      <c r="L21" s="46"/>
      <c r="M21" s="44"/>
      <c r="N21" s="44"/>
      <c r="O21" s="44"/>
      <c r="P21" s="44"/>
      <c r="Q21" s="44"/>
      <c r="R21" s="44"/>
      <c r="S21" s="44"/>
      <c r="T21" s="51">
        <f>T19+T20</f>
        <v>1660.9242486284934</v>
      </c>
      <c r="U21" s="47"/>
      <c r="V21" s="48">
        <f>V20+V19</f>
        <v>19.397644466799569</v>
      </c>
      <c r="W21" s="47"/>
      <c r="X21" s="31"/>
    </row>
    <row r="22" spans="1:25" x14ac:dyDescent="0.25">
      <c r="A22" s="32" t="s">
        <v>193</v>
      </c>
      <c r="B22" s="33" t="s">
        <v>194</v>
      </c>
      <c r="C22" s="34">
        <v>60</v>
      </c>
      <c r="D22" s="34">
        <v>11.3</v>
      </c>
      <c r="E22" s="34">
        <v>14</v>
      </c>
      <c r="F22" s="34">
        <v>129364</v>
      </c>
      <c r="G22" s="34">
        <v>24570</v>
      </c>
      <c r="H22" s="34">
        <v>28813</v>
      </c>
      <c r="I22" s="36"/>
      <c r="J22" s="36"/>
      <c r="L22" s="46"/>
      <c r="M22" s="44"/>
      <c r="N22" s="44"/>
      <c r="O22" s="44"/>
      <c r="P22" s="44"/>
      <c r="Q22" s="44"/>
      <c r="R22" s="44"/>
      <c r="S22" s="44"/>
      <c r="T22" s="45"/>
      <c r="U22" s="47"/>
      <c r="V22" s="45"/>
      <c r="W22" s="47"/>
      <c r="X22" s="31"/>
    </row>
    <row r="23" spans="1:25" x14ac:dyDescent="0.25">
      <c r="A23" s="32" t="s">
        <v>195</v>
      </c>
      <c r="B23" s="33" t="s">
        <v>196</v>
      </c>
      <c r="C23" s="34">
        <v>1606991</v>
      </c>
      <c r="D23" s="34">
        <v>159870.79999999999</v>
      </c>
      <c r="E23" s="34">
        <v>265048</v>
      </c>
      <c r="F23" s="34">
        <v>4494662</v>
      </c>
      <c r="G23" s="34">
        <v>487996.9</v>
      </c>
      <c r="H23" s="34">
        <v>706876</v>
      </c>
      <c r="I23" s="36">
        <f t="shared" ref="I23" si="9">SUM(E22:E23)*0.9/SUM(D22:D23)*1000</f>
        <v>1492.0732214550601</v>
      </c>
      <c r="J23" s="36">
        <f t="shared" ref="J23" si="10">SUM(H22:H23)/SUM(G22:G23)*1000</f>
        <v>1435.3033721061581</v>
      </c>
      <c r="L23" s="46"/>
      <c r="M23" s="44"/>
      <c r="N23" s="44"/>
      <c r="O23" s="44"/>
      <c r="P23" s="44"/>
      <c r="Q23" s="44"/>
      <c r="R23" s="44"/>
      <c r="S23" s="44"/>
      <c r="T23" s="45"/>
      <c r="U23" s="47"/>
      <c r="V23" s="45"/>
      <c r="W23" s="47"/>
      <c r="X23" s="31"/>
    </row>
    <row r="24" spans="1:25" x14ac:dyDescent="0.25">
      <c r="A24" s="161" t="s">
        <v>197</v>
      </c>
      <c r="B24" s="162" t="s">
        <v>198</v>
      </c>
      <c r="C24" s="164" t="s">
        <v>199</v>
      </c>
      <c r="D24" s="164" t="s">
        <v>200</v>
      </c>
      <c r="E24" s="164" t="s">
        <v>201</v>
      </c>
      <c r="F24" s="164">
        <v>7</v>
      </c>
      <c r="G24" s="164">
        <v>0.5</v>
      </c>
      <c r="H24" s="164">
        <v>7</v>
      </c>
      <c r="I24" s="117"/>
      <c r="J24" s="117"/>
      <c r="L24" s="46"/>
      <c r="M24" s="44"/>
      <c r="N24" s="44"/>
      <c r="O24" s="44"/>
      <c r="P24" s="44"/>
      <c r="Q24" s="44"/>
      <c r="R24" s="44"/>
      <c r="S24" s="44"/>
      <c r="T24" s="45"/>
      <c r="U24" s="47"/>
      <c r="V24" s="45"/>
      <c r="W24" s="47"/>
      <c r="X24" s="31"/>
    </row>
    <row r="25" spans="1:25" ht="12.75" x14ac:dyDescent="0.2">
      <c r="A25" s="32"/>
      <c r="B25" s="38" t="s">
        <v>202</v>
      </c>
      <c r="C25" s="34">
        <f>SUM(C19:C23)</f>
        <v>3470900</v>
      </c>
      <c r="D25" s="34">
        <f t="shared" ref="D25:H25" si="11">SUM(D19:D23)</f>
        <v>206938.9</v>
      </c>
      <c r="E25" s="34">
        <f t="shared" si="11"/>
        <v>378119</v>
      </c>
      <c r="F25" s="34">
        <f t="shared" si="11"/>
        <v>14191990</v>
      </c>
      <c r="G25" s="34">
        <f t="shared" si="11"/>
        <v>766760.5</v>
      </c>
      <c r="H25" s="34">
        <f t="shared" si="11"/>
        <v>1298015</v>
      </c>
      <c r="I25" s="167">
        <f t="shared" ref="I25" si="12">E25*0.9/D25*1000</f>
        <v>1644.4810521366453</v>
      </c>
      <c r="J25" s="167">
        <f t="shared" ref="J25" si="13">H25/G25*1000</f>
        <v>1692.8558526423831</v>
      </c>
      <c r="L25" s="46"/>
      <c r="M25" s="44"/>
      <c r="N25" s="44"/>
      <c r="O25" s="44"/>
      <c r="P25" s="44"/>
      <c r="Q25" s="44"/>
      <c r="R25" s="44"/>
      <c r="S25" s="44"/>
      <c r="T25" s="45"/>
      <c r="U25" s="47"/>
      <c r="V25" s="45"/>
      <c r="W25" s="47"/>
      <c r="X25" s="31"/>
      <c r="Y25" s="27"/>
    </row>
    <row r="26" spans="1:25" ht="33.75" customHeight="1" x14ac:dyDescent="0.25">
      <c r="A26" s="175" t="s">
        <v>203</v>
      </c>
      <c r="B26" s="176"/>
      <c r="C26" s="177"/>
      <c r="D26" s="177"/>
      <c r="E26" s="176"/>
      <c r="F26" s="177"/>
      <c r="G26" s="177"/>
      <c r="H26" s="176"/>
      <c r="L26" s="44"/>
      <c r="M26" s="44"/>
      <c r="N26" s="44"/>
      <c r="O26" s="44"/>
      <c r="P26" s="44"/>
      <c r="Q26" s="44"/>
      <c r="R26" s="44"/>
      <c r="S26" s="44"/>
      <c r="T26" s="45"/>
      <c r="U26" s="44"/>
      <c r="V26" s="45"/>
      <c r="W26" s="47"/>
      <c r="X26" s="31"/>
    </row>
    <row r="27" spans="1:25" x14ac:dyDescent="0.25">
      <c r="A27" s="32" t="s">
        <v>204</v>
      </c>
      <c r="B27" s="33" t="s">
        <v>205</v>
      </c>
      <c r="C27" s="34">
        <v>6270</v>
      </c>
      <c r="D27" s="34">
        <v>582.5</v>
      </c>
      <c r="E27" s="34">
        <v>2880</v>
      </c>
      <c r="F27" s="34">
        <v>95904</v>
      </c>
      <c r="G27" s="34">
        <v>6735.4</v>
      </c>
      <c r="H27" s="34">
        <v>23308</v>
      </c>
      <c r="L27" s="46"/>
      <c r="M27" s="44"/>
      <c r="N27" s="44"/>
      <c r="O27" s="44"/>
      <c r="P27" s="44"/>
      <c r="Q27" s="44"/>
      <c r="R27" s="44">
        <v>30</v>
      </c>
      <c r="S27" s="148">
        <f t="shared" ref="S27" si="14">R27*N28*Q28</f>
        <v>5025.2934877217222</v>
      </c>
      <c r="T27" s="48">
        <f t="shared" ref="T27" si="15">S27*F27/1000000</f>
        <v>481.94574664646404</v>
      </c>
      <c r="U27" s="46"/>
      <c r="V27" s="48">
        <f t="shared" ref="V27" si="16">T27/U28*100</f>
        <v>5.8193293443837311</v>
      </c>
      <c r="W27" s="47"/>
      <c r="X27" s="31"/>
    </row>
    <row r="28" spans="1:25" x14ac:dyDescent="0.25">
      <c r="A28" s="32" t="s">
        <v>206</v>
      </c>
      <c r="B28" s="33" t="s">
        <v>207</v>
      </c>
      <c r="C28" s="34">
        <v>1695468</v>
      </c>
      <c r="D28" s="34">
        <v>43322.5</v>
      </c>
      <c r="E28" s="34">
        <v>99159</v>
      </c>
      <c r="F28" s="34">
        <v>9546836</v>
      </c>
      <c r="G28" s="34">
        <v>252196.9</v>
      </c>
      <c r="H28" s="34">
        <v>549330</v>
      </c>
      <c r="I28" s="61">
        <f t="shared" ref="I28" si="17">SUM(E27:E28)*0.9/SUM(D27:D28)*1000</f>
        <v>2091.6774854800137</v>
      </c>
      <c r="J28" s="61">
        <f t="shared" ref="J28" si="18">SUM(H27:H28)/SUM(G27:G28)*1000</f>
        <v>2211.535602163191</v>
      </c>
      <c r="L28" s="46">
        <f t="shared" ref="L28" si="19">(G28*1000)/F28</f>
        <v>26.416804478468048</v>
      </c>
      <c r="M28" s="46">
        <f>'[5]Gewicht Schweine'!$M$12</f>
        <v>93.724128853029782</v>
      </c>
      <c r="N28" s="46">
        <f t="shared" ref="N28" si="20">M28/0.77</f>
        <v>121.71964786107763</v>
      </c>
      <c r="O28" s="46">
        <f>M28-L28</f>
        <v>67.30732437456173</v>
      </c>
      <c r="P28" s="46">
        <f t="shared" ref="P28" si="21">N28-L28</f>
        <v>95.302843382609581</v>
      </c>
      <c r="Q28" s="46">
        <f t="shared" ref="Q28" si="22">(W28/1000)/1.23</f>
        <v>1.3761934565834553</v>
      </c>
      <c r="R28" s="46"/>
      <c r="S28" s="46">
        <f t="shared" ref="S28" si="23">Q28*P28</f>
        <v>131.15514945694517</v>
      </c>
      <c r="T28" s="49">
        <f t="shared" ref="T28" si="24">S28*(F28*0.97)/1000000</f>
        <v>1214.5532013483162</v>
      </c>
      <c r="U28" s="47">
        <f>'[6]2013'!$H$1007</f>
        <v>8281.8090904511646</v>
      </c>
      <c r="V28" s="50">
        <f t="shared" ref="V28" si="25">T28/U28*100</f>
        <v>14.665312712275421</v>
      </c>
      <c r="W28" s="47">
        <f>'[6]2013'!$F$985</f>
        <v>1692.71795159765</v>
      </c>
      <c r="X28" s="37"/>
    </row>
    <row r="29" spans="1:25" x14ac:dyDescent="0.25">
      <c r="A29" s="32" t="s">
        <v>208</v>
      </c>
      <c r="B29" s="33" t="s">
        <v>209</v>
      </c>
      <c r="C29" s="34" t="s">
        <v>210</v>
      </c>
      <c r="D29" s="34" t="s">
        <v>211</v>
      </c>
      <c r="E29" s="34" t="s">
        <v>212</v>
      </c>
      <c r="F29" s="34" t="s">
        <v>213</v>
      </c>
      <c r="G29" s="34" t="s">
        <v>214</v>
      </c>
      <c r="H29" s="34" t="s">
        <v>215</v>
      </c>
      <c r="L29" s="46"/>
      <c r="M29" s="44"/>
      <c r="N29" s="44"/>
      <c r="O29" s="44"/>
      <c r="P29" s="44"/>
      <c r="Q29" s="44"/>
      <c r="R29" s="44"/>
      <c r="S29" s="44"/>
      <c r="T29" s="51">
        <f t="shared" ref="T29" si="26">T27+T28</f>
        <v>1696.4989479947803</v>
      </c>
      <c r="U29" s="47"/>
      <c r="V29" s="48">
        <f t="shared" ref="V29" si="27">V28+V27</f>
        <v>20.484642056659151</v>
      </c>
      <c r="W29" s="47"/>
      <c r="X29" s="31"/>
    </row>
    <row r="30" spans="1:25" x14ac:dyDescent="0.25">
      <c r="A30" s="32" t="s">
        <v>216</v>
      </c>
      <c r="B30" s="33" t="s">
        <v>217</v>
      </c>
      <c r="C30" s="34" t="s">
        <v>218</v>
      </c>
      <c r="D30" s="34" t="s">
        <v>219</v>
      </c>
      <c r="E30" s="34" t="s">
        <v>220</v>
      </c>
      <c r="F30" s="34">
        <v>109787</v>
      </c>
      <c r="G30" s="34">
        <v>21142.9</v>
      </c>
      <c r="H30" s="34">
        <v>23774</v>
      </c>
      <c r="I30" s="36"/>
      <c r="J30" s="36"/>
      <c r="L30" s="46"/>
      <c r="M30" s="44"/>
      <c r="N30" s="44"/>
      <c r="O30" s="44"/>
      <c r="P30" s="44"/>
      <c r="Q30" s="44"/>
      <c r="R30" s="44"/>
      <c r="S30" s="44"/>
      <c r="T30" s="45"/>
      <c r="U30" s="47"/>
      <c r="V30" s="45"/>
      <c r="W30" s="47"/>
      <c r="X30" s="31"/>
    </row>
    <row r="31" spans="1:25" x14ac:dyDescent="0.25">
      <c r="A31" s="32" t="s">
        <v>221</v>
      </c>
      <c r="B31" s="33" t="s">
        <v>222</v>
      </c>
      <c r="C31" s="34">
        <v>1582122</v>
      </c>
      <c r="D31" s="34">
        <v>157586.29999999999</v>
      </c>
      <c r="E31" s="34">
        <v>255463</v>
      </c>
      <c r="F31" s="34">
        <v>4747653</v>
      </c>
      <c r="G31" s="34">
        <v>523734.9</v>
      </c>
      <c r="H31" s="34">
        <v>756463</v>
      </c>
      <c r="I31" s="36">
        <f t="shared" ref="I31" si="28">SUM(E30:E31)*0.9/SUM(D30:D31)*1000</f>
        <v>1458.9891380151703</v>
      </c>
      <c r="J31" s="36">
        <f t="shared" ref="J31" si="29">SUM(H30:H31)/SUM(G30:G31)*1000</f>
        <v>1431.948594712429</v>
      </c>
      <c r="L31" s="46"/>
      <c r="M31" s="44"/>
      <c r="N31" s="44"/>
      <c r="O31" s="44"/>
      <c r="P31" s="44"/>
      <c r="Q31" s="44"/>
      <c r="R31" s="44"/>
      <c r="S31" s="44"/>
      <c r="T31" s="45"/>
      <c r="U31" s="47"/>
      <c r="V31" s="45"/>
      <c r="W31" s="47"/>
      <c r="X31" s="31"/>
    </row>
    <row r="32" spans="1:25" x14ac:dyDescent="0.25">
      <c r="A32" s="161" t="s">
        <v>223</v>
      </c>
      <c r="B32" s="162" t="s">
        <v>224</v>
      </c>
      <c r="C32" s="164" t="s">
        <v>225</v>
      </c>
      <c r="D32" s="164" t="s">
        <v>226</v>
      </c>
      <c r="E32" s="164" t="s">
        <v>227</v>
      </c>
      <c r="F32" s="164" t="s">
        <v>228</v>
      </c>
      <c r="G32" s="164" t="s">
        <v>229</v>
      </c>
      <c r="H32" s="164" t="s">
        <v>230</v>
      </c>
      <c r="I32" s="117"/>
      <c r="J32" s="117"/>
      <c r="L32" s="46"/>
      <c r="M32" s="44"/>
      <c r="N32" s="44"/>
      <c r="O32" s="44"/>
      <c r="P32" s="44"/>
      <c r="Q32" s="44"/>
      <c r="R32" s="44"/>
      <c r="S32" s="44"/>
      <c r="T32" s="45"/>
      <c r="U32" s="47"/>
      <c r="V32" s="45"/>
      <c r="W32" s="47"/>
      <c r="X32" s="31"/>
    </row>
    <row r="33" spans="1:25" ht="12.75" x14ac:dyDescent="0.2">
      <c r="A33" s="32"/>
      <c r="B33" s="38" t="s">
        <v>231</v>
      </c>
      <c r="C33" s="34">
        <f>SUM(C27:C31)</f>
        <v>3283860</v>
      </c>
      <c r="D33" s="34">
        <f t="shared" ref="D33:H33" si="30">SUM(D27:D31)</f>
        <v>201491.3</v>
      </c>
      <c r="E33" s="34">
        <f t="shared" si="30"/>
        <v>357502</v>
      </c>
      <c r="F33" s="34">
        <f t="shared" si="30"/>
        <v>14500180</v>
      </c>
      <c r="G33" s="34">
        <f t="shared" si="30"/>
        <v>803810.10000000009</v>
      </c>
      <c r="H33" s="34">
        <f t="shared" si="30"/>
        <v>1352875</v>
      </c>
      <c r="I33" s="167">
        <f t="shared" ref="I33" si="31">E33*0.9/D33*1000</f>
        <v>1596.8520725212454</v>
      </c>
      <c r="J33" s="167">
        <f t="shared" ref="J33" si="32">H33/G33*1000</f>
        <v>1683.0778812060209</v>
      </c>
      <c r="L33" s="46"/>
      <c r="M33" s="44"/>
      <c r="N33" s="44"/>
      <c r="O33" s="44"/>
      <c r="P33" s="44"/>
      <c r="Q33" s="44"/>
      <c r="R33" s="44"/>
      <c r="S33" s="44"/>
      <c r="T33" s="45"/>
      <c r="U33" s="47"/>
      <c r="V33" s="45"/>
      <c r="W33" s="47"/>
      <c r="X33" s="31"/>
      <c r="Y33" s="27"/>
    </row>
    <row r="34" spans="1:25" ht="33.75" customHeight="1" x14ac:dyDescent="0.25">
      <c r="A34" s="175" t="s">
        <v>232</v>
      </c>
      <c r="B34" s="176"/>
      <c r="C34" s="177"/>
      <c r="D34" s="177"/>
      <c r="E34" s="176"/>
      <c r="F34" s="177"/>
      <c r="G34" s="177"/>
      <c r="H34" s="176"/>
      <c r="L34" s="44"/>
      <c r="M34" s="44"/>
      <c r="N34" s="44"/>
      <c r="O34" s="44"/>
      <c r="P34" s="44"/>
      <c r="Q34" s="44"/>
      <c r="R34" s="44"/>
      <c r="S34" s="44"/>
      <c r="T34" s="45"/>
      <c r="U34" s="44"/>
      <c r="V34" s="45"/>
      <c r="W34" s="47"/>
      <c r="X34" s="31"/>
    </row>
    <row r="35" spans="1:25" x14ac:dyDescent="0.25">
      <c r="A35" s="32" t="s">
        <v>233</v>
      </c>
      <c r="B35" s="33" t="s">
        <v>234</v>
      </c>
      <c r="C35" s="34">
        <v>9936</v>
      </c>
      <c r="D35" s="34">
        <v>926.3</v>
      </c>
      <c r="E35" s="34">
        <v>4194</v>
      </c>
      <c r="F35" s="34">
        <v>96687</v>
      </c>
      <c r="G35" s="34">
        <v>6395.6</v>
      </c>
      <c r="H35" s="34">
        <v>23497</v>
      </c>
      <c r="L35" s="46"/>
      <c r="M35" s="44"/>
      <c r="N35" s="44"/>
      <c r="O35" s="44"/>
      <c r="P35" s="44"/>
      <c r="Q35" s="44"/>
      <c r="R35" s="44">
        <v>30</v>
      </c>
      <c r="S35" s="148">
        <f t="shared" ref="S35" si="33">R35*N36*Q36</f>
        <v>4582.4784552919155</v>
      </c>
      <c r="T35" s="48">
        <f t="shared" ref="T35" si="34">S35*F35/1000000</f>
        <v>443.06609440680944</v>
      </c>
      <c r="U35" s="46"/>
      <c r="V35" s="48">
        <f t="shared" ref="V35" si="35">T35/U36*100</f>
        <v>5.920776132342942</v>
      </c>
      <c r="W35" s="47"/>
      <c r="X35" s="31"/>
    </row>
    <row r="36" spans="1:25" x14ac:dyDescent="0.25">
      <c r="A36" s="32" t="s">
        <v>235</v>
      </c>
      <c r="B36" s="33" t="s">
        <v>236</v>
      </c>
      <c r="C36" s="34">
        <v>2070720</v>
      </c>
      <c r="D36" s="34">
        <v>53565.5</v>
      </c>
      <c r="E36" s="34">
        <v>119851</v>
      </c>
      <c r="F36" s="34">
        <v>10534859</v>
      </c>
      <c r="G36" s="34">
        <v>278177.59999999998</v>
      </c>
      <c r="H36" s="34">
        <v>561704</v>
      </c>
      <c r="I36" s="61">
        <f t="shared" ref="I36" si="36">SUM(E35:E36)*0.9/SUM(D35:D36)*1000</f>
        <v>2048.7577947507698</v>
      </c>
      <c r="J36" s="61">
        <f t="shared" ref="J36" si="37">SUM(H35:H36)/SUM(G35:G36)*1000</f>
        <v>2056.4164158817489</v>
      </c>
      <c r="L36" s="46">
        <f t="shared" ref="L36" si="38">(G36*1000)/F36</f>
        <v>26.405441211885229</v>
      </c>
      <c r="M36" s="46">
        <f>'[5]Gewicht Schweine'!$M$13</f>
        <v>93.794597368885562</v>
      </c>
      <c r="N36" s="46">
        <f t="shared" ref="N36" si="39">M36/0.77</f>
        <v>121.81116541413709</v>
      </c>
      <c r="O36" s="46">
        <f>M36-L36</f>
        <v>67.389156157000329</v>
      </c>
      <c r="P36" s="46">
        <f t="shared" ref="P36" si="40">N36-L36</f>
        <v>95.405724202251861</v>
      </c>
      <c r="Q36" s="46">
        <f t="shared" ref="Q36" si="41">(W36/1000)/1.23</f>
        <v>1.2539842412946502</v>
      </c>
      <c r="R36" s="46"/>
      <c r="S36" s="46">
        <f t="shared" ref="S36" si="42">Q36*P36</f>
        <v>119.63727467892745</v>
      </c>
      <c r="T36" s="49">
        <f t="shared" ref="T36" si="43">S36*(F36*0.97)/1000000</f>
        <v>1222.5509652901678</v>
      </c>
      <c r="U36" s="47">
        <f>'[6]2014'!$H$1007</f>
        <v>7483.2434887464897</v>
      </c>
      <c r="V36" s="50">
        <f t="shared" ref="V36" si="44">T36/U36*100</f>
        <v>16.337180089471552</v>
      </c>
      <c r="W36" s="47">
        <f>'[6]2014'!$F$985</f>
        <v>1542.4006167924199</v>
      </c>
      <c r="X36" s="37"/>
    </row>
    <row r="37" spans="1:25" x14ac:dyDescent="0.25">
      <c r="A37" s="32" t="s">
        <v>237</v>
      </c>
      <c r="B37" s="33" t="s">
        <v>238</v>
      </c>
      <c r="C37" s="34" t="s">
        <v>239</v>
      </c>
      <c r="D37" s="34" t="s">
        <v>240</v>
      </c>
      <c r="E37" s="34" t="s">
        <v>241</v>
      </c>
      <c r="F37" s="34" t="s">
        <v>242</v>
      </c>
      <c r="G37" s="34" t="s">
        <v>243</v>
      </c>
      <c r="H37" s="34" t="s">
        <v>244</v>
      </c>
      <c r="L37" s="46"/>
      <c r="M37" s="44"/>
      <c r="N37" s="44"/>
      <c r="O37" s="44"/>
      <c r="P37" s="44"/>
      <c r="Q37" s="44"/>
      <c r="R37" s="44"/>
      <c r="S37" s="44"/>
      <c r="T37" s="51">
        <f t="shared" ref="T37" si="45">T35+T36</f>
        <v>1665.6170596969773</v>
      </c>
      <c r="U37" s="47"/>
      <c r="V37" s="48">
        <f t="shared" ref="V37" si="46">V36+V35</f>
        <v>22.257956221814496</v>
      </c>
      <c r="W37" s="47"/>
      <c r="X37" s="31"/>
    </row>
    <row r="38" spans="1:25" x14ac:dyDescent="0.25">
      <c r="A38" s="32" t="s">
        <v>245</v>
      </c>
      <c r="B38" s="33" t="s">
        <v>246</v>
      </c>
      <c r="C38" s="34" t="s">
        <v>247</v>
      </c>
      <c r="D38" s="34" t="s">
        <v>248</v>
      </c>
      <c r="E38" s="34" t="s">
        <v>249</v>
      </c>
      <c r="F38" s="34">
        <v>133541</v>
      </c>
      <c r="G38" s="34">
        <v>25368.2</v>
      </c>
      <c r="H38" s="34">
        <v>27993</v>
      </c>
      <c r="I38" s="36"/>
      <c r="J38" s="36"/>
      <c r="L38" s="46"/>
      <c r="M38" s="44"/>
      <c r="N38" s="44"/>
      <c r="O38" s="44"/>
      <c r="P38" s="44"/>
      <c r="Q38" s="44"/>
      <c r="R38" s="44"/>
      <c r="S38" s="44"/>
      <c r="T38" s="45"/>
      <c r="U38" s="47"/>
      <c r="V38" s="45"/>
      <c r="W38" s="47"/>
      <c r="X38" s="31"/>
    </row>
    <row r="39" spans="1:25" x14ac:dyDescent="0.25">
      <c r="A39" s="32" t="s">
        <v>250</v>
      </c>
      <c r="B39" s="33" t="s">
        <v>251</v>
      </c>
      <c r="C39" s="34">
        <v>1549087</v>
      </c>
      <c r="D39" s="34">
        <v>152687.29999999999</v>
      </c>
      <c r="E39" s="34">
        <v>235240</v>
      </c>
      <c r="F39" s="34">
        <v>4318150</v>
      </c>
      <c r="G39" s="34">
        <v>479755.7</v>
      </c>
      <c r="H39" s="34">
        <v>630247</v>
      </c>
      <c r="I39" s="36">
        <f t="shared" ref="I39" si="47">SUM(E38:E39)*0.9/SUM(D38:D39)*1000</f>
        <v>1386.5986234611526</v>
      </c>
      <c r="J39" s="36">
        <f t="shared" ref="J39" si="48">SUM(H38:H39)/SUM(G38:G39)*1000</f>
        <v>1303.1258271485472</v>
      </c>
      <c r="L39" s="46"/>
      <c r="M39" s="44"/>
      <c r="N39" s="44"/>
      <c r="O39" s="44"/>
      <c r="P39" s="44"/>
      <c r="Q39" s="44"/>
      <c r="R39" s="44"/>
      <c r="S39" s="44"/>
      <c r="T39" s="45"/>
      <c r="U39" s="47"/>
      <c r="V39" s="45"/>
      <c r="W39" s="47"/>
      <c r="X39" s="31"/>
    </row>
    <row r="40" spans="1:25" x14ac:dyDescent="0.25">
      <c r="A40" s="161" t="s">
        <v>252</v>
      </c>
      <c r="B40" s="162" t="s">
        <v>253</v>
      </c>
      <c r="C40" s="164" t="s">
        <v>254</v>
      </c>
      <c r="D40" s="164" t="s">
        <v>255</v>
      </c>
      <c r="E40" s="164" t="s">
        <v>256</v>
      </c>
      <c r="F40" s="164" t="s">
        <v>257</v>
      </c>
      <c r="G40" s="164" t="s">
        <v>258</v>
      </c>
      <c r="H40" s="164" t="s">
        <v>259</v>
      </c>
      <c r="I40" s="117"/>
      <c r="J40" s="117"/>
      <c r="L40" s="46"/>
      <c r="M40" s="44"/>
      <c r="N40" s="44"/>
      <c r="O40" s="44"/>
      <c r="P40" s="44"/>
      <c r="Q40" s="44"/>
      <c r="R40" s="44"/>
      <c r="S40" s="44"/>
      <c r="T40" s="45"/>
      <c r="U40" s="47"/>
      <c r="V40" s="45"/>
      <c r="W40" s="47"/>
      <c r="X40" s="31"/>
    </row>
    <row r="41" spans="1:25" ht="12.75" x14ac:dyDescent="0.2">
      <c r="A41" s="32"/>
      <c r="B41" s="38" t="s">
        <v>260</v>
      </c>
      <c r="C41" s="34">
        <f>SUM(C35:C39)</f>
        <v>3629743</v>
      </c>
      <c r="D41" s="34">
        <f t="shared" ref="D41:H41" si="49">SUM(D35:D39)</f>
        <v>207179.09999999998</v>
      </c>
      <c r="E41" s="34">
        <f t="shared" si="49"/>
        <v>359285</v>
      </c>
      <c r="F41" s="34">
        <f t="shared" si="49"/>
        <v>15083237</v>
      </c>
      <c r="G41" s="34">
        <f t="shared" si="49"/>
        <v>789697.1</v>
      </c>
      <c r="H41" s="34">
        <f t="shared" si="49"/>
        <v>1243441</v>
      </c>
      <c r="I41" s="167">
        <f t="shared" ref="I41" si="50">E41*0.9/D41*1000</f>
        <v>1560.758300427022</v>
      </c>
      <c r="J41" s="167">
        <f t="shared" ref="J41" si="51">H41/G41*1000</f>
        <v>1574.5796711169385</v>
      </c>
      <c r="L41" s="46"/>
      <c r="M41" s="44"/>
      <c r="N41" s="44"/>
      <c r="O41" s="44"/>
      <c r="P41" s="44"/>
      <c r="Q41" s="44"/>
      <c r="R41" s="44"/>
      <c r="S41" s="44"/>
      <c r="T41" s="45"/>
      <c r="U41" s="47"/>
      <c r="V41" s="45"/>
      <c r="W41" s="47"/>
      <c r="X41" s="31"/>
      <c r="Y41" s="27"/>
    </row>
    <row r="42" spans="1:25" ht="33.75" customHeight="1" x14ac:dyDescent="0.25">
      <c r="A42" s="175" t="s">
        <v>261</v>
      </c>
      <c r="B42" s="176"/>
      <c r="C42" s="177"/>
      <c r="D42" s="177"/>
      <c r="E42" s="176"/>
      <c r="F42" s="177"/>
      <c r="G42" s="177"/>
      <c r="H42" s="176"/>
      <c r="L42" s="44"/>
      <c r="M42" s="44"/>
      <c r="N42" s="44"/>
      <c r="O42" s="44"/>
      <c r="P42" s="44"/>
      <c r="Q42" s="44"/>
      <c r="R42" s="44"/>
      <c r="S42" s="44"/>
      <c r="T42" s="45"/>
      <c r="U42" s="44"/>
      <c r="V42" s="45"/>
      <c r="W42" s="47"/>
      <c r="X42" s="31"/>
    </row>
    <row r="43" spans="1:25" x14ac:dyDescent="0.25">
      <c r="A43" s="32" t="s">
        <v>262</v>
      </c>
      <c r="B43" s="33" t="s">
        <v>263</v>
      </c>
      <c r="C43" s="34">
        <v>11595</v>
      </c>
      <c r="D43" s="34">
        <v>894.9</v>
      </c>
      <c r="E43" s="34">
        <v>3791</v>
      </c>
      <c r="F43" s="34">
        <v>72881</v>
      </c>
      <c r="G43" s="34">
        <v>5053.5</v>
      </c>
      <c r="H43" s="34">
        <v>17705</v>
      </c>
      <c r="L43" s="46"/>
      <c r="M43" s="44"/>
      <c r="N43" s="44"/>
      <c r="O43" s="44"/>
      <c r="P43" s="44"/>
      <c r="Q43" s="44"/>
      <c r="R43" s="44">
        <v>30</v>
      </c>
      <c r="S43" s="148">
        <f t="shared" ref="S43" si="52">R43*N44*Q44</f>
        <v>4116.9772589221675</v>
      </c>
      <c r="T43" s="48">
        <f t="shared" ref="T43" si="53">S43*F43/1000000</f>
        <v>300.04941960750654</v>
      </c>
      <c r="U43" s="46"/>
      <c r="V43" s="48">
        <f t="shared" ref="V43" si="54">T43/U44*100</f>
        <v>4.5368161645728069</v>
      </c>
      <c r="W43" s="47"/>
      <c r="X43" s="31"/>
    </row>
    <row r="44" spans="1:25" x14ac:dyDescent="0.25">
      <c r="A44" s="32" t="s">
        <v>264</v>
      </c>
      <c r="B44" s="33" t="s">
        <v>265</v>
      </c>
      <c r="C44" s="34">
        <v>2324252</v>
      </c>
      <c r="D44" s="34">
        <v>59733</v>
      </c>
      <c r="E44" s="34">
        <v>107773</v>
      </c>
      <c r="F44" s="34">
        <v>10282933</v>
      </c>
      <c r="G44" s="34">
        <v>279208</v>
      </c>
      <c r="H44" s="34">
        <v>458082</v>
      </c>
      <c r="I44" s="61">
        <f t="shared" ref="I44" si="55">SUM(E43:E44)*0.9/SUM(D43:D44)*1000</f>
        <v>1656.1286140539257</v>
      </c>
      <c r="J44" s="61">
        <f t="shared" ref="J44" si="56">SUM(H43:H44)/SUM(G43:G44)*1000</f>
        <v>1673.7651774862229</v>
      </c>
      <c r="L44" s="46">
        <f t="shared" ref="L44" si="57">(G44*1000)/F44</f>
        <v>27.152564351046536</v>
      </c>
      <c r="M44" s="46">
        <f>'[5]Gewicht Schweine'!$M$14</f>
        <v>93.82946502089186</v>
      </c>
      <c r="N44" s="46">
        <f t="shared" ref="N44" si="58">M44/0.77</f>
        <v>121.85644807908034</v>
      </c>
      <c r="O44" s="46">
        <f>M44-L44</f>
        <v>66.676900669845324</v>
      </c>
      <c r="P44" s="46">
        <f t="shared" ref="P44" si="59">N44-L44</f>
        <v>94.703883728033802</v>
      </c>
      <c r="Q44" s="46">
        <f t="shared" ref="Q44" si="60">(W44/1000)/1.23</f>
        <v>1.1261823027070894</v>
      </c>
      <c r="R44" s="46"/>
      <c r="S44" s="46">
        <f t="shared" ref="S44" si="61">Q44*P44</f>
        <v>106.65383785214156</v>
      </c>
      <c r="T44" s="49">
        <f t="shared" ref="T44" si="62">S44*(F44*0.97)/1000000</f>
        <v>1063.8128407616425</v>
      </c>
      <c r="U44" s="47">
        <f>'[6]2015'!$H$1007</f>
        <v>6613.6561130807831</v>
      </c>
      <c r="V44" s="50">
        <f t="shared" ref="V44" si="63">T44/U44*100</f>
        <v>16.085094576622851</v>
      </c>
      <c r="W44" s="47">
        <f>'[6]2015'!$F$985</f>
        <v>1385.2042323297201</v>
      </c>
      <c r="X44" s="37"/>
    </row>
    <row r="45" spans="1:25" x14ac:dyDescent="0.25">
      <c r="A45" s="32" t="s">
        <v>266</v>
      </c>
      <c r="B45" s="33" t="s">
        <v>267</v>
      </c>
      <c r="C45" s="34" t="s">
        <v>268</v>
      </c>
      <c r="D45" s="34" t="s">
        <v>269</v>
      </c>
      <c r="E45" s="34" t="s">
        <v>270</v>
      </c>
      <c r="F45" s="34" t="s">
        <v>271</v>
      </c>
      <c r="G45" s="34" t="s">
        <v>272</v>
      </c>
      <c r="H45" s="34" t="s">
        <v>273</v>
      </c>
      <c r="L45" s="46"/>
      <c r="M45" s="44"/>
      <c r="N45" s="44"/>
      <c r="O45" s="44"/>
      <c r="P45" s="44"/>
      <c r="Q45" s="44"/>
      <c r="R45" s="44"/>
      <c r="S45" s="44"/>
      <c r="T45" s="51">
        <f t="shared" ref="T45" si="64">T43+T44</f>
        <v>1363.862260369149</v>
      </c>
      <c r="U45" s="47"/>
      <c r="V45" s="48">
        <f t="shared" ref="V45" si="65">V44+V43</f>
        <v>20.621910741195656</v>
      </c>
      <c r="W45" s="47"/>
      <c r="X45" s="31"/>
    </row>
    <row r="46" spans="1:25" x14ac:dyDescent="0.25">
      <c r="A46" s="32" t="s">
        <v>274</v>
      </c>
      <c r="B46" s="33" t="s">
        <v>275</v>
      </c>
      <c r="C46" s="34" t="s">
        <v>276</v>
      </c>
      <c r="D46" s="34" t="s">
        <v>277</v>
      </c>
      <c r="E46" s="34" t="s">
        <v>278</v>
      </c>
      <c r="F46" s="34">
        <v>114035</v>
      </c>
      <c r="G46" s="34">
        <v>21490.5</v>
      </c>
      <c r="H46" s="34">
        <v>18128</v>
      </c>
      <c r="I46" s="36"/>
      <c r="J46" s="36"/>
      <c r="L46" s="46"/>
      <c r="M46" s="44"/>
      <c r="N46" s="44"/>
      <c r="O46" s="44"/>
      <c r="P46" s="44"/>
      <c r="Q46" s="44"/>
      <c r="R46" s="44"/>
      <c r="S46" s="44"/>
      <c r="T46" s="45"/>
      <c r="U46" s="47"/>
      <c r="V46" s="45"/>
      <c r="W46" s="47"/>
      <c r="X46" s="31"/>
    </row>
    <row r="47" spans="1:25" x14ac:dyDescent="0.25">
      <c r="A47" s="32" t="s">
        <v>279</v>
      </c>
      <c r="B47" s="33" t="s">
        <v>280</v>
      </c>
      <c r="C47" s="34">
        <v>964860</v>
      </c>
      <c r="D47" s="34">
        <v>96472</v>
      </c>
      <c r="E47" s="34">
        <v>131264</v>
      </c>
      <c r="F47" s="34">
        <v>4092654</v>
      </c>
      <c r="G47" s="34">
        <v>457995.3</v>
      </c>
      <c r="H47" s="34">
        <v>536025</v>
      </c>
      <c r="I47" s="36">
        <f t="shared" ref="I47" si="66">SUM(E46:E47)*0.9/SUM(D46:D47)*1000</f>
        <v>1224.5791525002073</v>
      </c>
      <c r="J47" s="36">
        <f t="shared" ref="J47" si="67">SUM(H46:H47)/SUM(G46:G47)*1000</f>
        <v>1155.7234854504554</v>
      </c>
      <c r="L47" s="46"/>
      <c r="M47" s="44"/>
      <c r="N47" s="44"/>
      <c r="O47" s="44"/>
      <c r="P47" s="44"/>
      <c r="Q47" s="44"/>
      <c r="R47" s="44"/>
      <c r="S47" s="44"/>
      <c r="T47" s="45"/>
      <c r="U47" s="47"/>
      <c r="V47" s="45"/>
      <c r="W47" s="47"/>
      <c r="X47" s="31"/>
    </row>
    <row r="48" spans="1:25" x14ac:dyDescent="0.25">
      <c r="A48" s="161" t="s">
        <v>281</v>
      </c>
      <c r="B48" s="162" t="s">
        <v>282</v>
      </c>
      <c r="C48" s="164" t="s">
        <v>283</v>
      </c>
      <c r="D48" s="164" t="s">
        <v>284</v>
      </c>
      <c r="E48" s="164" t="s">
        <v>285</v>
      </c>
      <c r="F48" s="164" t="s">
        <v>286</v>
      </c>
      <c r="G48" s="164" t="s">
        <v>287</v>
      </c>
      <c r="H48" s="164" t="s">
        <v>288</v>
      </c>
      <c r="I48" s="117"/>
      <c r="J48" s="117"/>
      <c r="L48" s="46"/>
      <c r="M48" s="44"/>
      <c r="N48" s="44"/>
      <c r="O48" s="44"/>
      <c r="P48" s="44"/>
      <c r="Q48" s="44"/>
      <c r="R48" s="44"/>
      <c r="S48" s="44"/>
      <c r="T48" s="45"/>
      <c r="U48" s="47"/>
      <c r="V48" s="45"/>
      <c r="W48" s="47"/>
      <c r="X48" s="31"/>
    </row>
    <row r="49" spans="1:25" ht="12.75" x14ac:dyDescent="0.2">
      <c r="A49" s="32"/>
      <c r="B49" s="38" t="s">
        <v>289</v>
      </c>
      <c r="C49" s="34">
        <f>SUM(C43:C47)</f>
        <v>3300707</v>
      </c>
      <c r="D49" s="34">
        <f t="shared" ref="D49:H49" si="68">SUM(D43:D47)</f>
        <v>157099.9</v>
      </c>
      <c r="E49" s="34">
        <f t="shared" si="68"/>
        <v>242828</v>
      </c>
      <c r="F49" s="34">
        <f t="shared" si="68"/>
        <v>14562503</v>
      </c>
      <c r="G49" s="34">
        <f t="shared" si="68"/>
        <v>763747.3</v>
      </c>
      <c r="H49" s="34">
        <f t="shared" si="68"/>
        <v>1029940</v>
      </c>
      <c r="I49" s="167">
        <f t="shared" ref="I49" si="69">E49*0.9/D49*1000</f>
        <v>1391.1224641135991</v>
      </c>
      <c r="J49" s="167">
        <f t="shared" ref="J49" si="70">H49/G49*1000</f>
        <v>1348.5350455576076</v>
      </c>
      <c r="L49" s="46"/>
      <c r="M49" s="44"/>
      <c r="N49" s="44"/>
      <c r="O49" s="44"/>
      <c r="P49" s="44"/>
      <c r="Q49" s="44"/>
      <c r="R49" s="44"/>
      <c r="S49" s="44"/>
      <c r="T49" s="45"/>
      <c r="U49" s="47"/>
      <c r="V49" s="45"/>
      <c r="W49" s="47"/>
      <c r="X49" s="31"/>
      <c r="Y49" s="27"/>
    </row>
    <row r="50" spans="1:25" ht="33.75" customHeight="1" x14ac:dyDescent="0.25">
      <c r="A50" s="175" t="s">
        <v>290</v>
      </c>
      <c r="B50" s="176"/>
      <c r="C50" s="177"/>
      <c r="D50" s="177"/>
      <c r="E50" s="176"/>
      <c r="F50" s="177"/>
      <c r="G50" s="177"/>
      <c r="H50" s="176"/>
      <c r="L50" s="44"/>
      <c r="M50" s="44"/>
      <c r="N50" s="44"/>
      <c r="O50" s="44"/>
      <c r="P50" s="44"/>
      <c r="Q50" s="44"/>
      <c r="R50" s="44"/>
      <c r="S50" s="44"/>
      <c r="T50" s="45"/>
      <c r="U50" s="44"/>
      <c r="V50" s="45"/>
      <c r="W50" s="47"/>
      <c r="X50" s="31"/>
    </row>
    <row r="51" spans="1:25" x14ac:dyDescent="0.25">
      <c r="A51" s="32" t="s">
        <v>291</v>
      </c>
      <c r="B51" s="33" t="s">
        <v>292</v>
      </c>
      <c r="C51" s="34">
        <v>13127</v>
      </c>
      <c r="D51" s="34">
        <v>998.3</v>
      </c>
      <c r="E51" s="34">
        <v>4167</v>
      </c>
      <c r="F51" s="34">
        <v>46908</v>
      </c>
      <c r="G51" s="34">
        <v>2985</v>
      </c>
      <c r="H51" s="34">
        <v>10945</v>
      </c>
      <c r="L51" s="46"/>
      <c r="M51" s="44"/>
      <c r="N51" s="44"/>
      <c r="O51" s="44"/>
      <c r="P51" s="44"/>
      <c r="Q51" s="44"/>
      <c r="R51" s="44">
        <v>30</v>
      </c>
      <c r="S51" s="148">
        <f t="shared" ref="S51" si="71">R51*N52*Q52</f>
        <v>4434.4965743906705</v>
      </c>
      <c r="T51" s="48">
        <f t="shared" ref="T51" si="72">S51*F51/1000000</f>
        <v>208.01336531151756</v>
      </c>
      <c r="U51" s="46"/>
      <c r="V51" s="48">
        <f t="shared" ref="V51" si="73">T51/U52*100</f>
        <v>2.8637452211647143</v>
      </c>
      <c r="W51" s="47"/>
      <c r="X51" s="31"/>
    </row>
    <row r="52" spans="1:25" x14ac:dyDescent="0.25">
      <c r="A52" s="32" t="s">
        <v>293</v>
      </c>
      <c r="B52" s="33" t="s">
        <v>294</v>
      </c>
      <c r="C52" s="34">
        <v>2048250</v>
      </c>
      <c r="D52" s="34">
        <v>53157.5</v>
      </c>
      <c r="E52" s="34">
        <v>108372</v>
      </c>
      <c r="F52" s="34">
        <v>11050279</v>
      </c>
      <c r="G52" s="34">
        <v>297493</v>
      </c>
      <c r="H52" s="34">
        <v>575785</v>
      </c>
      <c r="I52" s="61">
        <f t="shared" ref="I52" si="74">SUM(E51:E52)*0.9/SUM(D51:D52)*1000</f>
        <v>1870.2539709504799</v>
      </c>
      <c r="J52" s="61">
        <f t="shared" ref="J52" si="75">SUM(H51:H52)/SUM(G51:G52)*1000</f>
        <v>1952.6554356724953</v>
      </c>
      <c r="L52" s="46">
        <f t="shared" ref="L52" si="76">(G52*1000)/F52</f>
        <v>26.921763694835217</v>
      </c>
      <c r="M52" s="46">
        <f>'[5]Gewicht Schweine'!$M$15</f>
        <v>93.974361466019403</v>
      </c>
      <c r="N52" s="46">
        <f t="shared" ref="N52" si="77">M52/0.77</f>
        <v>122.04462528054468</v>
      </c>
      <c r="O52" s="46">
        <f>M52-L52</f>
        <v>67.052597771184182</v>
      </c>
      <c r="P52" s="46">
        <f t="shared" ref="P52" si="78">N52-L52</f>
        <v>95.122861585709458</v>
      </c>
      <c r="Q52" s="46">
        <f t="shared" ref="Q52" si="79">(W52/1000)/1.23</f>
        <v>1.2111680636480489</v>
      </c>
      <c r="R52" s="46"/>
      <c r="S52" s="46">
        <f t="shared" ref="S52" si="80">Q52*P52</f>
        <v>115.20977207542509</v>
      </c>
      <c r="T52" s="49">
        <f t="shared" ref="T52" si="81">S52*(F52*0.97)/1000000</f>
        <v>1234.9071212110605</v>
      </c>
      <c r="U52" s="47">
        <f>'[6]2016'!$H$1007</f>
        <v>7263.6826689113213</v>
      </c>
      <c r="V52" s="50">
        <f t="shared" ref="V52" si="82">T52/U52*100</f>
        <v>17.001116066048464</v>
      </c>
      <c r="W52" s="47">
        <f>'[6]2016'!$F$985</f>
        <v>1489.7367182871001</v>
      </c>
      <c r="X52" s="37"/>
    </row>
    <row r="53" spans="1:25" x14ac:dyDescent="0.25">
      <c r="A53" s="32" t="s">
        <v>295</v>
      </c>
      <c r="B53" s="33" t="s">
        <v>296</v>
      </c>
      <c r="C53" s="34" t="s">
        <v>297</v>
      </c>
      <c r="D53" s="34" t="s">
        <v>298</v>
      </c>
      <c r="E53" s="34" t="s">
        <v>299</v>
      </c>
      <c r="F53" s="34" t="s">
        <v>300</v>
      </c>
      <c r="G53" s="34" t="s">
        <v>301</v>
      </c>
      <c r="H53" s="34" t="s">
        <v>302</v>
      </c>
      <c r="L53" s="46"/>
      <c r="M53" s="44"/>
      <c r="N53" s="44"/>
      <c r="O53" s="44"/>
      <c r="P53" s="44"/>
      <c r="Q53" s="44"/>
      <c r="R53" s="44"/>
      <c r="S53" s="44"/>
      <c r="T53" s="51">
        <f t="shared" ref="T53" si="83">T51+T52</f>
        <v>1442.9204865225781</v>
      </c>
      <c r="U53" s="47"/>
      <c r="V53" s="48">
        <f t="shared" ref="V53" si="84">V52+V51</f>
        <v>19.864861287213177</v>
      </c>
      <c r="W53" s="47"/>
      <c r="X53" s="31"/>
    </row>
    <row r="54" spans="1:25" x14ac:dyDescent="0.25">
      <c r="A54" s="32" t="s">
        <v>303</v>
      </c>
      <c r="B54" s="33" t="s">
        <v>304</v>
      </c>
      <c r="C54" s="34" t="s">
        <v>305</v>
      </c>
      <c r="D54" s="34" t="s">
        <v>306</v>
      </c>
      <c r="E54" s="34" t="s">
        <v>307</v>
      </c>
      <c r="F54" s="34">
        <v>94076</v>
      </c>
      <c r="G54" s="34">
        <v>18050</v>
      </c>
      <c r="H54" s="34">
        <v>16170</v>
      </c>
      <c r="I54" s="36"/>
      <c r="J54" s="36"/>
      <c r="L54" s="46"/>
      <c r="M54" s="44"/>
      <c r="N54" s="44"/>
      <c r="O54" s="44"/>
      <c r="P54" s="44"/>
      <c r="Q54" s="44"/>
      <c r="R54" s="44"/>
      <c r="S54" s="44"/>
      <c r="T54" s="45"/>
      <c r="U54" s="47"/>
      <c r="V54" s="45"/>
      <c r="W54" s="47"/>
      <c r="X54" s="31"/>
    </row>
    <row r="55" spans="1:25" x14ac:dyDescent="0.25">
      <c r="A55" s="32" t="s">
        <v>308</v>
      </c>
      <c r="B55" s="33" t="s">
        <v>309</v>
      </c>
      <c r="C55" s="34">
        <v>465978</v>
      </c>
      <c r="D55" s="34">
        <v>46595.3</v>
      </c>
      <c r="E55" s="34">
        <v>67970</v>
      </c>
      <c r="F55" s="34">
        <v>4477247</v>
      </c>
      <c r="G55" s="34">
        <v>501468.1</v>
      </c>
      <c r="H55" s="34">
        <v>643248</v>
      </c>
      <c r="I55" s="36">
        <f t="shared" ref="I55" si="85">SUM(E54:E55)*0.9/SUM(D54:D55)*1000</f>
        <v>1312.8577345783801</v>
      </c>
      <c r="J55" s="36">
        <f t="shared" ref="J55" si="86">SUM(H54:H55)/SUM(G54:G55)*1000</f>
        <v>1269.2878265454083</v>
      </c>
      <c r="L55" s="46"/>
      <c r="M55" s="44"/>
      <c r="N55" s="44"/>
      <c r="O55" s="44"/>
      <c r="P55" s="44"/>
      <c r="Q55" s="44"/>
      <c r="R55" s="44"/>
      <c r="S55" s="44"/>
      <c r="T55" s="45"/>
      <c r="U55" s="47"/>
      <c r="V55" s="45"/>
      <c r="W55" s="47"/>
      <c r="X55" s="31"/>
    </row>
    <row r="56" spans="1:25" x14ac:dyDescent="0.25">
      <c r="A56" s="161" t="s">
        <v>310</v>
      </c>
      <c r="B56" s="162" t="s">
        <v>311</v>
      </c>
      <c r="C56" s="164" t="s">
        <v>312</v>
      </c>
      <c r="D56" s="164" t="s">
        <v>313</v>
      </c>
      <c r="E56" s="164" t="s">
        <v>314</v>
      </c>
      <c r="F56" s="164" t="s">
        <v>315</v>
      </c>
      <c r="G56" s="164" t="s">
        <v>316</v>
      </c>
      <c r="H56" s="164" t="s">
        <v>317</v>
      </c>
      <c r="I56" s="117"/>
      <c r="J56" s="117"/>
      <c r="L56" s="46"/>
      <c r="M56" s="44"/>
      <c r="N56" s="44"/>
      <c r="O56" s="44"/>
      <c r="P56" s="44"/>
      <c r="Q56" s="44"/>
      <c r="R56" s="44"/>
      <c r="S56" s="44"/>
      <c r="T56" s="45"/>
      <c r="U56" s="47"/>
      <c r="V56" s="45"/>
      <c r="W56" s="47"/>
      <c r="X56" s="31"/>
    </row>
    <row r="57" spans="1:25" ht="12.75" x14ac:dyDescent="0.2">
      <c r="A57" s="32"/>
      <c r="B57" s="38" t="s">
        <v>318</v>
      </c>
      <c r="C57" s="34">
        <f>SUM(C51:C55)</f>
        <v>2527355</v>
      </c>
      <c r="D57" s="34">
        <f t="shared" ref="D57:H57" si="87">SUM(D51:D55)</f>
        <v>100751.1</v>
      </c>
      <c r="E57" s="34">
        <f t="shared" si="87"/>
        <v>180509</v>
      </c>
      <c r="F57" s="34">
        <f t="shared" si="87"/>
        <v>15668510</v>
      </c>
      <c r="G57" s="34">
        <f t="shared" si="87"/>
        <v>819996.1</v>
      </c>
      <c r="H57" s="34">
        <f t="shared" si="87"/>
        <v>1246148</v>
      </c>
      <c r="I57" s="167">
        <f t="shared" ref="I57" si="88">E57*0.9/D57*1000</f>
        <v>1612.4697397844786</v>
      </c>
      <c r="J57" s="167">
        <f t="shared" ref="J57" si="89">H57/G57*1000</f>
        <v>1519.6999107678685</v>
      </c>
      <c r="L57" s="46"/>
      <c r="M57" s="44"/>
      <c r="N57" s="44"/>
      <c r="O57" s="44"/>
      <c r="P57" s="44"/>
      <c r="Q57" s="44"/>
      <c r="R57" s="44"/>
      <c r="S57" s="44"/>
      <c r="T57" s="45"/>
      <c r="U57" s="47"/>
      <c r="V57" s="45"/>
      <c r="W57" s="47"/>
      <c r="X57" s="31"/>
      <c r="Y57" s="27"/>
    </row>
    <row r="58" spans="1:25" ht="33.75" customHeight="1" x14ac:dyDescent="0.25">
      <c r="A58" s="175" t="s">
        <v>319</v>
      </c>
      <c r="B58" s="176"/>
      <c r="C58" s="177"/>
      <c r="D58" s="177"/>
      <c r="E58" s="176"/>
      <c r="F58" s="177"/>
      <c r="G58" s="177"/>
      <c r="H58" s="176"/>
      <c r="L58" s="44"/>
      <c r="M58" s="44"/>
      <c r="N58" s="44"/>
      <c r="O58" s="44"/>
      <c r="P58" s="44"/>
      <c r="Q58" s="44"/>
      <c r="R58" s="44"/>
      <c r="S58" s="44"/>
      <c r="T58" s="45"/>
      <c r="U58" s="44"/>
      <c r="V58" s="45"/>
      <c r="W58" s="47"/>
      <c r="X58" s="31"/>
    </row>
    <row r="59" spans="1:25" x14ac:dyDescent="0.25">
      <c r="A59" s="32" t="s">
        <v>320</v>
      </c>
      <c r="B59" s="33" t="s">
        <v>321</v>
      </c>
      <c r="C59" s="34">
        <v>14122</v>
      </c>
      <c r="D59" s="34">
        <v>1083.5</v>
      </c>
      <c r="E59" s="34">
        <v>4923</v>
      </c>
      <c r="F59" s="34">
        <v>79135</v>
      </c>
      <c r="G59" s="34">
        <v>4941.6000000000004</v>
      </c>
      <c r="H59" s="34">
        <v>17291</v>
      </c>
      <c r="L59" s="46"/>
      <c r="M59" s="44"/>
      <c r="N59" s="44"/>
      <c r="O59" s="44"/>
      <c r="P59" s="44"/>
      <c r="Q59" s="44"/>
      <c r="R59" s="44">
        <v>30</v>
      </c>
      <c r="S59" s="148">
        <f t="shared" ref="S59" si="90">R59*N60*Q60</f>
        <v>4872.2940588738575</v>
      </c>
      <c r="T59" s="48">
        <f t="shared" ref="T59" si="91">S59*F59/1000000</f>
        <v>385.56899034898271</v>
      </c>
      <c r="U59" s="46"/>
      <c r="V59" s="48">
        <f t="shared" ref="V59" si="92">T59/U60*100</f>
        <v>4.9945648989702471</v>
      </c>
      <c r="W59" s="47"/>
      <c r="X59" s="31"/>
    </row>
    <row r="60" spans="1:25" x14ac:dyDescent="0.25">
      <c r="A60" s="32" t="s">
        <v>322</v>
      </c>
      <c r="B60" s="33" t="s">
        <v>323</v>
      </c>
      <c r="C60" s="34">
        <v>1984291</v>
      </c>
      <c r="D60" s="34">
        <v>50998.8</v>
      </c>
      <c r="E60" s="34">
        <v>125990</v>
      </c>
      <c r="F60" s="34">
        <v>11198950</v>
      </c>
      <c r="G60" s="34">
        <v>297854.7</v>
      </c>
      <c r="H60" s="34">
        <v>688266</v>
      </c>
      <c r="I60" s="61">
        <f t="shared" ref="I60" si="93">SUM(E59:E60)*0.9/SUM(D59:D60)*1000</f>
        <v>2262.2215224750057</v>
      </c>
      <c r="J60" s="61">
        <f t="shared" ref="J60" si="94">SUM(H59:H60)/SUM(G59:G60)*1000</f>
        <v>2330.1374554444687</v>
      </c>
      <c r="L60" s="46">
        <f t="shared" ref="L60" si="95">(G60*1000)/F60</f>
        <v>26.596663080020896</v>
      </c>
      <c r="M60" s="46">
        <f>'[5]Gewicht Schweine'!$M$16</f>
        <v>94.259983629058638</v>
      </c>
      <c r="N60" s="46">
        <f t="shared" ref="N60" si="96">M60/0.77</f>
        <v>122.41556315462161</v>
      </c>
      <c r="O60" s="46">
        <f>M60-L60</f>
        <v>67.663320549037735</v>
      </c>
      <c r="P60" s="46">
        <f t="shared" ref="P60" si="97">N60-L60</f>
        <v>95.81890007460072</v>
      </c>
      <c r="Q60" s="46">
        <f t="shared" ref="Q60" si="98">(W60/1000)/1.23</f>
        <v>1.3267087760509999</v>
      </c>
      <c r="R60" s="46"/>
      <c r="S60" s="46">
        <f t="shared" ref="S60" si="99">Q60*P60</f>
        <v>127.12377564052659</v>
      </c>
      <c r="T60" s="49">
        <f t="shared" ref="T60" si="100">S60*(F60*0.97)/1000000</f>
        <v>1380.9432229931911</v>
      </c>
      <c r="U60" s="47">
        <f>'[6]2017'!$H$1007</f>
        <v>7719.7713544272356</v>
      </c>
      <c r="V60" s="50">
        <f t="shared" ref="V60" si="101">T60/U60*100</f>
        <v>17.88839538882495</v>
      </c>
      <c r="W60" s="47">
        <f>'[6]2017'!$F$985</f>
        <v>1631.85179454273</v>
      </c>
      <c r="X60" s="37"/>
    </row>
    <row r="61" spans="1:25" x14ac:dyDescent="0.25">
      <c r="A61" s="32" t="s">
        <v>324</v>
      </c>
      <c r="B61" s="33" t="s">
        <v>325</v>
      </c>
      <c r="C61" s="34" t="s">
        <v>326</v>
      </c>
      <c r="D61" s="34" t="s">
        <v>327</v>
      </c>
      <c r="E61" s="34" t="s">
        <v>328</v>
      </c>
      <c r="F61" s="34" t="s">
        <v>329</v>
      </c>
      <c r="G61" s="34" t="s">
        <v>330</v>
      </c>
      <c r="H61" s="34" t="s">
        <v>331</v>
      </c>
      <c r="L61" s="46"/>
      <c r="M61" s="44"/>
      <c r="N61" s="44"/>
      <c r="O61" s="44"/>
      <c r="P61" s="44"/>
      <c r="Q61" s="44"/>
      <c r="R61" s="44"/>
      <c r="S61" s="44"/>
      <c r="T61" s="51">
        <f t="shared" ref="T61" si="102">T59+T60</f>
        <v>1766.5122133421737</v>
      </c>
      <c r="U61" s="47"/>
      <c r="V61" s="48">
        <f t="shared" ref="V61" si="103">V60+V59</f>
        <v>22.882960287795196</v>
      </c>
      <c r="W61" s="47"/>
      <c r="X61" s="31"/>
    </row>
    <row r="62" spans="1:25" x14ac:dyDescent="0.25">
      <c r="A62" s="32" t="s">
        <v>332</v>
      </c>
      <c r="B62" s="33" t="s">
        <v>333</v>
      </c>
      <c r="C62" s="34">
        <v>30</v>
      </c>
      <c r="D62" s="34">
        <v>6.8</v>
      </c>
      <c r="E62" s="34">
        <v>7</v>
      </c>
      <c r="F62" s="34">
        <v>82677</v>
      </c>
      <c r="G62" s="34">
        <v>16719.599999999999</v>
      </c>
      <c r="H62" s="34">
        <v>17439</v>
      </c>
      <c r="I62" s="36"/>
      <c r="J62" s="36"/>
      <c r="L62" s="46"/>
      <c r="M62" s="44"/>
      <c r="N62" s="44"/>
      <c r="O62" s="44"/>
      <c r="P62" s="44"/>
      <c r="Q62" s="44"/>
      <c r="R62" s="44"/>
      <c r="S62" s="44"/>
      <c r="T62" s="45"/>
      <c r="U62" s="47"/>
      <c r="V62" s="45"/>
      <c r="W62" s="47"/>
      <c r="X62" s="31"/>
    </row>
    <row r="63" spans="1:25" x14ac:dyDescent="0.25">
      <c r="A63" s="32" t="s">
        <v>334</v>
      </c>
      <c r="B63" s="33" t="s">
        <v>335</v>
      </c>
      <c r="C63" s="34">
        <v>438079</v>
      </c>
      <c r="D63" s="34">
        <v>44185.3</v>
      </c>
      <c r="E63" s="34">
        <v>71113</v>
      </c>
      <c r="F63" s="34">
        <v>3830759</v>
      </c>
      <c r="G63" s="34">
        <v>422907.6</v>
      </c>
      <c r="H63" s="34">
        <v>600897</v>
      </c>
      <c r="I63" s="36">
        <f t="shared" ref="I63" si="104">SUM(E62:E63)*0.9/SUM(D62:D63)*1000</f>
        <v>1448.4036739598253</v>
      </c>
      <c r="J63" s="36">
        <f t="shared" ref="J63" si="105">SUM(H62:H63)/SUM(G62:G63)*1000</f>
        <v>1406.5007806614333</v>
      </c>
      <c r="L63" s="46"/>
      <c r="M63" s="44"/>
      <c r="N63" s="44"/>
      <c r="O63" s="44"/>
      <c r="P63" s="44"/>
      <c r="Q63" s="44"/>
      <c r="R63" s="44"/>
      <c r="S63" s="44"/>
      <c r="T63" s="45"/>
      <c r="U63" s="47"/>
      <c r="V63" s="45"/>
      <c r="W63" s="47"/>
      <c r="X63" s="31"/>
    </row>
    <row r="64" spans="1:25" x14ac:dyDescent="0.25">
      <c r="A64" s="161" t="s">
        <v>336</v>
      </c>
      <c r="B64" s="162" t="s">
        <v>337</v>
      </c>
      <c r="C64" s="164" t="s">
        <v>338</v>
      </c>
      <c r="D64" s="164" t="s">
        <v>339</v>
      </c>
      <c r="E64" s="164" t="s">
        <v>340</v>
      </c>
      <c r="F64" s="164" t="s">
        <v>341</v>
      </c>
      <c r="G64" s="164" t="s">
        <v>342</v>
      </c>
      <c r="H64" s="164" t="s">
        <v>343</v>
      </c>
      <c r="I64" s="117"/>
      <c r="J64" s="117"/>
      <c r="L64" s="46"/>
      <c r="M64" s="44"/>
      <c r="N64" s="44"/>
      <c r="O64" s="44"/>
      <c r="P64" s="44"/>
      <c r="Q64" s="44"/>
      <c r="R64" s="44"/>
      <c r="S64" s="44"/>
      <c r="T64" s="45"/>
      <c r="U64" s="47"/>
      <c r="V64" s="45"/>
      <c r="W64" s="47"/>
      <c r="X64" s="31"/>
    </row>
    <row r="65" spans="1:25" ht="12.75" x14ac:dyDescent="0.2">
      <c r="A65" s="32"/>
      <c r="B65" s="38" t="s">
        <v>344</v>
      </c>
      <c r="C65" s="34">
        <f>SUM(C59:C63)</f>
        <v>2436522</v>
      </c>
      <c r="D65" s="34">
        <f t="shared" ref="D65:H65" si="106">SUM(D59:D63)</f>
        <v>96274.400000000009</v>
      </c>
      <c r="E65" s="34">
        <f t="shared" si="106"/>
        <v>202033</v>
      </c>
      <c r="F65" s="34">
        <f t="shared" si="106"/>
        <v>15191521</v>
      </c>
      <c r="G65" s="34">
        <f t="shared" si="106"/>
        <v>742423.5</v>
      </c>
      <c r="H65" s="34">
        <f t="shared" si="106"/>
        <v>1323893</v>
      </c>
      <c r="I65" s="167">
        <f t="shared" ref="I65" si="107">E65*0.9/D65*1000</f>
        <v>1888.6609524442636</v>
      </c>
      <c r="J65" s="167">
        <f t="shared" ref="J65" si="108">H65/G65*1000</f>
        <v>1783.20459953113</v>
      </c>
      <c r="L65" s="46"/>
      <c r="M65" s="44"/>
      <c r="N65" s="44"/>
      <c r="O65" s="44"/>
      <c r="P65" s="44"/>
      <c r="Q65" s="44"/>
      <c r="R65" s="44"/>
      <c r="S65" s="44"/>
      <c r="T65" s="45"/>
      <c r="U65" s="47"/>
      <c r="V65" s="45"/>
      <c r="W65" s="47"/>
      <c r="X65" s="31"/>
      <c r="Y65" s="27"/>
    </row>
    <row r="66" spans="1:25" ht="33.75" customHeight="1" x14ac:dyDescent="0.25">
      <c r="A66" s="175" t="s">
        <v>345</v>
      </c>
      <c r="B66" s="176"/>
      <c r="C66" s="177"/>
      <c r="D66" s="177"/>
      <c r="E66" s="176"/>
      <c r="F66" s="177"/>
      <c r="G66" s="177"/>
      <c r="H66" s="176"/>
      <c r="L66" s="44"/>
      <c r="M66" s="44"/>
      <c r="N66" s="44"/>
      <c r="O66" s="44"/>
      <c r="P66" s="44"/>
      <c r="Q66" s="44"/>
      <c r="R66" s="44"/>
      <c r="S66" s="44"/>
      <c r="T66" s="45"/>
      <c r="U66" s="44"/>
      <c r="V66" s="45"/>
      <c r="W66" s="47"/>
      <c r="X66" s="31"/>
    </row>
    <row r="67" spans="1:25" x14ac:dyDescent="0.25">
      <c r="A67" s="32" t="s">
        <v>346</v>
      </c>
      <c r="B67" s="33" t="s">
        <v>347</v>
      </c>
      <c r="C67" s="34">
        <v>10817</v>
      </c>
      <c r="D67" s="34">
        <v>896.9</v>
      </c>
      <c r="E67" s="34">
        <v>5042</v>
      </c>
      <c r="F67" s="34">
        <v>62666</v>
      </c>
      <c r="G67" s="34">
        <v>3822.1</v>
      </c>
      <c r="H67" s="34">
        <v>12310</v>
      </c>
      <c r="L67" s="46"/>
      <c r="M67" s="44"/>
      <c r="N67" s="44"/>
      <c r="O67" s="44"/>
      <c r="P67" s="44"/>
      <c r="Q67" s="44"/>
      <c r="R67" s="44">
        <v>30</v>
      </c>
      <c r="S67" s="148">
        <f t="shared" ref="S67" si="109">R67*N68*Q68</f>
        <v>4269.5867323385664</v>
      </c>
      <c r="T67" s="48">
        <f t="shared" ref="T67" si="110">S67*F67/1000000</f>
        <v>267.55792216872857</v>
      </c>
      <c r="U67" s="46"/>
      <c r="V67" s="48">
        <f t="shared" ref="V67" si="111">T67/U68*100</f>
        <v>3.9054327030555211</v>
      </c>
      <c r="W67" s="47"/>
      <c r="X67" s="31"/>
    </row>
    <row r="68" spans="1:25" x14ac:dyDescent="0.25">
      <c r="A68" s="32" t="s">
        <v>348</v>
      </c>
      <c r="B68" s="33" t="s">
        <v>349</v>
      </c>
      <c r="C68" s="34">
        <v>2078249</v>
      </c>
      <c r="D68" s="34">
        <v>53957.8</v>
      </c>
      <c r="E68" s="34">
        <v>101513</v>
      </c>
      <c r="F68" s="34">
        <v>10581942</v>
      </c>
      <c r="G68" s="34">
        <v>285728</v>
      </c>
      <c r="H68" s="34">
        <v>497217</v>
      </c>
      <c r="I68" s="61">
        <f t="shared" ref="I68" si="112">SUM(E67:E68)*0.9/SUM(D67:D68)*1000</f>
        <v>1748.2458203216859</v>
      </c>
      <c r="J68" s="61">
        <f t="shared" ref="J68" si="113">SUM(H67:H68)/SUM(G67:G68)*1000</f>
        <v>1759.7196478260587</v>
      </c>
      <c r="L68" s="46">
        <f t="shared" ref="L68" si="114">(G68*1000)/F68</f>
        <v>27.001470996533527</v>
      </c>
      <c r="M68" s="46">
        <f>'[5]Gewicht Schweine'!$M$17</f>
        <v>94.383028144591876</v>
      </c>
      <c r="N68" s="46">
        <f t="shared" ref="N68" si="115">M68/0.77</f>
        <v>122.57536122674269</v>
      </c>
      <c r="O68" s="46">
        <f>M68-L68</f>
        <v>67.381557148058349</v>
      </c>
      <c r="P68" s="46">
        <f t="shared" ref="P68" si="116">N68-L68</f>
        <v>95.573890230209159</v>
      </c>
      <c r="Q68" s="46">
        <f t="shared" ref="Q68" si="117">(W68/1000)/1.23</f>
        <v>1.1610780202503579</v>
      </c>
      <c r="R68" s="46"/>
      <c r="S68" s="46">
        <f t="shared" ref="S68" si="118">Q68*P68</f>
        <v>110.96874325611627</v>
      </c>
      <c r="T68" s="49">
        <f t="shared" ref="T68" si="119">S68*(F68*0.97)/1000000</f>
        <v>1139.0368608006402</v>
      </c>
      <c r="U68" s="47">
        <f>'[6]2018'!$H$1007</f>
        <v>6850.9162111383303</v>
      </c>
      <c r="V68" s="50">
        <f t="shared" ref="V68" si="120">T68/U68*100</f>
        <v>16.626051548386705</v>
      </c>
      <c r="W68" s="47">
        <f>'[6]2018'!$F$985</f>
        <v>1428.12596490794</v>
      </c>
      <c r="X68" s="37"/>
    </row>
    <row r="69" spans="1:25" x14ac:dyDescent="0.25">
      <c r="A69" s="32" t="s">
        <v>350</v>
      </c>
      <c r="B69" s="33" t="s">
        <v>351</v>
      </c>
      <c r="C69" s="34" t="s">
        <v>352</v>
      </c>
      <c r="D69" s="34" t="s">
        <v>353</v>
      </c>
      <c r="E69" s="34" t="s">
        <v>354</v>
      </c>
      <c r="F69" s="34" t="s">
        <v>355</v>
      </c>
      <c r="G69" s="34" t="s">
        <v>356</v>
      </c>
      <c r="H69" s="34" t="s">
        <v>357</v>
      </c>
      <c r="L69" s="46"/>
      <c r="M69" s="44"/>
      <c r="N69" s="44"/>
      <c r="O69" s="44"/>
      <c r="P69" s="44"/>
      <c r="Q69" s="44"/>
      <c r="R69" s="44"/>
      <c r="S69" s="44"/>
      <c r="T69" s="51">
        <f t="shared" ref="T69" si="121">T67+T68</f>
        <v>1406.5947829693687</v>
      </c>
      <c r="U69" s="47"/>
      <c r="V69" s="48">
        <f t="shared" ref="V69" si="122">V68+V67</f>
        <v>20.531484251442226</v>
      </c>
      <c r="W69" s="47"/>
      <c r="X69" s="31"/>
    </row>
    <row r="70" spans="1:25" x14ac:dyDescent="0.25">
      <c r="A70" s="32" t="s">
        <v>358</v>
      </c>
      <c r="B70" s="33" t="s">
        <v>359</v>
      </c>
      <c r="C70" s="34" t="s">
        <v>360</v>
      </c>
      <c r="D70" s="34" t="s">
        <v>361</v>
      </c>
      <c r="E70" s="34" t="s">
        <v>362</v>
      </c>
      <c r="F70" s="34">
        <v>111058</v>
      </c>
      <c r="G70" s="34">
        <v>21791.5</v>
      </c>
      <c r="H70" s="34">
        <v>18093</v>
      </c>
      <c r="I70" s="36"/>
      <c r="J70" s="36"/>
      <c r="L70" s="46"/>
      <c r="M70" s="44"/>
      <c r="N70" s="44"/>
      <c r="O70" s="44"/>
      <c r="P70" s="44"/>
      <c r="Q70" s="44"/>
      <c r="R70" s="44"/>
      <c r="S70" s="44"/>
      <c r="T70" s="45"/>
      <c r="U70" s="47"/>
      <c r="V70" s="45"/>
      <c r="W70" s="47"/>
      <c r="X70" s="31"/>
    </row>
    <row r="71" spans="1:25" x14ac:dyDescent="0.25">
      <c r="A71" s="32" t="s">
        <v>363</v>
      </c>
      <c r="B71" s="33" t="s">
        <v>364</v>
      </c>
      <c r="C71" s="34">
        <v>411221</v>
      </c>
      <c r="D71" s="34">
        <v>42495.199999999997</v>
      </c>
      <c r="E71" s="34">
        <v>59149</v>
      </c>
      <c r="F71" s="34">
        <v>3297186</v>
      </c>
      <c r="G71" s="34">
        <v>361618.9</v>
      </c>
      <c r="H71" s="34">
        <v>447999</v>
      </c>
      <c r="I71" s="36">
        <f t="shared" ref="I71" si="123">SUM(E70:E71)*0.9/SUM(D70:D71)*1000</f>
        <v>1252.7085411999471</v>
      </c>
      <c r="J71" s="36">
        <f t="shared" ref="J71" si="124">SUM(H70:H71)/SUM(G70:G71)*1000</f>
        <v>1215.6477758558453</v>
      </c>
      <c r="L71" s="46"/>
      <c r="M71" s="44"/>
      <c r="N71" s="44"/>
      <c r="O71" s="44"/>
      <c r="P71" s="44"/>
      <c r="Q71" s="44"/>
      <c r="R71" s="44"/>
      <c r="S71" s="44"/>
      <c r="T71" s="45"/>
      <c r="U71" s="47"/>
      <c r="V71" s="45"/>
      <c r="W71" s="47"/>
      <c r="X71" s="31"/>
    </row>
    <row r="72" spans="1:25" x14ac:dyDescent="0.25">
      <c r="A72" s="161" t="s">
        <v>365</v>
      </c>
      <c r="B72" s="162" t="s">
        <v>366</v>
      </c>
      <c r="C72" s="164" t="s">
        <v>367</v>
      </c>
      <c r="D72" s="164" t="s">
        <v>368</v>
      </c>
      <c r="E72" s="164" t="s">
        <v>369</v>
      </c>
      <c r="F72" s="164" t="s">
        <v>370</v>
      </c>
      <c r="G72" s="164" t="s">
        <v>371</v>
      </c>
      <c r="H72" s="164" t="s">
        <v>372</v>
      </c>
      <c r="I72" s="117"/>
      <c r="J72" s="117"/>
      <c r="L72" s="46"/>
      <c r="M72" s="44"/>
      <c r="N72" s="44"/>
      <c r="O72" s="44"/>
      <c r="P72" s="44"/>
      <c r="Q72" s="44"/>
      <c r="R72" s="44"/>
      <c r="S72" s="44"/>
      <c r="T72" s="45"/>
      <c r="U72" s="47"/>
      <c r="V72" s="45"/>
      <c r="W72" s="47"/>
      <c r="X72" s="31"/>
    </row>
    <row r="73" spans="1:25" ht="12.75" x14ac:dyDescent="0.2">
      <c r="A73" s="32"/>
      <c r="B73" s="38" t="s">
        <v>373</v>
      </c>
      <c r="C73" s="34">
        <f>SUM(C67:C71)</f>
        <v>2500287</v>
      </c>
      <c r="D73" s="34">
        <f t="shared" ref="D73:H73" si="125">SUM(D67:D71)</f>
        <v>97349.9</v>
      </c>
      <c r="E73" s="34">
        <f t="shared" si="125"/>
        <v>165704</v>
      </c>
      <c r="F73" s="34">
        <f t="shared" si="125"/>
        <v>14052852</v>
      </c>
      <c r="G73" s="34">
        <f t="shared" si="125"/>
        <v>672960.5</v>
      </c>
      <c r="H73" s="34">
        <f t="shared" si="125"/>
        <v>975619</v>
      </c>
      <c r="I73" s="167">
        <f t="shared" ref="I73" si="126">E73*0.9/D73*1000</f>
        <v>1531.9337770249379</v>
      </c>
      <c r="J73" s="167">
        <f t="shared" ref="J73" si="127">H73/G73*1000</f>
        <v>1449.7418496330765</v>
      </c>
      <c r="L73" s="46"/>
      <c r="M73" s="44"/>
      <c r="N73" s="44"/>
      <c r="O73" s="44"/>
      <c r="P73" s="44"/>
      <c r="Q73" s="44"/>
      <c r="R73" s="44"/>
      <c r="S73" s="44"/>
      <c r="T73" s="45"/>
      <c r="U73" s="47"/>
      <c r="V73" s="45"/>
      <c r="W73" s="47"/>
      <c r="X73" s="31"/>
      <c r="Y73" s="27"/>
    </row>
    <row r="74" spans="1:25" ht="33.75" customHeight="1" x14ac:dyDescent="0.25">
      <c r="A74" s="175" t="s">
        <v>374</v>
      </c>
      <c r="B74" s="176"/>
      <c r="C74" s="177"/>
      <c r="D74" s="177"/>
      <c r="E74" s="176"/>
      <c r="F74" s="177"/>
      <c r="G74" s="177"/>
      <c r="H74" s="176"/>
      <c r="L74" s="44"/>
      <c r="M74" s="44"/>
      <c r="N74" s="44"/>
      <c r="O74" s="44"/>
      <c r="P74" s="44"/>
      <c r="Q74" s="44"/>
      <c r="R74" s="44"/>
      <c r="S74" s="44"/>
      <c r="T74" s="45"/>
      <c r="U74" s="44"/>
      <c r="V74" s="45"/>
      <c r="W74" s="47"/>
      <c r="X74" s="31"/>
    </row>
    <row r="75" spans="1:25" x14ac:dyDescent="0.25">
      <c r="A75" s="32" t="s">
        <v>375</v>
      </c>
      <c r="B75" s="33" t="s">
        <v>376</v>
      </c>
      <c r="C75" s="34">
        <v>21574</v>
      </c>
      <c r="D75" s="34">
        <v>1761.8</v>
      </c>
      <c r="E75" s="34">
        <v>7413</v>
      </c>
      <c r="F75" s="34">
        <v>55219</v>
      </c>
      <c r="G75" s="34">
        <v>3146.7</v>
      </c>
      <c r="H75" s="34">
        <v>12350</v>
      </c>
      <c r="L75" s="46"/>
      <c r="M75" s="44"/>
      <c r="N75" s="44"/>
      <c r="O75" s="44"/>
      <c r="P75" s="44"/>
      <c r="Q75" s="44"/>
      <c r="R75" s="44">
        <v>30</v>
      </c>
      <c r="S75" s="148">
        <f t="shared" ref="S75" si="128">R75*N76*Q76</f>
        <v>5223.9983776780291</v>
      </c>
      <c r="T75" s="48">
        <f t="shared" ref="T75" si="129">S75*F75/1000000</f>
        <v>288.46396641700312</v>
      </c>
      <c r="U75" s="46"/>
      <c r="V75" s="48">
        <f t="shared" ref="V75" si="130">T75/U76*100</f>
        <v>3.5106101309498183</v>
      </c>
      <c r="W75" s="47"/>
      <c r="X75" s="31"/>
    </row>
    <row r="76" spans="1:25" x14ac:dyDescent="0.25">
      <c r="A76" s="32" t="s">
        <v>377</v>
      </c>
      <c r="B76" s="33" t="s">
        <v>378</v>
      </c>
      <c r="C76" s="34">
        <v>1702122</v>
      </c>
      <c r="D76" s="34">
        <v>42933.2</v>
      </c>
      <c r="E76" s="34">
        <v>107766</v>
      </c>
      <c r="F76" s="34">
        <v>10740138</v>
      </c>
      <c r="G76" s="34">
        <v>286684.40000000002</v>
      </c>
      <c r="H76" s="34">
        <v>668860</v>
      </c>
      <c r="I76" s="61">
        <f t="shared" ref="I76" si="131">SUM(E75:E76)*0.9/SUM(D75:D76)*1000</f>
        <v>2319.2996979527911</v>
      </c>
      <c r="J76" s="61">
        <f t="shared" ref="J76" si="132">SUM(H75:H76)/SUM(G75:G76)*1000</f>
        <v>2350.3688872588205</v>
      </c>
      <c r="L76" s="46">
        <f t="shared" ref="L76" si="133">(G76*1000)/F76</f>
        <v>26.692804133429199</v>
      </c>
      <c r="M76" s="46">
        <f>'[5]Gewicht Schweine'!$M$18</f>
        <v>94.82234099224803</v>
      </c>
      <c r="N76" s="46">
        <f t="shared" ref="N76" si="134">M76/0.77</f>
        <v>123.1458973925299</v>
      </c>
      <c r="O76" s="46">
        <f>M76-L76</f>
        <v>68.129536858818824</v>
      </c>
      <c r="P76" s="46">
        <f t="shared" ref="P76" si="135">N76-L76</f>
        <v>96.453093259100712</v>
      </c>
      <c r="Q76" s="46">
        <f t="shared" ref="Q76" si="136">(W76/1000)/1.23</f>
        <v>1.4140404426213333</v>
      </c>
      <c r="R76" s="46"/>
      <c r="S76" s="46">
        <f t="shared" ref="S76" si="137">Q76*P76</f>
        <v>136.38857468429552</v>
      </c>
      <c r="T76" s="49">
        <f t="shared" ref="T76" si="138">S76*(F76*0.97)/1000000</f>
        <v>1420.887150320661</v>
      </c>
      <c r="U76" s="47">
        <f>'[6]2019'!$H$1007</f>
        <v>8216.9183035701353</v>
      </c>
      <c r="V76" s="50">
        <f t="shared" ref="V76" si="139">T76/U76*100</f>
        <v>17.292214645766961</v>
      </c>
      <c r="W76" s="47">
        <f>'[6]2019'!$F$985</f>
        <v>1739.2697444242399</v>
      </c>
      <c r="X76" s="37"/>
    </row>
    <row r="77" spans="1:25" x14ac:dyDescent="0.25">
      <c r="A77" s="32" t="s">
        <v>379</v>
      </c>
      <c r="B77" s="33" t="s">
        <v>380</v>
      </c>
      <c r="C77" s="34" t="s">
        <v>381</v>
      </c>
      <c r="D77" s="34" t="s">
        <v>382</v>
      </c>
      <c r="E77" s="34" t="s">
        <v>383</v>
      </c>
      <c r="F77" s="34" t="s">
        <v>384</v>
      </c>
      <c r="G77" s="34" t="s">
        <v>385</v>
      </c>
      <c r="H77" s="34" t="s">
        <v>386</v>
      </c>
      <c r="L77" s="46"/>
      <c r="M77" s="44"/>
      <c r="N77" s="44"/>
      <c r="O77" s="44"/>
      <c r="P77" s="44"/>
      <c r="Q77" s="44"/>
      <c r="R77" s="44"/>
      <c r="S77" s="44"/>
      <c r="T77" s="51">
        <f t="shared" ref="T77" si="140">T75+T76</f>
        <v>1709.3511167376641</v>
      </c>
      <c r="U77" s="47"/>
      <c r="V77" s="48">
        <f t="shared" ref="V77" si="141">V76+V75</f>
        <v>20.802824776716779</v>
      </c>
      <c r="W77" s="47"/>
      <c r="X77" s="31"/>
    </row>
    <row r="78" spans="1:25" x14ac:dyDescent="0.25">
      <c r="A78" s="32" t="s">
        <v>387</v>
      </c>
      <c r="B78" s="33" t="s">
        <v>388</v>
      </c>
      <c r="C78" s="34">
        <v>233</v>
      </c>
      <c r="D78" s="34">
        <v>53.4</v>
      </c>
      <c r="E78" s="34">
        <v>78</v>
      </c>
      <c r="F78" s="34">
        <v>111518</v>
      </c>
      <c r="G78" s="34">
        <v>21282.1</v>
      </c>
      <c r="H78" s="34">
        <v>23707</v>
      </c>
      <c r="I78" s="36"/>
      <c r="J78" s="36"/>
      <c r="L78" s="46"/>
      <c r="M78" s="44"/>
      <c r="N78" s="44"/>
      <c r="O78" s="44"/>
      <c r="P78" s="44"/>
      <c r="Q78" s="44"/>
      <c r="R78" s="44"/>
      <c r="S78" s="44"/>
      <c r="T78" s="45"/>
      <c r="U78" s="47"/>
      <c r="V78" s="45"/>
      <c r="W78" s="47"/>
      <c r="X78" s="31"/>
    </row>
    <row r="79" spans="1:25" x14ac:dyDescent="0.25">
      <c r="A79" s="32" t="s">
        <v>389</v>
      </c>
      <c r="B79" s="33" t="s">
        <v>390</v>
      </c>
      <c r="C79" s="34">
        <v>375573</v>
      </c>
      <c r="D79" s="34">
        <v>38396.300000000003</v>
      </c>
      <c r="E79" s="34">
        <v>65538</v>
      </c>
      <c r="F79" s="34">
        <v>3081543</v>
      </c>
      <c r="G79" s="34">
        <v>349701.5</v>
      </c>
      <c r="H79" s="34">
        <v>512934</v>
      </c>
      <c r="I79" s="36">
        <f t="shared" ref="I79" si="142">SUM(E78:E79)*0.9/SUM(D78:D79)*1000</f>
        <v>1535.8871460635582</v>
      </c>
      <c r="J79" s="36">
        <f t="shared" ref="J79" si="143">SUM(H78:H79)/SUM(G78:G79)*1000</f>
        <v>1446.5356420068165</v>
      </c>
      <c r="L79" s="46"/>
      <c r="M79" s="44"/>
      <c r="N79" s="44"/>
      <c r="O79" s="44"/>
      <c r="P79" s="44"/>
      <c r="Q79" s="44"/>
      <c r="R79" s="44"/>
      <c r="S79" s="44"/>
      <c r="T79" s="45"/>
      <c r="U79" s="47"/>
      <c r="V79" s="45"/>
      <c r="W79" s="47"/>
      <c r="X79" s="31"/>
    </row>
    <row r="80" spans="1:25" x14ac:dyDescent="0.25">
      <c r="A80" s="161" t="s">
        <v>391</v>
      </c>
      <c r="B80" s="162" t="s">
        <v>392</v>
      </c>
      <c r="C80" s="164" t="s">
        <v>393</v>
      </c>
      <c r="D80" s="164" t="s">
        <v>394</v>
      </c>
      <c r="E80" s="164" t="s">
        <v>395</v>
      </c>
      <c r="F80" s="164" t="s">
        <v>396</v>
      </c>
      <c r="G80" s="164" t="s">
        <v>397</v>
      </c>
      <c r="H80" s="164" t="s">
        <v>398</v>
      </c>
      <c r="I80" s="117"/>
      <c r="J80" s="117"/>
      <c r="L80" s="46"/>
      <c r="M80" s="44"/>
      <c r="N80" s="44"/>
      <c r="O80" s="44"/>
      <c r="P80" s="44"/>
      <c r="Q80" s="44"/>
      <c r="R80" s="44"/>
      <c r="S80" s="44"/>
      <c r="T80" s="45"/>
      <c r="U80" s="47"/>
      <c r="V80" s="45"/>
      <c r="W80" s="47"/>
      <c r="X80" s="31"/>
    </row>
    <row r="81" spans="1:25" ht="12.75" x14ac:dyDescent="0.2">
      <c r="A81" s="32"/>
      <c r="B81" s="38" t="s">
        <v>399</v>
      </c>
      <c r="C81" s="34">
        <f>SUM(C75:C79)</f>
        <v>2099502</v>
      </c>
      <c r="D81" s="34">
        <f t="shared" ref="D81:H81" si="144">SUM(D75:D79)</f>
        <v>83144.700000000012</v>
      </c>
      <c r="E81" s="34">
        <f t="shared" si="144"/>
        <v>180795</v>
      </c>
      <c r="F81" s="34">
        <f t="shared" si="144"/>
        <v>13988418</v>
      </c>
      <c r="G81" s="34">
        <f t="shared" si="144"/>
        <v>660814.69999999995</v>
      </c>
      <c r="H81" s="34">
        <f t="shared" si="144"/>
        <v>1217851</v>
      </c>
      <c r="I81" s="167">
        <f t="shared" ref="I81" si="145">E81*0.9/D81*1000</f>
        <v>1957.0159011939422</v>
      </c>
      <c r="J81" s="167">
        <f t="shared" ref="J81" si="146">H81/G81*1000</f>
        <v>1842.9538568073622</v>
      </c>
      <c r="L81" s="46"/>
      <c r="M81" s="44"/>
      <c r="N81" s="44"/>
      <c r="O81" s="44"/>
      <c r="P81" s="44"/>
      <c r="Q81" s="44"/>
      <c r="R81" s="44"/>
      <c r="S81" s="44"/>
      <c r="T81" s="45"/>
      <c r="U81" s="47"/>
      <c r="V81" s="45"/>
      <c r="W81" s="47"/>
      <c r="X81" s="31"/>
      <c r="Y81" s="27"/>
    </row>
    <row r="82" spans="1:25" ht="33.75" customHeight="1" x14ac:dyDescent="0.25">
      <c r="A82" s="175" t="s">
        <v>400</v>
      </c>
      <c r="B82" s="176"/>
      <c r="C82" s="177"/>
      <c r="D82" s="177"/>
      <c r="E82" s="176"/>
      <c r="F82" s="177"/>
      <c r="G82" s="177"/>
      <c r="H82" s="176"/>
      <c r="L82" s="44"/>
      <c r="M82" s="44"/>
      <c r="N82" s="44"/>
      <c r="O82" s="44"/>
      <c r="P82" s="44"/>
      <c r="Q82" s="44"/>
      <c r="R82" s="44"/>
      <c r="S82" s="44"/>
      <c r="T82" s="45"/>
      <c r="U82" s="44"/>
      <c r="V82" s="45"/>
      <c r="W82" s="47"/>
      <c r="X82" s="31"/>
    </row>
    <row r="83" spans="1:25" x14ac:dyDescent="0.25">
      <c r="A83" s="32" t="s">
        <v>401</v>
      </c>
      <c r="B83" s="33" t="s">
        <v>402</v>
      </c>
      <c r="C83" s="34">
        <v>17056</v>
      </c>
      <c r="D83" s="34">
        <v>1401</v>
      </c>
      <c r="E83" s="34">
        <v>6431</v>
      </c>
      <c r="F83" s="34">
        <v>43560</v>
      </c>
      <c r="G83" s="34">
        <v>2720.7</v>
      </c>
      <c r="H83" s="34">
        <v>9417</v>
      </c>
      <c r="L83" s="46"/>
      <c r="M83" s="44"/>
      <c r="N83" s="44"/>
      <c r="O83" s="44"/>
      <c r="P83" s="44"/>
      <c r="Q83" s="44"/>
      <c r="R83" s="44">
        <v>30</v>
      </c>
      <c r="S83" s="148">
        <f t="shared" ref="S83" si="147">R83*N84*Q84</f>
        <v>4830.2983466840615</v>
      </c>
      <c r="T83" s="48">
        <f t="shared" ref="T83" si="148">S83*F83/1000000</f>
        <v>210.40779598155774</v>
      </c>
      <c r="U83" s="46"/>
      <c r="V83" s="48">
        <f t="shared" ref="V83" si="149">T83/U84*100</f>
        <v>2.9802907130641429</v>
      </c>
      <c r="W83" s="47"/>
      <c r="X83" s="31"/>
    </row>
    <row r="84" spans="1:25" x14ac:dyDescent="0.25">
      <c r="A84" s="32" t="s">
        <v>403</v>
      </c>
      <c r="B84" s="33" t="s">
        <v>404</v>
      </c>
      <c r="C84" s="34">
        <v>1702919</v>
      </c>
      <c r="D84" s="34">
        <v>43636.9</v>
      </c>
      <c r="E84" s="34">
        <v>103563</v>
      </c>
      <c r="F84" s="34">
        <v>10360702</v>
      </c>
      <c r="G84" s="34">
        <v>283679.7</v>
      </c>
      <c r="H84" s="34">
        <v>619952</v>
      </c>
      <c r="I84" s="61">
        <f t="shared" ref="I84" si="150">SUM(E83:E84)*0.9/SUM(D83:D84)*1000</f>
        <v>2198.0287713237076</v>
      </c>
      <c r="J84" s="61">
        <f t="shared" ref="J84" si="151">SUM(H83:H84)/SUM(G83:G84)*1000</f>
        <v>2197.5143889463839</v>
      </c>
      <c r="L84" s="46">
        <f t="shared" ref="L84" si="152">(G84*1000)/F84</f>
        <v>27.38035511493333</v>
      </c>
      <c r="M84" s="46">
        <f>'[5]Gewicht Schweine'!$M$19</f>
        <v>95.870898375166831</v>
      </c>
      <c r="N84" s="46">
        <f t="shared" ref="N84" si="153">M84/0.77</f>
        <v>124.50766022748938</v>
      </c>
      <c r="O84" s="46">
        <f>M84-L84</f>
        <v>68.490543260233494</v>
      </c>
      <c r="P84" s="46">
        <f t="shared" ref="P84" si="154">N84-L84</f>
        <v>97.127305112556058</v>
      </c>
      <c r="Q84" s="46">
        <f t="shared" ref="Q84" si="155">(W84/1000)/1.23</f>
        <v>1.2931730031331854</v>
      </c>
      <c r="R84" s="46"/>
      <c r="S84" s="46">
        <f t="shared" ref="S84" si="156">Q84*P84</f>
        <v>125.60240883863732</v>
      </c>
      <c r="T84" s="49">
        <f t="shared" ref="T84" si="157">S84*(F84*0.97)/1000000</f>
        <v>1262.2892546055086</v>
      </c>
      <c r="U84" s="47">
        <f>'[6]2020'!$X$1007</f>
        <v>7059.9755607475618</v>
      </c>
      <c r="V84" s="50">
        <f t="shared" ref="V84" si="158">T84/U84*100</f>
        <v>17.879513091003506</v>
      </c>
      <c r="W84" s="47">
        <f>'[6]2020'!$V$985</f>
        <v>1590.6027938538182</v>
      </c>
      <c r="X84" s="37"/>
    </row>
    <row r="85" spans="1:25" x14ac:dyDescent="0.25">
      <c r="A85" s="32" t="s">
        <v>405</v>
      </c>
      <c r="B85" s="33" t="s">
        <v>406</v>
      </c>
      <c r="C85" s="34" t="s">
        <v>407</v>
      </c>
      <c r="D85" s="34" t="s">
        <v>408</v>
      </c>
      <c r="E85" s="34" t="s">
        <v>409</v>
      </c>
      <c r="F85" s="34" t="s">
        <v>410</v>
      </c>
      <c r="G85" s="34" t="s">
        <v>411</v>
      </c>
      <c r="H85" s="34" t="s">
        <v>412</v>
      </c>
      <c r="L85" s="46"/>
      <c r="M85" s="44"/>
      <c r="N85" s="44"/>
      <c r="O85" s="44"/>
      <c r="P85" s="44"/>
      <c r="Q85" s="44"/>
      <c r="R85" s="44"/>
      <c r="S85" s="44"/>
      <c r="T85" s="51">
        <f t="shared" ref="T85" si="159">T83+T84</f>
        <v>1472.6970505870663</v>
      </c>
      <c r="U85" s="47"/>
      <c r="V85" s="48">
        <f t="shared" ref="V85" si="160">V84+V83</f>
        <v>20.859803804067649</v>
      </c>
      <c r="W85" s="47"/>
      <c r="X85" s="31"/>
    </row>
    <row r="86" spans="1:25" x14ac:dyDescent="0.25">
      <c r="A86" s="32" t="s">
        <v>413</v>
      </c>
      <c r="B86" s="33" t="s">
        <v>414</v>
      </c>
      <c r="C86" s="34">
        <v>808</v>
      </c>
      <c r="D86" s="34">
        <v>175.3</v>
      </c>
      <c r="E86" s="34">
        <v>109</v>
      </c>
      <c r="F86" s="34">
        <v>121629</v>
      </c>
      <c r="G86" s="34">
        <v>23310.9</v>
      </c>
      <c r="H86" s="34">
        <v>23658</v>
      </c>
      <c r="I86" s="36"/>
      <c r="J86" s="36"/>
      <c r="L86" s="46"/>
      <c r="M86" s="44"/>
      <c r="N86" s="44"/>
      <c r="O86" s="44"/>
      <c r="P86" s="44"/>
      <c r="Q86" s="44"/>
      <c r="R86" s="44"/>
      <c r="S86" s="44"/>
      <c r="T86" s="45"/>
      <c r="U86" s="47"/>
      <c r="V86" s="45"/>
      <c r="W86" s="47"/>
      <c r="X86" s="31"/>
    </row>
    <row r="87" spans="1:25" x14ac:dyDescent="0.25">
      <c r="A87" s="32" t="s">
        <v>415</v>
      </c>
      <c r="B87" s="33" t="s">
        <v>416</v>
      </c>
      <c r="C87" s="34">
        <v>489465</v>
      </c>
      <c r="D87" s="34">
        <v>51817.5</v>
      </c>
      <c r="E87" s="34">
        <v>74356</v>
      </c>
      <c r="F87" s="34">
        <v>1977766</v>
      </c>
      <c r="G87" s="34">
        <v>228703.8</v>
      </c>
      <c r="H87" s="34">
        <v>324055</v>
      </c>
      <c r="I87" s="36">
        <f t="shared" ref="I87" si="161">SUM(E86:E87)*0.9/SUM(D86:D87)*1000</f>
        <v>1288.9957840316351</v>
      </c>
      <c r="J87" s="36">
        <f t="shared" ref="J87" si="162">SUM(H86:H87)/SUM(G86:G87)*1000</f>
        <v>1379.7330076380465</v>
      </c>
      <c r="L87" s="46"/>
      <c r="M87" s="44"/>
      <c r="N87" s="44"/>
      <c r="O87" s="44"/>
      <c r="P87" s="44"/>
      <c r="Q87" s="44"/>
      <c r="R87" s="44"/>
      <c r="S87" s="44"/>
      <c r="T87" s="45"/>
      <c r="U87" s="47"/>
      <c r="V87" s="45"/>
      <c r="W87" s="47"/>
      <c r="X87" s="31"/>
    </row>
    <row r="88" spans="1:25" x14ac:dyDescent="0.25">
      <c r="A88" s="161" t="s">
        <v>417</v>
      </c>
      <c r="B88" s="162" t="s">
        <v>418</v>
      </c>
      <c r="C88" s="164" t="s">
        <v>419</v>
      </c>
      <c r="D88" s="164" t="s">
        <v>420</v>
      </c>
      <c r="E88" s="164" t="s">
        <v>421</v>
      </c>
      <c r="F88" s="164" t="s">
        <v>422</v>
      </c>
      <c r="G88" s="164" t="s">
        <v>423</v>
      </c>
      <c r="H88" s="164" t="s">
        <v>424</v>
      </c>
      <c r="I88" s="117"/>
      <c r="J88" s="117"/>
      <c r="L88" s="46"/>
      <c r="M88" s="44"/>
      <c r="N88" s="44"/>
      <c r="O88" s="44"/>
      <c r="P88" s="44"/>
      <c r="Q88" s="44"/>
      <c r="R88" s="44"/>
      <c r="S88" s="44"/>
      <c r="T88" s="45"/>
      <c r="U88" s="47"/>
      <c r="V88" s="45"/>
      <c r="W88" s="47"/>
      <c r="X88" s="31"/>
    </row>
    <row r="89" spans="1:25" ht="12.75" x14ac:dyDescent="0.2">
      <c r="A89" s="32"/>
      <c r="B89" s="38" t="s">
        <v>425</v>
      </c>
      <c r="C89" s="34">
        <f>SUM(C83:C87)</f>
        <v>2210248</v>
      </c>
      <c r="D89" s="34">
        <f t="shared" ref="D89:H89" si="163">SUM(D83:D87)</f>
        <v>97030.700000000012</v>
      </c>
      <c r="E89" s="34">
        <f t="shared" si="163"/>
        <v>184459</v>
      </c>
      <c r="F89" s="34">
        <f t="shared" si="163"/>
        <v>12503657</v>
      </c>
      <c r="G89" s="34">
        <f t="shared" si="163"/>
        <v>538415.10000000009</v>
      </c>
      <c r="H89" s="34">
        <f t="shared" si="163"/>
        <v>977082</v>
      </c>
      <c r="I89" s="167">
        <f t="shared" ref="I89" si="164">E89*0.9/D89*1000</f>
        <v>1710.9337560174254</v>
      </c>
      <c r="J89" s="167">
        <f t="shared" ref="J89" si="165">H89/G89*1000</f>
        <v>1814.7373652782023</v>
      </c>
      <c r="L89" s="46"/>
      <c r="M89" s="44"/>
      <c r="N89" s="44"/>
      <c r="O89" s="44"/>
      <c r="P89" s="44"/>
      <c r="Q89" s="44"/>
      <c r="R89" s="44"/>
      <c r="S89" s="44"/>
      <c r="T89" s="45"/>
      <c r="U89" s="47"/>
      <c r="V89" s="45"/>
      <c r="W89" s="47"/>
      <c r="X89" s="31"/>
      <c r="Y89" s="27"/>
    </row>
    <row r="90" spans="1:25" ht="33.75" customHeight="1" x14ac:dyDescent="0.25">
      <c r="A90" s="175" t="s">
        <v>426</v>
      </c>
      <c r="B90" s="176"/>
      <c r="C90" s="177"/>
      <c r="D90" s="177"/>
      <c r="E90" s="176"/>
      <c r="F90" s="177"/>
      <c r="G90" s="177"/>
      <c r="H90" s="176"/>
      <c r="L90" s="44"/>
      <c r="M90" s="44"/>
      <c r="N90" s="44"/>
      <c r="O90" s="44"/>
      <c r="P90" s="44"/>
      <c r="Q90" s="44"/>
      <c r="R90" s="44"/>
      <c r="S90" s="44"/>
      <c r="T90" s="45"/>
      <c r="U90" s="44"/>
      <c r="V90" s="45"/>
      <c r="W90" s="47"/>
      <c r="X90" s="31"/>
    </row>
    <row r="91" spans="1:25" x14ac:dyDescent="0.25">
      <c r="A91" s="32" t="s">
        <v>427</v>
      </c>
      <c r="B91" s="33" t="s">
        <v>428</v>
      </c>
      <c r="C91" s="34">
        <v>23824</v>
      </c>
      <c r="D91" s="34">
        <v>2035.4</v>
      </c>
      <c r="E91" s="34">
        <v>7537</v>
      </c>
      <c r="F91" s="34">
        <v>60144</v>
      </c>
      <c r="G91" s="34">
        <v>3794.1</v>
      </c>
      <c r="H91" s="34">
        <v>10447</v>
      </c>
      <c r="L91" s="46"/>
      <c r="M91" s="44"/>
      <c r="N91" s="44"/>
      <c r="O91" s="44"/>
      <c r="P91" s="44"/>
      <c r="Q91" s="44"/>
      <c r="R91" s="44">
        <v>30</v>
      </c>
      <c r="S91" s="148">
        <f t="shared" ref="S91" si="166">R91*N92*Q92</f>
        <v>4156.0853344610241</v>
      </c>
      <c r="T91" s="48">
        <f t="shared" ref="T91" si="167">S91*F91/1000000</f>
        <v>249.96359635582385</v>
      </c>
      <c r="U91" s="46"/>
      <c r="V91" s="48">
        <f t="shared" ref="V91" si="168">T91/U92*100</f>
        <v>4.0874715648337769</v>
      </c>
      <c r="W91" s="47"/>
      <c r="X91" s="31"/>
    </row>
    <row r="92" spans="1:25" x14ac:dyDescent="0.25">
      <c r="A92" s="32" t="s">
        <v>429</v>
      </c>
      <c r="B92" s="33" t="s">
        <v>430</v>
      </c>
      <c r="C92" s="34">
        <v>1336126</v>
      </c>
      <c r="D92" s="34">
        <v>33039.300000000003</v>
      </c>
      <c r="E92" s="34">
        <v>57829</v>
      </c>
      <c r="F92" s="34">
        <v>9588069</v>
      </c>
      <c r="G92" s="34">
        <v>265314.40000000002</v>
      </c>
      <c r="H92" s="34">
        <v>424557</v>
      </c>
      <c r="I92" s="61">
        <f t="shared" ref="I92" si="169">SUM(E91:E92)*0.9/SUM(D91:D92)*1000</f>
        <v>1677.260247414803</v>
      </c>
      <c r="J92" s="61">
        <f t="shared" ref="J92" si="170">SUM(H91:H92)/SUM(G91:G92)*1000</f>
        <v>1616.4632480950991</v>
      </c>
      <c r="L92" s="46">
        <f t="shared" ref="L92" si="171">(G92*1000)/F92</f>
        <v>27.67130691278922</v>
      </c>
      <c r="M92" s="46">
        <f>'[5]Gewicht Schweine'!$M$20</f>
        <v>95.829848730904956</v>
      </c>
      <c r="N92" s="46">
        <f t="shared" ref="N92" si="172">M92/0.77</f>
        <v>124.45434900117526</v>
      </c>
      <c r="O92" s="46">
        <f>M92-L92</f>
        <v>68.158541818115737</v>
      </c>
      <c r="P92" s="46">
        <f t="shared" ref="P92" si="173">N92-L92</f>
        <v>96.78304208838604</v>
      </c>
      <c r="Q92" s="46">
        <f t="shared" ref="Q92" si="174">(W92/1000)/1.23</f>
        <v>1.1131485474570215</v>
      </c>
      <c r="R92" s="46"/>
      <c r="S92" s="46">
        <f t="shared" ref="S92" si="175">Q92*P92</f>
        <v>107.73390271915869</v>
      </c>
      <c r="T92" s="49">
        <f t="shared" ref="T92" si="176">S92*(F92*0.97)/1000000</f>
        <v>1001.9712901232638</v>
      </c>
      <c r="U92" s="47">
        <f>'[6]2021'!$X$1007</f>
        <v>6115.3598842464116</v>
      </c>
      <c r="V92" s="50">
        <f t="shared" ref="V92" si="177">T92/U92*100</f>
        <v>16.384502451023543</v>
      </c>
      <c r="W92" s="47">
        <f>'[6]2021'!$V$985</f>
        <v>1369.1727133721365</v>
      </c>
      <c r="X92" s="37"/>
    </row>
    <row r="93" spans="1:25" x14ac:dyDescent="0.25">
      <c r="A93" s="32" t="s">
        <v>431</v>
      </c>
      <c r="B93" s="33" t="s">
        <v>432</v>
      </c>
      <c r="C93" s="34" t="s">
        <v>433</v>
      </c>
      <c r="D93" s="34" t="s">
        <v>434</v>
      </c>
      <c r="E93" s="34" t="s">
        <v>435</v>
      </c>
      <c r="F93" s="34" t="s">
        <v>436</v>
      </c>
      <c r="G93" s="34" t="s">
        <v>437</v>
      </c>
      <c r="H93" s="34" t="s">
        <v>438</v>
      </c>
      <c r="L93" s="46"/>
      <c r="M93" s="44"/>
      <c r="N93" s="44"/>
      <c r="O93" s="44"/>
      <c r="P93" s="44"/>
      <c r="Q93" s="44"/>
      <c r="R93" s="44"/>
      <c r="S93" s="44"/>
      <c r="T93" s="51">
        <f t="shared" ref="T93" si="178">T91+T92</f>
        <v>1251.9348864790877</v>
      </c>
      <c r="U93" s="47"/>
      <c r="V93" s="48">
        <f t="shared" ref="V93" si="179">V92+V91</f>
        <v>20.47197401585732</v>
      </c>
      <c r="W93" s="47"/>
      <c r="X93" s="31"/>
    </row>
    <row r="94" spans="1:25" x14ac:dyDescent="0.25">
      <c r="A94" s="32" t="s">
        <v>439</v>
      </c>
      <c r="B94" s="33" t="s">
        <v>440</v>
      </c>
      <c r="C94" s="34">
        <v>503</v>
      </c>
      <c r="D94" s="34">
        <v>95.8</v>
      </c>
      <c r="E94" s="34">
        <v>98</v>
      </c>
      <c r="F94" s="34">
        <v>83031</v>
      </c>
      <c r="G94" s="34">
        <v>15867.8</v>
      </c>
      <c r="H94" s="34">
        <v>13742</v>
      </c>
      <c r="I94" s="36"/>
      <c r="J94" s="36"/>
      <c r="L94" s="46"/>
      <c r="M94" s="44"/>
      <c r="N94" s="44"/>
      <c r="O94" s="44"/>
      <c r="P94" s="44"/>
      <c r="Q94" s="44"/>
      <c r="R94" s="44"/>
      <c r="S94" s="44"/>
      <c r="T94" s="45"/>
      <c r="U94" s="47"/>
      <c r="V94" s="45"/>
      <c r="W94" s="47"/>
      <c r="X94" s="31"/>
    </row>
    <row r="95" spans="1:25" x14ac:dyDescent="0.25">
      <c r="A95" s="32" t="s">
        <v>441</v>
      </c>
      <c r="B95" s="33" t="s">
        <v>442</v>
      </c>
      <c r="C95" s="34">
        <v>602845</v>
      </c>
      <c r="D95" s="34">
        <v>64274.1</v>
      </c>
      <c r="E95" s="34">
        <v>81890</v>
      </c>
      <c r="F95" s="34">
        <v>1026181</v>
      </c>
      <c r="G95" s="34">
        <v>121653.7</v>
      </c>
      <c r="H95" s="34">
        <v>138121</v>
      </c>
      <c r="I95" s="36">
        <f t="shared" ref="I95" si="180">SUM(E94:E95)*0.9/SUM(D94:D95)*1000</f>
        <v>1146.3308161112568</v>
      </c>
      <c r="J95" s="36">
        <f t="shared" ref="J95" si="181">SUM(H94:H95)/SUM(G94:G95)*1000</f>
        <v>1104.2855117199856</v>
      </c>
      <c r="L95" s="46"/>
      <c r="M95" s="44"/>
      <c r="N95" s="44"/>
      <c r="O95" s="44"/>
      <c r="P95" s="44"/>
      <c r="Q95" s="44"/>
      <c r="R95" s="44"/>
      <c r="S95" s="44"/>
      <c r="T95" s="45"/>
      <c r="U95" s="47"/>
      <c r="V95" s="45"/>
      <c r="W95" s="47"/>
      <c r="X95" s="31"/>
    </row>
    <row r="96" spans="1:25" x14ac:dyDescent="0.25">
      <c r="A96" s="161" t="s">
        <v>443</v>
      </c>
      <c r="B96" s="162" t="s">
        <v>444</v>
      </c>
      <c r="C96" s="164" t="s">
        <v>445</v>
      </c>
      <c r="D96" s="164" t="s">
        <v>446</v>
      </c>
      <c r="E96" s="164" t="s">
        <v>447</v>
      </c>
      <c r="F96" s="164" t="s">
        <v>448</v>
      </c>
      <c r="G96" s="164" t="s">
        <v>449</v>
      </c>
      <c r="H96" s="164" t="s">
        <v>450</v>
      </c>
      <c r="I96" s="117"/>
      <c r="J96" s="117"/>
      <c r="L96" s="46"/>
      <c r="M96" s="44"/>
      <c r="N96" s="44"/>
      <c r="O96" s="44"/>
      <c r="P96" s="44"/>
      <c r="Q96" s="44"/>
      <c r="R96" s="44"/>
      <c r="S96" s="44"/>
      <c r="T96" s="45"/>
      <c r="U96" s="47"/>
      <c r="V96" s="45"/>
      <c r="W96" s="47"/>
      <c r="X96" s="31"/>
    </row>
    <row r="97" spans="1:25" ht="12.75" x14ac:dyDescent="0.2">
      <c r="A97" s="32"/>
      <c r="B97" s="38" t="s">
        <v>451</v>
      </c>
      <c r="C97" s="34">
        <f>SUM(C91:C95)</f>
        <v>1963298</v>
      </c>
      <c r="D97" s="34">
        <f t="shared" ref="D97:H97" si="182">SUM(D91:D95)</f>
        <v>99444.6</v>
      </c>
      <c r="E97" s="34">
        <f t="shared" si="182"/>
        <v>147354</v>
      </c>
      <c r="F97" s="34">
        <f t="shared" si="182"/>
        <v>10757425</v>
      </c>
      <c r="G97" s="34">
        <f t="shared" si="182"/>
        <v>406630</v>
      </c>
      <c r="H97" s="34">
        <f t="shared" si="182"/>
        <v>586867</v>
      </c>
      <c r="I97" s="167">
        <f t="shared" ref="I97" si="183">E97*0.9/D97*1000</f>
        <v>1333.5927742682861</v>
      </c>
      <c r="J97" s="167">
        <f t="shared" ref="J97" si="184">H97/G97*1000</f>
        <v>1443.2457024813712</v>
      </c>
      <c r="L97" s="46"/>
      <c r="M97" s="44"/>
      <c r="N97" s="44"/>
      <c r="O97" s="44"/>
      <c r="P97" s="44"/>
      <c r="Q97" s="44"/>
      <c r="R97" s="44"/>
      <c r="S97" s="44"/>
      <c r="T97" s="45"/>
      <c r="U97" s="47"/>
      <c r="V97" s="45"/>
      <c r="W97" s="47"/>
      <c r="X97" s="31"/>
      <c r="Y97" s="27"/>
    </row>
    <row r="98" spans="1:25" ht="33.75" customHeight="1" x14ac:dyDescent="0.25">
      <c r="A98" s="175" t="s">
        <v>452</v>
      </c>
      <c r="B98" s="176"/>
      <c r="C98" s="177"/>
      <c r="D98" s="177"/>
      <c r="E98" s="176"/>
      <c r="F98" s="177"/>
      <c r="G98" s="177"/>
      <c r="H98" s="176"/>
      <c r="L98" s="44"/>
      <c r="M98" s="44"/>
      <c r="N98" s="44"/>
      <c r="O98" s="44"/>
      <c r="P98" s="44"/>
      <c r="Q98" s="44"/>
      <c r="R98" s="44"/>
      <c r="S98" s="44"/>
      <c r="T98" s="45"/>
      <c r="U98" s="44"/>
      <c r="V98" s="45"/>
      <c r="W98" s="47"/>
      <c r="X98" s="31"/>
    </row>
    <row r="99" spans="1:25" x14ac:dyDescent="0.25">
      <c r="A99" s="32" t="s">
        <v>453</v>
      </c>
      <c r="B99" s="33" t="s">
        <v>454</v>
      </c>
      <c r="C99" s="34">
        <v>25719</v>
      </c>
      <c r="D99" s="34">
        <v>2088.1</v>
      </c>
      <c r="E99" s="34">
        <v>7481</v>
      </c>
      <c r="F99" s="34">
        <v>37011</v>
      </c>
      <c r="G99" s="34">
        <v>2323.5</v>
      </c>
      <c r="H99" s="34">
        <v>7351</v>
      </c>
      <c r="L99" s="46"/>
      <c r="M99" s="44"/>
      <c r="N99" s="44"/>
      <c r="O99" s="44"/>
      <c r="P99" s="44"/>
      <c r="Q99" s="44"/>
      <c r="R99" s="44">
        <v>30</v>
      </c>
      <c r="S99" s="148">
        <f t="shared" ref="S99" si="185">R99*N100*Q100</f>
        <v>5517.4390896688092</v>
      </c>
      <c r="T99" s="48">
        <f t="shared" ref="T99" si="186">S99*F99/1000000</f>
        <v>204.2059381477323</v>
      </c>
      <c r="U99" s="46"/>
      <c r="V99" s="48">
        <f t="shared" ref="V99" si="187">T99/U100*100</f>
        <v>2.6783226217878213</v>
      </c>
      <c r="W99" s="47"/>
      <c r="X99" s="31"/>
    </row>
    <row r="100" spans="1:25" x14ac:dyDescent="0.25">
      <c r="A100" s="32" t="s">
        <v>455</v>
      </c>
      <c r="B100" s="33" t="s">
        <v>456</v>
      </c>
      <c r="C100" s="34">
        <v>1175534</v>
      </c>
      <c r="D100" s="34">
        <v>29649.3</v>
      </c>
      <c r="E100" s="34">
        <v>65263</v>
      </c>
      <c r="F100" s="34">
        <v>8105455</v>
      </c>
      <c r="G100" s="34">
        <v>219019.5</v>
      </c>
      <c r="H100" s="34">
        <v>431065</v>
      </c>
      <c r="I100" s="61">
        <f t="shared" ref="I100" si="188">SUM(E99:E100)*0.9/SUM(D99:D100)*1000</f>
        <v>2062.8532898094991</v>
      </c>
      <c r="J100" s="61">
        <f t="shared" ref="J100" si="189">SUM(H99:H100)/SUM(G99:G100)*1000</f>
        <v>1980.7086738681594</v>
      </c>
      <c r="L100" s="46">
        <f t="shared" ref="L100" si="190">(G100*1000)/F100</f>
        <v>27.021246802307829</v>
      </c>
      <c r="M100" s="46">
        <f>'[5]Gewicht Schweine'!$M$21</f>
        <v>95.225672859499511</v>
      </c>
      <c r="N100" s="46">
        <f t="shared" ref="N100" si="191">M100/0.77</f>
        <v>123.66970501233702</v>
      </c>
      <c r="O100" s="46">
        <f>M100-L100</f>
        <v>68.204426057191682</v>
      </c>
      <c r="P100" s="46">
        <f t="shared" ref="P100" si="192">N100-L100</f>
        <v>96.64845821002919</v>
      </c>
      <c r="Q100" s="46">
        <f t="shared" ref="Q100" si="193">(W100/1000)/1.23</f>
        <v>1.4871438102318326</v>
      </c>
      <c r="R100" s="46"/>
      <c r="S100" s="46">
        <f t="shared" ref="S100" si="194">Q100*P100</f>
        <v>143.73015639549484</v>
      </c>
      <c r="T100" s="49">
        <f t="shared" ref="T100" si="195">S100*(F100*0.97)/1000000</f>
        <v>1130.0483653624462</v>
      </c>
      <c r="U100" s="47">
        <f>'[6]2022'!$X$177</f>
        <v>7624.3965714414835</v>
      </c>
      <c r="V100" s="50">
        <f t="shared" ref="V100" si="196">T100/U100*100</f>
        <v>14.821479375761234</v>
      </c>
      <c r="W100" s="47">
        <f>'[6]2022'!$V$155</f>
        <v>1829.1868865851541</v>
      </c>
      <c r="X100" s="37"/>
    </row>
    <row r="101" spans="1:25" x14ac:dyDescent="0.25">
      <c r="A101" s="32" t="s">
        <v>457</v>
      </c>
      <c r="B101" s="33" t="s">
        <v>458</v>
      </c>
      <c r="C101" s="34" t="s">
        <v>459</v>
      </c>
      <c r="D101" s="34" t="s">
        <v>460</v>
      </c>
      <c r="E101" s="34" t="s">
        <v>461</v>
      </c>
      <c r="F101" s="34" t="s">
        <v>462</v>
      </c>
      <c r="G101" s="34" t="s">
        <v>463</v>
      </c>
      <c r="H101" s="34" t="s">
        <v>464</v>
      </c>
      <c r="L101" s="46"/>
      <c r="M101" s="44"/>
      <c r="N101" s="44"/>
      <c r="O101" s="44"/>
      <c r="P101" s="44"/>
      <c r="Q101" s="44"/>
      <c r="R101" s="44"/>
      <c r="S101" s="44"/>
      <c r="T101" s="51">
        <f t="shared" ref="T101" si="197">T99+T100</f>
        <v>1334.2543035101785</v>
      </c>
      <c r="U101" s="47"/>
      <c r="V101" s="48">
        <f t="shared" ref="V101" si="198">V100+V99</f>
        <v>17.499801997549056</v>
      </c>
      <c r="W101" s="47"/>
      <c r="X101" s="31"/>
    </row>
    <row r="102" spans="1:25" x14ac:dyDescent="0.25">
      <c r="A102" s="32" t="s">
        <v>465</v>
      </c>
      <c r="B102" s="33" t="s">
        <v>466</v>
      </c>
      <c r="C102" s="34">
        <v>65</v>
      </c>
      <c r="D102" s="34">
        <v>14.8</v>
      </c>
      <c r="E102" s="34">
        <v>18</v>
      </c>
      <c r="F102" s="34">
        <v>68433</v>
      </c>
      <c r="G102" s="34">
        <v>13963.4</v>
      </c>
      <c r="H102" s="34">
        <v>12360</v>
      </c>
      <c r="I102" s="36"/>
      <c r="J102" s="36"/>
      <c r="L102" s="46"/>
      <c r="M102" s="44"/>
      <c r="N102" s="44"/>
      <c r="O102" s="44"/>
      <c r="P102" s="44"/>
      <c r="Q102" s="44"/>
      <c r="R102" s="44"/>
      <c r="S102" s="44"/>
      <c r="T102" s="45"/>
      <c r="U102" s="47"/>
      <c r="V102" s="45"/>
      <c r="W102" s="47"/>
      <c r="X102" s="31"/>
    </row>
    <row r="103" spans="1:25" x14ac:dyDescent="0.25">
      <c r="A103" s="32" t="s">
        <v>467</v>
      </c>
      <c r="B103" s="33" t="s">
        <v>468</v>
      </c>
      <c r="C103" s="34">
        <v>560422</v>
      </c>
      <c r="D103" s="34">
        <v>57865.3</v>
      </c>
      <c r="E103" s="34">
        <v>105828</v>
      </c>
      <c r="F103" s="34">
        <v>1073425</v>
      </c>
      <c r="G103" s="34">
        <v>129376.5</v>
      </c>
      <c r="H103" s="34">
        <v>184902</v>
      </c>
      <c r="I103" s="36">
        <f t="shared" ref="I103" si="199">SUM(E102:E103)*0.9/SUM(D102:D103)*1000</f>
        <v>1645.8402801653765</v>
      </c>
      <c r="J103" s="36">
        <f t="shared" ref="J103" si="200">SUM(H102:H103)/SUM(G102:G103)*1000</f>
        <v>1376.1834632227315</v>
      </c>
      <c r="L103" s="46"/>
      <c r="M103" s="44"/>
      <c r="N103" s="44"/>
      <c r="O103" s="44"/>
      <c r="P103" s="44"/>
      <c r="Q103" s="44"/>
      <c r="R103" s="44"/>
      <c r="S103" s="44"/>
      <c r="T103" s="45"/>
      <c r="U103" s="47"/>
      <c r="V103" s="45"/>
      <c r="W103" s="47"/>
      <c r="X103" s="31"/>
    </row>
    <row r="104" spans="1:25" x14ac:dyDescent="0.25">
      <c r="A104" s="161" t="s">
        <v>469</v>
      </c>
      <c r="B104" s="162" t="s">
        <v>470</v>
      </c>
      <c r="C104" s="164">
        <v>1</v>
      </c>
      <c r="D104" s="164">
        <v>0.1</v>
      </c>
      <c r="E104" s="164">
        <v>0</v>
      </c>
      <c r="F104" s="164" t="s">
        <v>471</v>
      </c>
      <c r="G104" s="164" t="s">
        <v>472</v>
      </c>
      <c r="H104" s="164" t="s">
        <v>473</v>
      </c>
      <c r="I104" s="117"/>
      <c r="J104" s="117"/>
      <c r="L104" s="46"/>
      <c r="M104" s="44"/>
      <c r="N104" s="44"/>
      <c r="O104" s="44"/>
      <c r="P104" s="44"/>
      <c r="Q104" s="44"/>
      <c r="R104" s="44"/>
      <c r="S104" s="44"/>
      <c r="T104" s="45"/>
      <c r="U104" s="47"/>
      <c r="V104" s="45"/>
      <c r="W104" s="47"/>
      <c r="X104" s="31"/>
    </row>
    <row r="105" spans="1:25" ht="12.75" x14ac:dyDescent="0.2">
      <c r="A105" s="32"/>
      <c r="B105" s="38" t="s">
        <v>474</v>
      </c>
      <c r="C105" s="34">
        <f>SUM(C99:C103)</f>
        <v>1761740</v>
      </c>
      <c r="D105" s="34">
        <f t="shared" ref="D105:H105" si="201">SUM(D99:D103)</f>
        <v>89617.5</v>
      </c>
      <c r="E105" s="34">
        <f t="shared" si="201"/>
        <v>178590</v>
      </c>
      <c r="F105" s="34">
        <f t="shared" si="201"/>
        <v>9284324</v>
      </c>
      <c r="G105" s="34">
        <f t="shared" si="201"/>
        <v>364682.9</v>
      </c>
      <c r="H105" s="34">
        <f t="shared" si="201"/>
        <v>635678</v>
      </c>
      <c r="I105" s="167">
        <f t="shared" ref="I105" si="202">E105*0.9/D105*1000</f>
        <v>1793.5224704996233</v>
      </c>
      <c r="J105" s="167">
        <f t="shared" ref="J105" si="203">H105/G105*1000</f>
        <v>1743.0979077988027</v>
      </c>
      <c r="L105" s="46"/>
      <c r="M105" s="44"/>
      <c r="N105" s="44"/>
      <c r="O105" s="44"/>
      <c r="P105" s="44"/>
      <c r="Q105" s="44"/>
      <c r="R105" s="44"/>
      <c r="S105" s="44"/>
      <c r="T105" s="45"/>
      <c r="U105" s="47"/>
      <c r="V105" s="45"/>
      <c r="W105" s="47"/>
      <c r="X105" s="31"/>
      <c r="Y105" s="27"/>
    </row>
    <row r="106" spans="1:25" ht="33.75" customHeight="1" x14ac:dyDescent="0.25">
      <c r="A106" s="175" t="s">
        <v>475</v>
      </c>
      <c r="B106" s="176"/>
      <c r="C106" s="177"/>
      <c r="D106" s="177"/>
      <c r="E106" s="176"/>
      <c r="F106" s="177"/>
      <c r="G106" s="177"/>
      <c r="H106" s="176"/>
      <c r="L106" s="44"/>
      <c r="M106" s="44"/>
      <c r="N106" s="44"/>
      <c r="O106" s="44"/>
      <c r="P106" s="44"/>
      <c r="Q106" s="44"/>
      <c r="R106" s="44"/>
      <c r="S106" s="44"/>
      <c r="T106" s="45"/>
      <c r="U106" s="44"/>
      <c r="V106" s="45"/>
      <c r="W106" s="47"/>
      <c r="X106" s="31"/>
    </row>
    <row r="107" spans="1:25" x14ac:dyDescent="0.25">
      <c r="A107" s="32" t="s">
        <v>476</v>
      </c>
      <c r="B107" s="33" t="s">
        <v>477</v>
      </c>
      <c r="C107" s="34">
        <v>7997</v>
      </c>
      <c r="D107" s="34">
        <v>690</v>
      </c>
      <c r="E107" s="34">
        <v>3045</v>
      </c>
      <c r="F107" s="34">
        <v>20694</v>
      </c>
      <c r="G107" s="34">
        <v>1195.2</v>
      </c>
      <c r="H107" s="34">
        <v>6193</v>
      </c>
      <c r="L107" s="46"/>
      <c r="M107" s="44"/>
      <c r="N107" s="44"/>
      <c r="O107" s="44"/>
      <c r="P107" s="44"/>
      <c r="Q107" s="44"/>
      <c r="R107" s="44">
        <v>30</v>
      </c>
      <c r="S107" s="148">
        <f t="shared" ref="S107" si="204">R107*N108*Q108</f>
        <v>6976.8115042885165</v>
      </c>
      <c r="T107" s="48">
        <f t="shared" ref="T107" si="205">S107*F107/1000000</f>
        <v>144.37813726974656</v>
      </c>
      <c r="U107" s="46"/>
      <c r="V107" s="48">
        <f t="shared" ref="V107" si="206">T107/U108*100</f>
        <v>1.6165568451660721</v>
      </c>
      <c r="W107" s="47"/>
      <c r="X107" s="31"/>
    </row>
    <row r="108" spans="1:25" x14ac:dyDescent="0.25">
      <c r="A108" s="32" t="s">
        <v>478</v>
      </c>
      <c r="B108" s="33" t="s">
        <v>479</v>
      </c>
      <c r="C108" s="34">
        <v>892590</v>
      </c>
      <c r="D108" s="34">
        <v>21846.2</v>
      </c>
      <c r="E108" s="34">
        <v>81092</v>
      </c>
      <c r="F108" s="34">
        <v>8361530</v>
      </c>
      <c r="G108" s="34">
        <v>224394.3</v>
      </c>
      <c r="H108" s="34">
        <v>745665</v>
      </c>
      <c r="I108" s="61">
        <f t="shared" ref="I108" si="207">SUM(E107:E108)*0.9/SUM(D107:D108)*1000</f>
        <v>3360.0740142526247</v>
      </c>
      <c r="J108" s="61">
        <f t="shared" ref="J108" si="208">SUM(H107:H108)/SUM(G107:G108)*1000</f>
        <v>3332.85902047746</v>
      </c>
      <c r="L108" s="46">
        <f t="shared" ref="L108" si="209">(G108*1000)/F108</f>
        <v>26.836511978070998</v>
      </c>
      <c r="M108" s="46">
        <f>'[5]Gewicht Schweine'!$M$22</f>
        <v>95.388685381583997</v>
      </c>
      <c r="N108" s="46">
        <f t="shared" ref="N108" si="210">M108/0.77</f>
        <v>123.88140958647271</v>
      </c>
      <c r="O108" s="46">
        <f>M108-L108</f>
        <v>68.552173403512995</v>
      </c>
      <c r="P108" s="46">
        <f t="shared" ref="P108" si="211">N108-L108</f>
        <v>97.044897608401712</v>
      </c>
      <c r="Q108" s="46">
        <f t="shared" ref="Q108" si="212">(W108/1000)/1.23</f>
        <v>1.8772823481149541</v>
      </c>
      <c r="R108" s="46"/>
      <c r="S108" s="46">
        <f t="shared" ref="S108" si="213">Q108*P108</f>
        <v>182.18067325487567</v>
      </c>
      <c r="T108" s="49">
        <f t="shared" ref="T108" si="214">S108*(F108*0.97)/1000000</f>
        <v>1477.6098898956154</v>
      </c>
      <c r="U108" s="47">
        <f>'[6]2023'!$X$1007</f>
        <v>8931.213133733896</v>
      </c>
      <c r="V108" s="50">
        <f t="shared" ref="V108" si="215">T108/U108*100</f>
        <v>16.544335778020642</v>
      </c>
      <c r="W108" s="47">
        <f>'[6]2023'!$V$985</f>
        <v>2309.0572881813937</v>
      </c>
      <c r="X108" s="37"/>
    </row>
    <row r="109" spans="1:25" x14ac:dyDescent="0.25">
      <c r="A109" s="32" t="s">
        <v>480</v>
      </c>
      <c r="B109" s="33" t="s">
        <v>481</v>
      </c>
      <c r="C109" s="34" t="s">
        <v>482</v>
      </c>
      <c r="D109" s="34" t="s">
        <v>483</v>
      </c>
      <c r="E109" s="34" t="s">
        <v>484</v>
      </c>
      <c r="F109" s="34" t="s">
        <v>485</v>
      </c>
      <c r="G109" s="34" t="s">
        <v>486</v>
      </c>
      <c r="H109" s="34" t="s">
        <v>487</v>
      </c>
      <c r="L109" s="46"/>
      <c r="M109" s="44"/>
      <c r="N109" s="44"/>
      <c r="O109" s="44"/>
      <c r="P109" s="44"/>
      <c r="Q109" s="44"/>
      <c r="R109" s="44"/>
      <c r="S109" s="44"/>
      <c r="T109" s="51">
        <f t="shared" ref="T109" si="216">T107+T108</f>
        <v>1621.9880271653619</v>
      </c>
      <c r="U109" s="47"/>
      <c r="V109" s="48">
        <f t="shared" ref="V109" si="217">V108+V107</f>
        <v>18.160892623186715</v>
      </c>
      <c r="W109" s="44"/>
      <c r="X109" s="31"/>
    </row>
    <row r="110" spans="1:25" x14ac:dyDescent="0.25">
      <c r="A110" s="32" t="s">
        <v>488</v>
      </c>
      <c r="B110" s="33" t="s">
        <v>489</v>
      </c>
      <c r="C110" s="34" t="s">
        <v>490</v>
      </c>
      <c r="D110" s="34" t="s">
        <v>491</v>
      </c>
      <c r="E110" s="34" t="s">
        <v>492</v>
      </c>
      <c r="F110" s="34">
        <v>52290</v>
      </c>
      <c r="G110" s="34">
        <v>10784</v>
      </c>
      <c r="H110" s="34">
        <v>15743</v>
      </c>
      <c r="I110" s="36"/>
      <c r="J110" s="36"/>
      <c r="L110" s="46"/>
      <c r="M110" s="44"/>
      <c r="N110" s="44"/>
      <c r="O110" s="44"/>
      <c r="P110" s="44"/>
      <c r="Q110" s="44"/>
      <c r="R110" s="44"/>
      <c r="S110" s="44"/>
      <c r="T110" s="45"/>
      <c r="U110" s="47"/>
      <c r="V110" s="45"/>
      <c r="W110" s="44"/>
      <c r="X110" s="31"/>
    </row>
    <row r="111" spans="1:25" x14ac:dyDescent="0.25">
      <c r="A111" s="32" t="s">
        <v>493</v>
      </c>
      <c r="B111" s="33" t="s">
        <v>494</v>
      </c>
      <c r="C111" s="34">
        <v>577441</v>
      </c>
      <c r="D111" s="34">
        <v>58269.7</v>
      </c>
      <c r="E111" s="34">
        <v>134615</v>
      </c>
      <c r="F111" s="34">
        <v>1464858</v>
      </c>
      <c r="G111" s="34">
        <v>174910.6</v>
      </c>
      <c r="H111" s="34">
        <v>327224</v>
      </c>
      <c r="I111" s="36">
        <f t="shared" ref="I111" si="218">SUM(E110:E111)*0.9/SUM(D110:D111)*1000</f>
        <v>2079.1852369241651</v>
      </c>
      <c r="J111" s="36">
        <f t="shared" ref="J111" si="219">SUM(H110:H111)/SUM(G110:G111)*1000</f>
        <v>1846.9411603783847</v>
      </c>
      <c r="L111" s="46"/>
      <c r="M111" s="44"/>
      <c r="N111" s="44"/>
      <c r="O111" s="44"/>
      <c r="P111" s="44"/>
      <c r="Q111" s="44"/>
      <c r="R111" s="44"/>
      <c r="S111" s="44"/>
      <c r="T111" s="45"/>
      <c r="U111" s="47"/>
      <c r="V111" s="45"/>
      <c r="W111" s="44"/>
      <c r="X111" s="31"/>
    </row>
    <row r="112" spans="1:25" x14ac:dyDescent="0.25">
      <c r="A112" s="161" t="s">
        <v>495</v>
      </c>
      <c r="B112" s="162" t="s">
        <v>496</v>
      </c>
      <c r="C112" s="164" t="s">
        <v>497</v>
      </c>
      <c r="D112" s="164" t="s">
        <v>498</v>
      </c>
      <c r="E112" s="164" t="s">
        <v>499</v>
      </c>
      <c r="F112" s="164" t="s">
        <v>500</v>
      </c>
      <c r="G112" s="164" t="s">
        <v>501</v>
      </c>
      <c r="H112" s="164" t="s">
        <v>502</v>
      </c>
      <c r="I112" s="117"/>
      <c r="J112" s="117"/>
      <c r="L112" s="46"/>
      <c r="M112" s="44"/>
      <c r="N112" s="44"/>
      <c r="O112" s="44"/>
      <c r="P112" s="44"/>
      <c r="Q112" s="44"/>
      <c r="R112" s="44"/>
      <c r="S112" s="44"/>
      <c r="T112" s="45"/>
      <c r="U112" s="47"/>
      <c r="V112" s="45"/>
      <c r="W112" s="44"/>
      <c r="X112" s="31"/>
    </row>
    <row r="113" spans="1:24" x14ac:dyDescent="0.25">
      <c r="A113" s="32" t="s">
        <v>503</v>
      </c>
      <c r="B113" s="38" t="s">
        <v>504</v>
      </c>
      <c r="C113" s="34">
        <f>SUM(C107:C111)</f>
        <v>1478028</v>
      </c>
      <c r="D113" s="34">
        <f t="shared" ref="D113:H113" si="220">SUM(D107:D111)</f>
        <v>80805.899999999994</v>
      </c>
      <c r="E113" s="34">
        <f t="shared" si="220"/>
        <v>218752</v>
      </c>
      <c r="F113" s="34">
        <f t="shared" si="220"/>
        <v>9899372</v>
      </c>
      <c r="G113" s="34">
        <f t="shared" si="220"/>
        <v>411284.1</v>
      </c>
      <c r="H113" s="34">
        <f t="shared" si="220"/>
        <v>1094825</v>
      </c>
      <c r="I113" s="167">
        <f t="shared" ref="I113" si="221">E113*0.9/D113*1000</f>
        <v>2436.4161527809233</v>
      </c>
      <c r="J113" s="167">
        <f t="shared" ref="J113" si="222">H113/G113*1000</f>
        <v>2661.9677249862079</v>
      </c>
      <c r="L113" s="46"/>
      <c r="M113" s="44"/>
      <c r="N113" s="44"/>
      <c r="O113" s="44"/>
      <c r="P113" s="44"/>
      <c r="Q113" s="44"/>
      <c r="R113" s="44"/>
      <c r="S113" s="44"/>
      <c r="T113" s="45"/>
      <c r="U113" s="47"/>
      <c r="V113" s="45"/>
      <c r="W113" s="44"/>
      <c r="X113" s="31"/>
    </row>
    <row r="114" spans="1:24" ht="32.25" customHeight="1" x14ac:dyDescent="0.25">
      <c r="L114" s="42"/>
      <c r="M114" s="42"/>
      <c r="N114" s="44"/>
      <c r="O114" s="44"/>
      <c r="P114" s="44"/>
      <c r="Q114" s="44"/>
      <c r="R114" s="44"/>
      <c r="S114" s="44"/>
      <c r="T114" s="44"/>
      <c r="U114" s="44"/>
      <c r="V114" s="44"/>
      <c r="W114" s="44"/>
    </row>
    <row r="115" spans="1:24" x14ac:dyDescent="0.25">
      <c r="A115" s="40" t="s">
        <v>757</v>
      </c>
      <c r="K115" s="27" t="s">
        <v>758</v>
      </c>
      <c r="L115" s="46">
        <f>AVERAGE(L19:L108)</f>
        <v>26.849066626431053</v>
      </c>
      <c r="M115" s="46">
        <f>AVERAGE(M12:M108)</f>
        <v>94.531265168846915</v>
      </c>
      <c r="N115" s="46"/>
      <c r="O115" s="46">
        <f>M115-L115</f>
        <v>67.682198542415861</v>
      </c>
      <c r="P115" s="46"/>
      <c r="Q115" s="44"/>
      <c r="R115" s="44"/>
      <c r="S115" s="44"/>
      <c r="T115" s="47">
        <f>AVERAGE(T109,T101,T93,T85,T77,T69,T61,T53,T45,T37,T29,T21,T13)</f>
        <v>1522.3515750028289</v>
      </c>
      <c r="U115" s="47">
        <f>AVERAGE(U108,U100,U92,U84,U76,U68,U60,U52,U44,U36,U28,U20,U12)</f>
        <v>7543.1399115946442</v>
      </c>
      <c r="V115" s="47">
        <f>AVERAGE(V109,V101,V93,V85,V77,V69,V61,V53,V45,V37,V29,V21,V13)</f>
        <v>20.221686858297407</v>
      </c>
      <c r="W115" s="44"/>
    </row>
  </sheetData>
  <mergeCells count="17">
    <mergeCell ref="A74:H74"/>
    <mergeCell ref="A82:H82"/>
    <mergeCell ref="A90:H90"/>
    <mergeCell ref="A98:H98"/>
    <mergeCell ref="A106:H106"/>
    <mergeCell ref="A66:H66"/>
    <mergeCell ref="A5:H5"/>
    <mergeCell ref="A6:H6"/>
    <mergeCell ref="A7:H7"/>
    <mergeCell ref="A8:B9"/>
    <mergeCell ref="A10:H10"/>
    <mergeCell ref="A18:H18"/>
    <mergeCell ref="A26:H26"/>
    <mergeCell ref="A34:H34"/>
    <mergeCell ref="A42:H42"/>
    <mergeCell ref="A50:H50"/>
    <mergeCell ref="A58:H58"/>
  </mergeCells>
  <pageMargins left="0.7" right="0.7" top="0.75" bottom="0.75" header="0.3" footer="0.3"/>
  <pageSetup paperSize="9" orientation="portrait" r:id="rId1"/>
  <headerFooter>
    <oddFooter>&amp;CAbgerufen am 08.08.24 / 12:47:36&amp;RSeite &amp;P von &amp;N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73"/>
  <sheetViews>
    <sheetView workbookViewId="0">
      <selection activeCell="B1" sqref="B1"/>
    </sheetView>
  </sheetViews>
  <sheetFormatPr baseColWidth="10" defaultRowHeight="15" x14ac:dyDescent="0.25"/>
  <cols>
    <col min="6" max="6" width="24.42578125" customWidth="1"/>
    <col min="19" max="19" width="19.140625" customWidth="1"/>
  </cols>
  <sheetData>
    <row r="1" spans="2:20" ht="21" x14ac:dyDescent="0.35">
      <c r="B1" s="147" t="s">
        <v>786</v>
      </c>
    </row>
    <row r="3" spans="2:20" x14ac:dyDescent="0.25">
      <c r="F3" t="s">
        <v>505</v>
      </c>
      <c r="G3">
        <v>2012</v>
      </c>
      <c r="H3">
        <v>2013</v>
      </c>
      <c r="I3">
        <v>2014</v>
      </c>
      <c r="J3">
        <v>2015</v>
      </c>
      <c r="K3">
        <v>2016</v>
      </c>
      <c r="L3">
        <v>2017</v>
      </c>
      <c r="M3">
        <v>2018</v>
      </c>
      <c r="N3">
        <v>2019</v>
      </c>
      <c r="O3">
        <v>2020</v>
      </c>
      <c r="P3">
        <v>2021</v>
      </c>
      <c r="Q3">
        <v>2022</v>
      </c>
      <c r="R3">
        <v>2023</v>
      </c>
    </row>
    <row r="4" spans="2:20" ht="22.5" x14ac:dyDescent="0.25">
      <c r="B4" s="22" t="s">
        <v>506</v>
      </c>
      <c r="C4" s="23">
        <v>11500</v>
      </c>
      <c r="D4" s="24" t="s">
        <v>507</v>
      </c>
      <c r="E4" s="25" t="s">
        <v>508</v>
      </c>
      <c r="F4" s="13" t="s">
        <v>760</v>
      </c>
      <c r="G4" s="53">
        <v>1196.2426926711967</v>
      </c>
      <c r="H4" s="53">
        <v>1215.0374433551572</v>
      </c>
      <c r="I4" s="53">
        <v>1170.3085603319973</v>
      </c>
      <c r="J4" s="53">
        <v>1145.0686759157409</v>
      </c>
      <c r="K4" s="53">
        <v>1099.3922013291794</v>
      </c>
      <c r="L4" s="53">
        <v>1120.8393834687497</v>
      </c>
      <c r="M4" s="53">
        <v>1155.5615595551481</v>
      </c>
      <c r="N4" s="53">
        <v>1125.5170516879793</v>
      </c>
      <c r="O4" s="53">
        <v>1053.0867849262061</v>
      </c>
      <c r="P4" s="53">
        <v>1077.8375876882058</v>
      </c>
      <c r="Q4" s="53">
        <v>1453.264197918335</v>
      </c>
      <c r="R4" s="53">
        <v>1507.9635898426109</v>
      </c>
      <c r="S4" s="63" t="s">
        <v>787</v>
      </c>
      <c r="T4" s="63" t="s">
        <v>788</v>
      </c>
    </row>
    <row r="5" spans="2:20" x14ac:dyDescent="0.25">
      <c r="B5" s="15"/>
      <c r="C5" s="16"/>
      <c r="D5" s="17"/>
      <c r="E5" s="18"/>
      <c r="F5" t="s">
        <v>509</v>
      </c>
      <c r="G5" s="52">
        <f>'Calcul. import share poultry'!J41</f>
        <v>11336.551385255734</v>
      </c>
      <c r="H5" s="52">
        <f>'Calcul. import share poultry'!J52</f>
        <v>12266.604737575473</v>
      </c>
      <c r="I5" s="52">
        <f>'Calcul. import share poultry'!J63</f>
        <v>11965.163197634933</v>
      </c>
      <c r="J5" s="52">
        <f>'Calcul. import share poultry'!J74</f>
        <v>13086.082648350412</v>
      </c>
      <c r="K5" s="52">
        <f>'Calcul. import share poultry'!J85</f>
        <v>13308.797807835821</v>
      </c>
      <c r="L5" s="52">
        <f>'Calcul. import share poultry'!J96</f>
        <v>13256.331618519984</v>
      </c>
      <c r="M5" s="52">
        <f>'Calcul. import share poultry'!J107</f>
        <v>14452.647992635591</v>
      </c>
      <c r="N5" s="52">
        <f>'Calcul. import share poultry'!J118</f>
        <v>17139.389175317319</v>
      </c>
      <c r="O5" s="52">
        <f>'Calcul. import share poultry'!J129</f>
        <v>17181.957615951262</v>
      </c>
      <c r="P5" s="52">
        <f>'Calcul. import share poultry'!J140</f>
        <v>17324.331318073819</v>
      </c>
      <c r="Q5" s="52">
        <f>'Calcul. import share poultry'!J151</f>
        <v>21083.518655794414</v>
      </c>
      <c r="R5" s="52">
        <f>'Calcul. import share poultry'!J162</f>
        <v>23075.434690415601</v>
      </c>
      <c r="S5" t="s">
        <v>789</v>
      </c>
      <c r="T5" s="2">
        <f>CORREL(G4:R4,G5:R5)</f>
        <v>0.64764437940042152</v>
      </c>
    </row>
    <row r="6" spans="2:20" x14ac:dyDescent="0.25">
      <c r="B6" s="15"/>
      <c r="C6" s="16"/>
      <c r="D6" s="17"/>
      <c r="E6" s="18"/>
      <c r="T6" s="2"/>
    </row>
    <row r="7" spans="2:20" x14ac:dyDescent="0.25">
      <c r="B7" s="15"/>
      <c r="C7" s="16"/>
      <c r="D7" s="17"/>
      <c r="E7" s="18"/>
      <c r="F7" t="s">
        <v>510</v>
      </c>
      <c r="G7" s="19">
        <f>'Calcul. import share poultry'!I41</f>
        <v>31331.509231319997</v>
      </c>
      <c r="H7" s="19">
        <f>'Calcul. import share poultry'!I52</f>
        <v>30893.028930758584</v>
      </c>
      <c r="I7" s="19">
        <f>'Calcul. import share poultry'!I63</f>
        <v>31391.625040847768</v>
      </c>
      <c r="J7" s="19">
        <f>'Calcul. import share poultry'!I74</f>
        <v>30172.749707754265</v>
      </c>
      <c r="K7" s="19">
        <f>'Calcul. import share poultry'!I85</f>
        <v>31356.916023470523</v>
      </c>
      <c r="L7" s="19">
        <f>'Calcul. import share poultry'!I96</f>
        <v>29118.038204239539</v>
      </c>
      <c r="M7" s="19">
        <f>'Calcul. import share poultry'!I107</f>
        <v>28381.796774653914</v>
      </c>
      <c r="N7" s="19">
        <f>'Calcul. import share poultry'!I118</f>
        <v>27022.936189201249</v>
      </c>
      <c r="O7" s="19">
        <f>'Calcul. import share poultry'!I129</f>
        <v>26646.36622005684</v>
      </c>
      <c r="P7" s="19">
        <f>'Calcul. import share poultry'!I140</f>
        <v>23354.000384232491</v>
      </c>
      <c r="Q7" s="19">
        <f>'Calcul. import share poultry'!I151</f>
        <v>26002.320315862351</v>
      </c>
      <c r="R7" s="19">
        <f>'Calcul. import share poultry'!I162</f>
        <v>29557.148413624487</v>
      </c>
      <c r="T7" s="2"/>
    </row>
    <row r="8" spans="2:20" x14ac:dyDescent="0.25">
      <c r="B8" s="15"/>
      <c r="C8" s="16"/>
      <c r="D8" s="17"/>
      <c r="E8" s="18"/>
      <c r="G8" s="2"/>
      <c r="H8" s="2"/>
      <c r="I8" s="2"/>
      <c r="J8" s="2"/>
      <c r="K8" s="2"/>
      <c r="L8" s="2"/>
      <c r="M8" s="2"/>
      <c r="N8" s="2"/>
      <c r="O8" s="2"/>
      <c r="P8" s="2"/>
      <c r="Q8" s="2"/>
      <c r="R8" s="2"/>
      <c r="T8" s="2"/>
    </row>
    <row r="9" spans="2:20" x14ac:dyDescent="0.25">
      <c r="B9" s="9" t="s">
        <v>511</v>
      </c>
      <c r="C9" s="10" t="s">
        <v>512</v>
      </c>
      <c r="D9" s="11"/>
      <c r="E9" s="151" t="s">
        <v>513</v>
      </c>
      <c r="F9" s="13" t="s">
        <v>514</v>
      </c>
      <c r="G9" s="53">
        <v>910.49222009001221</v>
      </c>
      <c r="H9" s="53">
        <v>1452.3717726538043</v>
      </c>
      <c r="I9" s="53">
        <v>892.8402699915124</v>
      </c>
      <c r="J9" s="53">
        <v>863.08259104514104</v>
      </c>
      <c r="K9" s="53">
        <v>830.16638668801932</v>
      </c>
      <c r="L9" s="53">
        <v>830.59366329826082</v>
      </c>
      <c r="M9" s="53">
        <v>1214.8536939888313</v>
      </c>
      <c r="N9" s="53">
        <v>1140.6939883126802</v>
      </c>
      <c r="O9" s="53">
        <v>768.86881987963329</v>
      </c>
      <c r="P9" s="53">
        <v>838.24232155391633</v>
      </c>
      <c r="Q9" s="53">
        <v>1190.1310802823036</v>
      </c>
      <c r="R9" s="53">
        <v>1187.7481283215552</v>
      </c>
      <c r="S9" s="149" t="s">
        <v>799</v>
      </c>
      <c r="T9" s="152">
        <f>CORREL(G9:R9,G10:R10)</f>
        <v>0.25565140643847922</v>
      </c>
    </row>
    <row r="10" spans="2:20" x14ac:dyDescent="0.25">
      <c r="B10" s="15"/>
      <c r="C10" s="16"/>
      <c r="D10" s="17"/>
      <c r="E10" s="18"/>
      <c r="F10" t="s">
        <v>515</v>
      </c>
      <c r="G10" s="52">
        <v>11025.356172403957</v>
      </c>
      <c r="H10" s="52">
        <v>11830.184909082524</v>
      </c>
      <c r="I10" s="52">
        <v>11352.583179173704</v>
      </c>
      <c r="J10" s="52">
        <v>12386.334556001024</v>
      </c>
      <c r="K10" s="52">
        <v>12363.677230838392</v>
      </c>
      <c r="L10" s="52">
        <v>12229.832964240959</v>
      </c>
      <c r="M10" s="52">
        <v>13581.674076937947</v>
      </c>
      <c r="N10" s="52">
        <v>16266.163665266806</v>
      </c>
      <c r="O10" s="52">
        <v>16521.233402831123</v>
      </c>
      <c r="P10" s="52">
        <v>17421.019014395912</v>
      </c>
      <c r="Q10" s="52">
        <v>21240.188792406581</v>
      </c>
      <c r="R10" s="52">
        <v>23273.186352999135</v>
      </c>
      <c r="T10" s="2"/>
    </row>
    <row r="11" spans="2:20" x14ac:dyDescent="0.25">
      <c r="B11" s="15"/>
      <c r="C11" s="16"/>
      <c r="D11" s="17"/>
      <c r="E11" s="18"/>
      <c r="T11" s="2"/>
    </row>
    <row r="12" spans="2:20" x14ac:dyDescent="0.25">
      <c r="B12" s="15"/>
      <c r="C12" s="16"/>
      <c r="D12" s="17"/>
      <c r="E12" s="18"/>
      <c r="F12" t="s">
        <v>516</v>
      </c>
      <c r="G12" s="52">
        <v>32349.139310168299</v>
      </c>
      <c r="H12" s="52">
        <v>31971.01184494991</v>
      </c>
      <c r="I12" s="52">
        <v>33217.276048233281</v>
      </c>
      <c r="J12" s="52">
        <v>31346.639341827795</v>
      </c>
      <c r="K12" s="52">
        <v>33546.799554289952</v>
      </c>
      <c r="L12" s="52">
        <v>30833.259252674314</v>
      </c>
      <c r="M12" s="52">
        <v>29496.226267269074</v>
      </c>
      <c r="N12" s="52">
        <v>27539.348202517249</v>
      </c>
      <c r="O12" s="52">
        <v>27811.80531180531</v>
      </c>
      <c r="P12" s="52">
        <v>23143.786295005808</v>
      </c>
      <c r="Q12" s="52">
        <v>26592.094529453934</v>
      </c>
      <c r="R12" s="52">
        <v>30262.699142898644</v>
      </c>
      <c r="S12" t="s">
        <v>800</v>
      </c>
      <c r="T12" s="2">
        <f>CORREL(G9:R9,G12:R12)</f>
        <v>-1.4510488421130903E-3</v>
      </c>
    </row>
    <row r="13" spans="2:20" x14ac:dyDescent="0.25">
      <c r="B13" s="15"/>
      <c r="C13" s="16"/>
      <c r="D13" s="17"/>
      <c r="E13" s="18"/>
      <c r="T13" s="2"/>
    </row>
    <row r="14" spans="2:20" x14ac:dyDescent="0.25">
      <c r="B14" s="9" t="s">
        <v>517</v>
      </c>
      <c r="C14" s="10" t="s">
        <v>518</v>
      </c>
      <c r="D14" s="11"/>
      <c r="E14" s="151" t="s">
        <v>519</v>
      </c>
      <c r="F14" s="88" t="s">
        <v>520</v>
      </c>
      <c r="G14" s="53">
        <v>1397.4865080810096</v>
      </c>
      <c r="H14" s="53">
        <v>1452.3717726538043</v>
      </c>
      <c r="I14" s="53">
        <v>1434.0557941346842</v>
      </c>
      <c r="J14" s="53">
        <v>1409.058252733071</v>
      </c>
      <c r="K14" s="53">
        <v>1356.8565169000044</v>
      </c>
      <c r="L14" s="53">
        <v>1242.3323903529806</v>
      </c>
      <c r="M14" s="53">
        <v>1304.9511063117011</v>
      </c>
      <c r="N14" s="53">
        <v>1353.5629143382503</v>
      </c>
      <c r="O14" s="53">
        <v>1321.1420288090644</v>
      </c>
      <c r="P14" s="53">
        <v>1303.4065145993031</v>
      </c>
      <c r="Q14" s="53">
        <v>1700.6097496053037</v>
      </c>
      <c r="R14" s="53">
        <v>1827.9349673995214</v>
      </c>
      <c r="S14" s="149" t="s">
        <v>799</v>
      </c>
      <c r="T14" s="2">
        <f>CORREL(G14:R14,G15:R15)</f>
        <v>0.71444264321536233</v>
      </c>
    </row>
    <row r="15" spans="2:20" x14ac:dyDescent="0.25">
      <c r="B15" s="15"/>
      <c r="C15" s="16"/>
      <c r="D15" s="17"/>
      <c r="E15" s="18"/>
      <c r="F15" t="s">
        <v>521</v>
      </c>
      <c r="G15" s="53">
        <v>139321.26696832577</v>
      </c>
      <c r="H15" s="53">
        <v>95082.742316784876</v>
      </c>
      <c r="I15" s="53">
        <v>175164.83516483515</v>
      </c>
      <c r="J15" s="53">
        <v>184440.55944055945</v>
      </c>
      <c r="K15" s="53">
        <v>150803.38266384779</v>
      </c>
      <c r="L15" s="53">
        <v>112957.48613678373</v>
      </c>
      <c r="M15" s="53">
        <v>110854.92227979275</v>
      </c>
      <c r="N15" s="53">
        <v>108562.30031948882</v>
      </c>
      <c r="O15" s="53">
        <v>92047.477744807111</v>
      </c>
      <c r="P15" s="53">
        <v>44239.130434782608</v>
      </c>
      <c r="Q15" s="53">
        <v>126185.56701030929</v>
      </c>
      <c r="R15" s="53">
        <v>306363.63636363635</v>
      </c>
    </row>
    <row r="16" spans="2:20" x14ac:dyDescent="0.25">
      <c r="B16" s="15"/>
      <c r="C16" s="16"/>
      <c r="D16" s="17"/>
      <c r="E16" s="18"/>
    </row>
    <row r="17" spans="2:23" x14ac:dyDescent="0.25">
      <c r="B17" s="15"/>
      <c r="C17" s="16"/>
      <c r="D17" s="17"/>
      <c r="E17" s="18"/>
      <c r="F17" t="s">
        <v>522</v>
      </c>
      <c r="G17" s="52">
        <v>25311.919299177061</v>
      </c>
      <c r="H17" s="52">
        <v>26322.037556658754</v>
      </c>
      <c r="I17" s="52">
        <v>25469.741664431927</v>
      </c>
      <c r="J17" s="52">
        <v>26038.287911720447</v>
      </c>
      <c r="K17" s="52">
        <v>25460.717749757514</v>
      </c>
      <c r="L17" s="52">
        <v>24864.135798407788</v>
      </c>
      <c r="M17" s="52">
        <v>25106.320141760189</v>
      </c>
      <c r="N17" s="52">
        <v>24697.371593923319</v>
      </c>
      <c r="O17" s="52">
        <v>23582.913082171461</v>
      </c>
      <c r="P17" s="52">
        <v>22874.595231086252</v>
      </c>
      <c r="Q17" s="52">
        <v>22791.17622849617</v>
      </c>
      <c r="R17" s="52">
        <v>25246.536939313984</v>
      </c>
      <c r="S17" t="s">
        <v>800</v>
      </c>
      <c r="T17" s="2">
        <f>CORREL(G14:R14,G17:R17)</f>
        <v>-3.9473200399603219E-2</v>
      </c>
    </row>
    <row r="18" spans="2:23" x14ac:dyDescent="0.25">
      <c r="B18" s="15"/>
      <c r="C18" s="16"/>
      <c r="D18" s="17"/>
      <c r="E18" s="18"/>
    </row>
    <row r="19" spans="2:23" x14ac:dyDescent="0.25">
      <c r="B19" s="83"/>
      <c r="C19" s="84"/>
      <c r="D19" s="85"/>
      <c r="E19" s="86"/>
      <c r="F19" s="88" t="s">
        <v>790</v>
      </c>
      <c r="G19" s="88">
        <v>2012</v>
      </c>
      <c r="H19" s="88">
        <v>2013</v>
      </c>
      <c r="I19" s="88">
        <v>2014</v>
      </c>
      <c r="J19" s="88">
        <v>2015</v>
      </c>
      <c r="K19" s="88">
        <v>2016</v>
      </c>
      <c r="L19" s="88">
        <v>2017</v>
      </c>
      <c r="M19" s="88">
        <v>2018</v>
      </c>
      <c r="N19" s="88">
        <v>2019</v>
      </c>
      <c r="O19" s="88">
        <v>2020</v>
      </c>
      <c r="P19" s="88">
        <v>2021</v>
      </c>
      <c r="Q19" s="88">
        <v>2022</v>
      </c>
      <c r="R19" s="88">
        <v>2023</v>
      </c>
    </row>
    <row r="20" spans="2:23" x14ac:dyDescent="0.25">
      <c r="B20" s="83"/>
      <c r="C20" s="84"/>
      <c r="D20" s="85"/>
      <c r="E20" s="86"/>
      <c r="F20" t="s">
        <v>791</v>
      </c>
      <c r="G20" s="52">
        <f>'[6]2012'!$F$1109</f>
        <v>926</v>
      </c>
      <c r="H20" s="52">
        <f>'[6]2013'!$F$1109</f>
        <v>968</v>
      </c>
      <c r="I20" s="52">
        <f>'[6]2014'!$F$1109</f>
        <v>913</v>
      </c>
      <c r="J20" s="52">
        <f>'[6]2015'!$F$1109</f>
        <v>885</v>
      </c>
      <c r="K20" s="52">
        <f>'[6]2016'!$F$1109</f>
        <v>851</v>
      </c>
      <c r="L20" s="52">
        <f>'[6]2017'!$F$1109</f>
        <v>840</v>
      </c>
      <c r="M20" s="52">
        <f>'[6]2018'!$F$1109</f>
        <v>864</v>
      </c>
      <c r="N20" s="52">
        <f>'[6]2019'!$F$1109</f>
        <v>838</v>
      </c>
      <c r="O20" s="52">
        <f>'[6]2020'!$V$1109</f>
        <v>796.75</v>
      </c>
      <c r="P20" s="52">
        <f>'[6]2021'!$V$1109</f>
        <v>899.41923251678531</v>
      </c>
      <c r="Q20" s="52">
        <f>'[6]2022'!$V$279</f>
        <v>1253.75</v>
      </c>
      <c r="R20" s="52">
        <f>'[6]2023'!$V$1109</f>
        <v>1239.6602564102564</v>
      </c>
    </row>
    <row r="21" spans="2:23" x14ac:dyDescent="0.25">
      <c r="B21" s="83"/>
      <c r="C21" s="84"/>
      <c r="D21" s="85"/>
      <c r="E21" s="86"/>
      <c r="F21" t="s">
        <v>523</v>
      </c>
      <c r="G21" s="52">
        <f>'[6]2012'!$F$1081</f>
        <v>220</v>
      </c>
      <c r="H21" s="52">
        <f>'[6]2013'!$F$1081</f>
        <v>281</v>
      </c>
      <c r="I21" s="52">
        <f>'[6]2014'!$F$1081</f>
        <v>303</v>
      </c>
      <c r="J21" s="52">
        <f>'[6]2015'!$F$1081</f>
        <v>270</v>
      </c>
      <c r="K21" s="52">
        <f>'[6]2016'!$F$1081</f>
        <v>77</v>
      </c>
      <c r="L21" s="52">
        <f>'[6]2017'!$F$1081</f>
        <v>204</v>
      </c>
      <c r="M21" s="52">
        <f>'[6]2018'!$F$1081</f>
        <v>134</v>
      </c>
      <c r="N21" s="52">
        <f>'[6]2019'!$F$1081</f>
        <v>137</v>
      </c>
      <c r="O21" s="52">
        <f>'[6]2020'!$V$1081</f>
        <v>142.75000000000003</v>
      </c>
      <c r="P21" s="52">
        <f>'[6]2021'!$V$1081</f>
        <v>197.50000000000003</v>
      </c>
      <c r="Q21" s="52">
        <f>'[6]2022'!$V$251</f>
        <v>294.10514283003437</v>
      </c>
      <c r="R21" s="52">
        <f>'[6]2023'!$V$1081</f>
        <v>243.25293803418808</v>
      </c>
    </row>
    <row r="22" spans="2:23" x14ac:dyDescent="0.25">
      <c r="B22" s="83"/>
      <c r="C22" s="84"/>
      <c r="D22" s="85"/>
      <c r="E22" s="86"/>
      <c r="F22" t="s">
        <v>524</v>
      </c>
      <c r="G22" s="52">
        <f>'[6]2012'!$F$1165</f>
        <v>1371</v>
      </c>
      <c r="H22" s="52">
        <f>'[6]2013'!$F$1165</f>
        <v>1417.5</v>
      </c>
      <c r="I22" s="52">
        <f>'[6]2014'!$F$1165</f>
        <v>1395</v>
      </c>
      <c r="J22" s="52">
        <f>'[6]2015'!$F$1165</f>
        <v>1366.4999999999998</v>
      </c>
      <c r="K22" s="52">
        <f>'[6]2016'!$F$1165</f>
        <v>1300</v>
      </c>
      <c r="L22" s="52">
        <f>'[6]2017'!$F$1165</f>
        <v>1178</v>
      </c>
      <c r="M22" s="52">
        <f>'[6]2018'!$F$1165</f>
        <v>1226.5000000000002</v>
      </c>
      <c r="N22" s="52">
        <f>'[6]2019'!$F$1165</f>
        <v>1292.5</v>
      </c>
      <c r="O22" s="52">
        <f>'[6]2020'!$V$1165</f>
        <v>1266.625</v>
      </c>
      <c r="P22" s="52">
        <f>'[6]2021'!$V$1165</f>
        <v>1305.1121196082559</v>
      </c>
      <c r="Q22" s="52">
        <f>'[6]2022'!$V$335</f>
        <v>1654.875</v>
      </c>
      <c r="R22" s="52">
        <f>'[6]2023'!$V$1165</f>
        <v>1783.875</v>
      </c>
    </row>
    <row r="23" spans="2:23" x14ac:dyDescent="0.25">
      <c r="B23" s="83"/>
      <c r="C23" s="84"/>
      <c r="D23" s="85"/>
      <c r="E23" s="86"/>
      <c r="F23" t="s">
        <v>792</v>
      </c>
      <c r="G23" s="52">
        <f>'[6]2012'!$F$1193</f>
        <v>4912.7707407847392</v>
      </c>
      <c r="H23" s="52">
        <f>'[6]2013'!$F$1193</f>
        <v>5161.6470889186385</v>
      </c>
      <c r="I23" s="52">
        <f>'[6]2014'!$F$1193</f>
        <v>5239.9555760940029</v>
      </c>
      <c r="J23" s="52">
        <f>'[6]2015'!$F$1193</f>
        <v>5898.2699545316073</v>
      </c>
      <c r="K23" s="52">
        <f>'[6]2016'!$F$1193</f>
        <v>5755.4654739701436</v>
      </c>
      <c r="L23" s="52">
        <f>'[6]2017'!$F$1193</f>
        <v>8833.6877442926489</v>
      </c>
      <c r="M23" s="52">
        <f>'[6]2018'!$F$1193</f>
        <v>8352.4993314498424</v>
      </c>
      <c r="N23" s="52">
        <f>'[6]2019'!$F$1193</f>
        <v>7960.8456966838212</v>
      </c>
      <c r="O23" s="52">
        <f>'[6]2020'!$V$1193</f>
        <v>8841.7851275692301</v>
      </c>
      <c r="P23" s="52">
        <f>'[6]2021'!$V$1193</f>
        <v>8841.7851275692283</v>
      </c>
      <c r="Q23" s="52">
        <f>'[6]2022'!$V$363</f>
        <v>10121.035001827307</v>
      </c>
      <c r="R23" s="52">
        <f>'[6]2023'!$V$1193</f>
        <v>11347.703255700222</v>
      </c>
    </row>
    <row r="24" spans="2:23" x14ac:dyDescent="0.25">
      <c r="B24" s="83"/>
      <c r="C24" s="84"/>
      <c r="D24" s="85"/>
      <c r="E24" s="86"/>
      <c r="F24" t="s">
        <v>793</v>
      </c>
      <c r="G24" s="52">
        <f>'[6]2012'!$F$1221</f>
        <v>5272.7320527250731</v>
      </c>
      <c r="H24" s="52">
        <f>'[6]2013'!$F$1221</f>
        <v>5962.1626502309009</v>
      </c>
      <c r="I24" s="52">
        <f>'[6]2014'!$F$1221</f>
        <v>5962.1626502309009</v>
      </c>
      <c r="J24" s="52">
        <f>'[6]2015'!$F$1221</f>
        <v>6523.2732718535699</v>
      </c>
      <c r="K24" s="52">
        <f>'[6]2016'!$F$1221</f>
        <v>6440.7454346989089</v>
      </c>
      <c r="L24" s="52">
        <f>'[6]2017'!$F$1221</f>
        <v>9278.8446803458319</v>
      </c>
      <c r="M24" s="52">
        <f>'[6]2018'!$F$1221</f>
        <v>9229.1747479049754</v>
      </c>
      <c r="N24" s="52">
        <f>'[6]2019'!$F$1221</f>
        <v>8381.0341814077146</v>
      </c>
      <c r="O24" s="52">
        <f>'[6]2020'!$V$1221</f>
        <v>9336.6809508905335</v>
      </c>
      <c r="P24" s="52">
        <v>10344</v>
      </c>
      <c r="Q24" s="52">
        <f>'[6]2022'!$V$391</f>
        <v>10641.419720288251</v>
      </c>
      <c r="R24" s="52">
        <f>'[6]2023'!$V$1221</f>
        <v>13516.133763636406</v>
      </c>
    </row>
    <row r="25" spans="2:23" x14ac:dyDescent="0.25">
      <c r="B25" s="83"/>
      <c r="C25" s="84"/>
      <c r="D25" s="85"/>
      <c r="E25" s="86"/>
      <c r="F25" s="88" t="s">
        <v>795</v>
      </c>
      <c r="G25" s="88">
        <v>2012</v>
      </c>
      <c r="H25" s="88">
        <v>2013</v>
      </c>
      <c r="I25" s="88">
        <v>2014</v>
      </c>
      <c r="J25" s="88">
        <v>2015</v>
      </c>
      <c r="K25" s="88">
        <v>2016</v>
      </c>
      <c r="L25" s="88">
        <v>2017</v>
      </c>
      <c r="M25" s="88">
        <v>2018</v>
      </c>
      <c r="N25" s="88">
        <v>2019</v>
      </c>
      <c r="O25" s="88">
        <v>2020</v>
      </c>
      <c r="P25" s="88">
        <v>2021</v>
      </c>
      <c r="Q25" s="88">
        <v>2022</v>
      </c>
      <c r="R25" s="88">
        <v>2023</v>
      </c>
    </row>
    <row r="26" spans="2:23" x14ac:dyDescent="0.25">
      <c r="B26" s="83"/>
      <c r="C26" s="84"/>
      <c r="D26" s="85"/>
      <c r="E26" s="86"/>
      <c r="F26" t="s">
        <v>794</v>
      </c>
      <c r="G26" s="52">
        <f>'[6]2012'!$G$1399</f>
        <v>1558.733941852603</v>
      </c>
      <c r="H26" s="52">
        <f>'[6]2013'!$G$1399</f>
        <v>1157.8748309668695</v>
      </c>
      <c r="I26" s="52">
        <f>'[6]2014'!$G$1399</f>
        <v>1121.4870689655174</v>
      </c>
      <c r="J26" s="52">
        <f>'[6]2015'!$G$1399</f>
        <v>1189.4001436781609</v>
      </c>
      <c r="K26" s="52">
        <f>'[6]2016'!$G$1399</f>
        <v>1071.5030214672076</v>
      </c>
      <c r="L26" s="52">
        <f>'[6]2017'!$G$1399</f>
        <v>1523.8366294793775</v>
      </c>
      <c r="M26" s="52">
        <f>'[6]2018'!$G$1399</f>
        <v>1386.5374619675454</v>
      </c>
      <c r="N26" s="52">
        <f>'[6]2019'!$G$1399</f>
        <v>1592.9996877501394</v>
      </c>
      <c r="O26" s="87">
        <f>'[6]2020'!$W$1399</f>
        <v>1496.2390390044566</v>
      </c>
      <c r="P26" s="87">
        <f>'[6]2021'!$W$1399</f>
        <v>1247.8588755799883</v>
      </c>
      <c r="Q26" s="87">
        <f>'[6]2022'!$W$569</f>
        <v>2165.882446406632</v>
      </c>
      <c r="R26" s="87">
        <f>'[6]2023'!$W$1399</f>
        <v>2662.8158411843078</v>
      </c>
    </row>
    <row r="27" spans="2:23" x14ac:dyDescent="0.25">
      <c r="B27" s="83"/>
      <c r="C27" s="84"/>
      <c r="D27" s="85"/>
      <c r="E27" s="86"/>
      <c r="G27" s="52"/>
      <c r="H27" s="52"/>
      <c r="I27" s="52"/>
      <c r="J27" s="52"/>
      <c r="K27" s="52"/>
      <c r="L27" s="52"/>
      <c r="M27" s="52"/>
      <c r="N27" s="52"/>
      <c r="O27" s="87"/>
      <c r="P27" s="87"/>
      <c r="Q27" s="87"/>
      <c r="R27" s="87"/>
    </row>
    <row r="28" spans="2:23" x14ac:dyDescent="0.25">
      <c r="B28" s="83"/>
      <c r="C28" s="84"/>
      <c r="D28" s="85"/>
      <c r="E28" s="86"/>
      <c r="F28" s="88" t="s">
        <v>796</v>
      </c>
      <c r="G28" s="88"/>
      <c r="H28" s="88"/>
    </row>
    <row r="29" spans="2:23" x14ac:dyDescent="0.25">
      <c r="G29">
        <v>2012</v>
      </c>
      <c r="H29">
        <v>2013</v>
      </c>
      <c r="I29">
        <v>2014</v>
      </c>
      <c r="J29">
        <v>2015</v>
      </c>
      <c r="K29">
        <v>2016</v>
      </c>
      <c r="L29">
        <v>2017</v>
      </c>
      <c r="M29">
        <v>2018</v>
      </c>
      <c r="N29">
        <v>2019</v>
      </c>
      <c r="O29">
        <v>2020</v>
      </c>
      <c r="P29">
        <v>2021</v>
      </c>
      <c r="Q29">
        <v>2022</v>
      </c>
      <c r="R29">
        <v>2023</v>
      </c>
    </row>
    <row r="30" spans="2:23" x14ac:dyDescent="0.25">
      <c r="F30" t="s">
        <v>797</v>
      </c>
      <c r="G30" s="74">
        <f>'Calcul. import share poultry'!F41</f>
        <v>157424695</v>
      </c>
      <c r="H30" s="75">
        <v>151127721</v>
      </c>
      <c r="I30" s="75">
        <v>174792587</v>
      </c>
      <c r="J30" s="75">
        <v>161941936</v>
      </c>
      <c r="K30" s="75">
        <v>157260278</v>
      </c>
      <c r="L30" s="75">
        <v>138613958</v>
      </c>
      <c r="M30" s="75">
        <v>121944122</v>
      </c>
      <c r="N30" s="75">
        <v>103222452</v>
      </c>
      <c r="O30" s="75">
        <v>110348178</v>
      </c>
      <c r="P30" s="75">
        <v>101509645</v>
      </c>
      <c r="Q30" s="75">
        <v>96829941</v>
      </c>
      <c r="R30" s="75">
        <v>88224043</v>
      </c>
      <c r="U30" s="60"/>
      <c r="W30" s="76"/>
    </row>
    <row r="31" spans="2:23" x14ac:dyDescent="0.25">
      <c r="F31" t="s">
        <v>798</v>
      </c>
      <c r="G31" s="75">
        <v>80876261</v>
      </c>
      <c r="H31" s="75">
        <v>85864407</v>
      </c>
      <c r="I31" s="75">
        <v>84418515</v>
      </c>
      <c r="J31" s="75">
        <v>90800514</v>
      </c>
      <c r="K31" s="75">
        <v>90371980</v>
      </c>
      <c r="L31" s="75">
        <v>98582057</v>
      </c>
      <c r="M31" s="75">
        <v>112606925</v>
      </c>
      <c r="N31" s="75">
        <v>112230987</v>
      </c>
      <c r="O31" s="75">
        <v>103160934</v>
      </c>
      <c r="P31" s="75">
        <v>115596313</v>
      </c>
      <c r="Q31" s="75">
        <v>108600641</v>
      </c>
      <c r="R31" s="75">
        <v>112914429</v>
      </c>
      <c r="U31" s="60"/>
      <c r="W31" s="76"/>
    </row>
    <row r="32" spans="2:23" x14ac:dyDescent="0.25">
      <c r="F32" t="s">
        <v>525</v>
      </c>
      <c r="G32" s="58">
        <v>44084000</v>
      </c>
      <c r="H32" s="58">
        <v>49792000</v>
      </c>
      <c r="I32" s="58">
        <v>44638000</v>
      </c>
      <c r="J32" s="58">
        <v>46406000</v>
      </c>
      <c r="K32" s="58">
        <v>57790000</v>
      </c>
      <c r="L32" s="58">
        <v>64110000</v>
      </c>
      <c r="M32" s="58">
        <v>82167000</v>
      </c>
      <c r="N32" s="58">
        <v>77263000</v>
      </c>
      <c r="O32" s="58">
        <v>58286000</v>
      </c>
      <c r="P32" s="58">
        <v>60074000</v>
      </c>
      <c r="Q32" s="58">
        <v>53634000</v>
      </c>
      <c r="R32" s="58">
        <v>72523000</v>
      </c>
      <c r="U32" s="60"/>
      <c r="W32" s="76"/>
    </row>
    <row r="33" spans="21:23" x14ac:dyDescent="0.25">
      <c r="U33" s="60"/>
      <c r="W33" s="76"/>
    </row>
    <row r="34" spans="21:23" x14ac:dyDescent="0.25">
      <c r="U34" s="60"/>
      <c r="W34" s="76"/>
    </row>
    <row r="35" spans="21:23" x14ac:dyDescent="0.25">
      <c r="U35" s="60"/>
      <c r="W35" s="76"/>
    </row>
    <row r="36" spans="21:23" x14ac:dyDescent="0.25">
      <c r="U36" s="60"/>
      <c r="W36" s="76"/>
    </row>
    <row r="37" spans="21:23" x14ac:dyDescent="0.25">
      <c r="U37" s="60"/>
      <c r="W37" s="76"/>
    </row>
    <row r="38" spans="21:23" x14ac:dyDescent="0.25">
      <c r="U38" s="60"/>
      <c r="W38" s="76"/>
    </row>
    <row r="39" spans="21:23" x14ac:dyDescent="0.25">
      <c r="U39" s="60"/>
      <c r="W39" s="76"/>
    </row>
    <row r="40" spans="21:23" x14ac:dyDescent="0.25">
      <c r="U40" s="60"/>
      <c r="W40" s="76"/>
    </row>
    <row r="41" spans="21:23" x14ac:dyDescent="0.25">
      <c r="U41" s="60"/>
      <c r="W41" s="76"/>
    </row>
    <row r="42" spans="21:23" x14ac:dyDescent="0.25">
      <c r="U42" s="60"/>
    </row>
    <row r="43" spans="21:23" x14ac:dyDescent="0.25">
      <c r="U43" s="60"/>
    </row>
    <row r="59" spans="2:5" x14ac:dyDescent="0.25">
      <c r="B59" t="s">
        <v>761</v>
      </c>
      <c r="C59" s="150"/>
      <c r="D59" s="150"/>
      <c r="E59" t="s">
        <v>669</v>
      </c>
    </row>
    <row r="60" spans="2:5" x14ac:dyDescent="0.25">
      <c r="B60" t="s">
        <v>762</v>
      </c>
      <c r="C60" s="150"/>
      <c r="D60" s="150"/>
      <c r="E60" t="s">
        <v>763</v>
      </c>
    </row>
    <row r="61" spans="2:5" x14ac:dyDescent="0.25">
      <c r="B61" t="s">
        <v>764</v>
      </c>
      <c r="C61" s="150"/>
      <c r="D61" s="150"/>
      <c r="E61" t="s">
        <v>765</v>
      </c>
    </row>
    <row r="62" spans="2:5" x14ac:dyDescent="0.25">
      <c r="B62" t="s">
        <v>766</v>
      </c>
      <c r="C62" s="150"/>
      <c r="D62" s="150"/>
      <c r="E62" t="s">
        <v>767</v>
      </c>
    </row>
    <row r="63" spans="2:5" x14ac:dyDescent="0.25">
      <c r="B63" t="s">
        <v>768</v>
      </c>
      <c r="C63" s="150"/>
      <c r="D63" s="150"/>
      <c r="E63" t="s">
        <v>769</v>
      </c>
    </row>
    <row r="64" spans="2:5" x14ac:dyDescent="0.25">
      <c r="B64" t="s">
        <v>770</v>
      </c>
      <c r="C64" s="150"/>
      <c r="D64" s="150"/>
      <c r="E64" t="s">
        <v>771</v>
      </c>
    </row>
    <row r="65" spans="2:11" x14ac:dyDescent="0.25">
      <c r="B65" t="s">
        <v>772</v>
      </c>
      <c r="C65" s="150"/>
      <c r="D65" s="150"/>
      <c r="E65" t="s">
        <v>773</v>
      </c>
    </row>
    <row r="66" spans="2:11" x14ac:dyDescent="0.25">
      <c r="B66" t="s">
        <v>774</v>
      </c>
      <c r="C66" s="150"/>
      <c r="D66" s="150"/>
      <c r="E66" t="s">
        <v>775</v>
      </c>
    </row>
    <row r="67" spans="2:11" x14ac:dyDescent="0.25">
      <c r="B67" t="s">
        <v>776</v>
      </c>
      <c r="C67" s="150"/>
      <c r="D67" s="150"/>
      <c r="E67" t="s">
        <v>777</v>
      </c>
    </row>
    <row r="68" spans="2:11" x14ac:dyDescent="0.25">
      <c r="B68" t="s">
        <v>778</v>
      </c>
      <c r="C68" s="150"/>
      <c r="D68" s="150"/>
      <c r="E68" t="s">
        <v>779</v>
      </c>
    </row>
    <row r="69" spans="2:11" x14ac:dyDescent="0.25">
      <c r="B69" t="s">
        <v>780</v>
      </c>
      <c r="C69" s="150"/>
      <c r="D69" s="150"/>
      <c r="E69" t="s">
        <v>781</v>
      </c>
    </row>
    <row r="70" spans="2:11" x14ac:dyDescent="0.25">
      <c r="B70" t="s">
        <v>782</v>
      </c>
      <c r="C70" s="150"/>
      <c r="D70" s="150"/>
      <c r="E70" t="s">
        <v>783</v>
      </c>
    </row>
    <row r="71" spans="2:11" x14ac:dyDescent="0.25">
      <c r="B71" t="s">
        <v>784</v>
      </c>
      <c r="C71" s="150"/>
      <c r="D71" s="150"/>
      <c r="E71" t="s">
        <v>785</v>
      </c>
    </row>
    <row r="73" spans="2:11" x14ac:dyDescent="0.25">
      <c r="K73" t="s">
        <v>816</v>
      </c>
    </row>
  </sheetData>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234"/>
  <sheetViews>
    <sheetView zoomScaleNormal="100" workbookViewId="0"/>
  </sheetViews>
  <sheetFormatPr baseColWidth="10" defaultColWidth="12.7109375" defaultRowHeight="12.75" x14ac:dyDescent="0.2"/>
  <cols>
    <col min="1" max="1" width="13.7109375" style="54" customWidth="1"/>
    <col min="2" max="2" width="107.42578125" style="54" customWidth="1"/>
    <col min="3" max="3" width="12.5703125" style="93" customWidth="1"/>
    <col min="4" max="4" width="9.140625" style="54" customWidth="1"/>
    <col min="5" max="5" width="9.140625" style="58" customWidth="1"/>
    <col min="6" max="6" width="12" style="93" customWidth="1"/>
    <col min="7" max="10" width="12.7109375" style="54"/>
    <col min="11" max="11" width="15.42578125" style="81" customWidth="1"/>
    <col min="12" max="15" width="12.7109375" style="54"/>
    <col min="16" max="16" width="11.42578125" style="81" customWidth="1"/>
    <col min="17" max="17" width="10.140625" style="81" customWidth="1"/>
    <col min="18" max="18" width="14.5703125" style="54" customWidth="1"/>
    <col min="19" max="19" width="12.7109375" style="54"/>
    <col min="20" max="20" width="15.28515625" style="54" bestFit="1" customWidth="1"/>
    <col min="21" max="22" width="12.7109375" style="81"/>
    <col min="23" max="23" width="8.5703125" style="81" customWidth="1"/>
    <col min="24" max="24" width="8.85546875" style="81" customWidth="1"/>
    <col min="25" max="25" width="14.5703125" style="54" customWidth="1"/>
    <col min="26" max="26" width="14.5703125" style="99" customWidth="1"/>
    <col min="27" max="16384" width="12.7109375" style="54"/>
  </cols>
  <sheetData>
    <row r="1" spans="1:8" ht="30" customHeight="1" x14ac:dyDescent="0.35">
      <c r="A1" s="147" t="s">
        <v>815</v>
      </c>
      <c r="B1" s="80"/>
      <c r="C1" s="135"/>
      <c r="D1" s="135"/>
      <c r="E1" s="134"/>
      <c r="F1" s="135"/>
      <c r="G1" s="135"/>
      <c r="H1" s="134"/>
    </row>
    <row r="4" spans="1:8" s="114" customFormat="1" x14ac:dyDescent="0.2">
      <c r="C4" s="93"/>
      <c r="E4" s="58"/>
      <c r="F4" s="93"/>
    </row>
    <row r="5" spans="1:8" s="114" customFormat="1" x14ac:dyDescent="0.2">
      <c r="C5" s="93"/>
      <c r="E5" s="58"/>
      <c r="F5" s="93"/>
    </row>
    <row r="6" spans="1:8" s="114" customFormat="1" x14ac:dyDescent="0.2">
      <c r="C6" s="93"/>
      <c r="E6" s="58"/>
      <c r="F6" s="93"/>
    </row>
    <row r="7" spans="1:8" s="114" customFormat="1" x14ac:dyDescent="0.2">
      <c r="C7" s="93"/>
      <c r="E7" s="58"/>
      <c r="F7" s="93"/>
    </row>
    <row r="8" spans="1:8" s="114" customFormat="1" x14ac:dyDescent="0.2">
      <c r="C8" s="93"/>
      <c r="E8" s="58"/>
      <c r="F8" s="93"/>
    </row>
    <row r="9" spans="1:8" s="114" customFormat="1" x14ac:dyDescent="0.2">
      <c r="C9" s="93"/>
      <c r="E9" s="58"/>
      <c r="F9" s="93"/>
    </row>
    <row r="10" spans="1:8" s="114" customFormat="1" x14ac:dyDescent="0.2">
      <c r="C10" s="93"/>
      <c r="E10" s="58"/>
      <c r="F10" s="93"/>
    </row>
    <row r="11" spans="1:8" s="114" customFormat="1" x14ac:dyDescent="0.2">
      <c r="C11" s="93"/>
      <c r="E11" s="58"/>
      <c r="F11" s="93"/>
    </row>
    <row r="12" spans="1:8" s="114" customFormat="1" x14ac:dyDescent="0.2">
      <c r="C12" s="93"/>
      <c r="E12" s="58"/>
      <c r="F12" s="93"/>
    </row>
    <row r="13" spans="1:8" s="114" customFormat="1" x14ac:dyDescent="0.2">
      <c r="C13" s="93"/>
      <c r="E13" s="58"/>
      <c r="F13" s="93"/>
    </row>
    <row r="14" spans="1:8" s="114" customFormat="1" x14ac:dyDescent="0.2">
      <c r="C14" s="93"/>
      <c r="E14" s="58"/>
      <c r="F14" s="93"/>
    </row>
    <row r="15" spans="1:8" s="114" customFormat="1" x14ac:dyDescent="0.2">
      <c r="C15" s="93"/>
      <c r="E15" s="58"/>
      <c r="F15" s="93"/>
    </row>
    <row r="16" spans="1:8" s="114" customFormat="1" x14ac:dyDescent="0.2">
      <c r="C16" s="93"/>
      <c r="E16" s="58"/>
      <c r="F16" s="93"/>
    </row>
    <row r="17" spans="1:30" s="114" customFormat="1" x14ac:dyDescent="0.2">
      <c r="C17" s="93"/>
      <c r="E17" s="58"/>
      <c r="F17" s="93"/>
    </row>
    <row r="18" spans="1:30" s="114" customFormat="1" x14ac:dyDescent="0.2">
      <c r="C18" s="93"/>
      <c r="E18" s="58"/>
      <c r="F18" s="93"/>
    </row>
    <row r="19" spans="1:30" s="114" customFormat="1" x14ac:dyDescent="0.2">
      <c r="C19" s="93"/>
      <c r="E19" s="58"/>
      <c r="F19" s="93"/>
    </row>
    <row r="20" spans="1:30" s="114" customFormat="1" x14ac:dyDescent="0.2">
      <c r="C20" s="93"/>
      <c r="E20" s="58"/>
      <c r="F20" s="93"/>
    </row>
    <row r="21" spans="1:30" s="114" customFormat="1" x14ac:dyDescent="0.2">
      <c r="C21" s="93"/>
      <c r="E21" s="58"/>
      <c r="F21" s="93"/>
    </row>
    <row r="22" spans="1:30" s="114" customFormat="1" x14ac:dyDescent="0.2">
      <c r="C22" s="93"/>
      <c r="E22" s="58"/>
      <c r="F22" s="93"/>
    </row>
    <row r="23" spans="1:30" s="114" customFormat="1" x14ac:dyDescent="0.2">
      <c r="C23" s="93"/>
      <c r="E23" s="58"/>
      <c r="F23" s="93"/>
    </row>
    <row r="24" spans="1:30" s="114" customFormat="1" x14ac:dyDescent="0.2">
      <c r="C24" s="93"/>
      <c r="E24" s="58"/>
      <c r="F24" s="93"/>
    </row>
    <row r="27" spans="1:30" s="114" customFormat="1" x14ac:dyDescent="0.2">
      <c r="C27" s="93"/>
      <c r="E27" s="58"/>
      <c r="F27" s="93"/>
    </row>
    <row r="28" spans="1:30" s="114" customFormat="1" x14ac:dyDescent="0.2">
      <c r="C28" s="93"/>
      <c r="E28" s="58"/>
      <c r="F28" s="93"/>
    </row>
    <row r="29" spans="1:30" ht="4.5" customHeight="1" thickBot="1" x14ac:dyDescent="0.25">
      <c r="A29" s="178"/>
      <c r="B29" s="176"/>
      <c r="C29" s="177"/>
      <c r="D29" s="176"/>
      <c r="E29" s="176"/>
      <c r="F29" s="177"/>
      <c r="G29" s="176"/>
      <c r="H29" s="176"/>
    </row>
    <row r="30" spans="1:30" ht="54.95" customHeight="1" thickBot="1" x14ac:dyDescent="0.25">
      <c r="A30" s="179" t="s">
        <v>526</v>
      </c>
      <c r="B30" s="180"/>
      <c r="C30" s="94" t="s">
        <v>527</v>
      </c>
      <c r="D30" s="55" t="s">
        <v>528</v>
      </c>
      <c r="E30" s="94" t="s">
        <v>529</v>
      </c>
      <c r="F30" s="94" t="s">
        <v>530</v>
      </c>
      <c r="G30" s="55" t="s">
        <v>531</v>
      </c>
      <c r="H30" s="55" t="s">
        <v>532</v>
      </c>
      <c r="I30" s="55" t="s">
        <v>533</v>
      </c>
      <c r="J30" s="55" t="s">
        <v>534</v>
      </c>
      <c r="K30" s="105" t="s">
        <v>535</v>
      </c>
      <c r="L30" s="102" t="s">
        <v>536</v>
      </c>
      <c r="M30" s="29" t="s">
        <v>537</v>
      </c>
      <c r="N30" s="29" t="s">
        <v>818</v>
      </c>
      <c r="O30" s="29" t="s">
        <v>538</v>
      </c>
      <c r="P30" s="110" t="s">
        <v>539</v>
      </c>
      <c r="Q30" s="110" t="s">
        <v>540</v>
      </c>
      <c r="R30" s="110" t="s">
        <v>541</v>
      </c>
      <c r="S30" s="119" t="s">
        <v>542</v>
      </c>
      <c r="T30" s="120" t="s">
        <v>543</v>
      </c>
      <c r="U30" s="120" t="s">
        <v>544</v>
      </c>
      <c r="V30" s="117"/>
      <c r="W30" s="118" t="s">
        <v>545</v>
      </c>
      <c r="X30" s="118"/>
      <c r="Y30" s="118"/>
      <c r="AA30" s="54" t="s">
        <v>546</v>
      </c>
      <c r="AB30" s="54" t="s">
        <v>547</v>
      </c>
      <c r="AC30" s="54" t="s">
        <v>548</v>
      </c>
      <c r="AD30" s="54" t="s">
        <v>549</v>
      </c>
    </row>
    <row r="31" spans="1:30" ht="26.25" thickBot="1" x14ac:dyDescent="0.25">
      <c r="A31" s="180"/>
      <c r="B31" s="180"/>
      <c r="C31" s="94" t="s">
        <v>550</v>
      </c>
      <c r="D31" s="55" t="s">
        <v>551</v>
      </c>
      <c r="E31" s="94" t="s">
        <v>552</v>
      </c>
      <c r="F31" s="94" t="s">
        <v>553</v>
      </c>
      <c r="G31" s="55" t="s">
        <v>554</v>
      </c>
      <c r="H31" s="55" t="s">
        <v>555</v>
      </c>
      <c r="I31" s="55" t="s">
        <v>556</v>
      </c>
      <c r="J31" s="55" t="s">
        <v>557</v>
      </c>
      <c r="K31" s="105"/>
      <c r="L31" s="103"/>
      <c r="S31" s="113"/>
    </row>
    <row r="32" spans="1:30" ht="33.75" customHeight="1" x14ac:dyDescent="0.2">
      <c r="A32" s="175" t="s">
        <v>558</v>
      </c>
      <c r="B32" s="176"/>
      <c r="C32" s="177"/>
      <c r="D32" s="176"/>
      <c r="E32" s="176"/>
      <c r="F32" s="177"/>
      <c r="G32" s="176"/>
      <c r="H32" s="176"/>
      <c r="K32" s="106"/>
      <c r="L32" s="103"/>
      <c r="S32" s="116"/>
      <c r="T32" s="121" t="s">
        <v>559</v>
      </c>
      <c r="U32" s="121" t="s">
        <v>560</v>
      </c>
      <c r="V32" s="121" t="s">
        <v>561</v>
      </c>
      <c r="W32" s="122" t="s">
        <v>562</v>
      </c>
      <c r="X32" s="122" t="s">
        <v>563</v>
      </c>
      <c r="Y32" s="118"/>
    </row>
    <row r="33" spans="1:37" ht="14.1" customHeight="1" x14ac:dyDescent="0.2">
      <c r="A33" s="32" t="s">
        <v>564</v>
      </c>
      <c r="B33" s="33" t="s">
        <v>669</v>
      </c>
      <c r="C33" s="75">
        <v>4659599</v>
      </c>
      <c r="D33" s="34">
        <v>186.2</v>
      </c>
      <c r="E33" s="75">
        <v>24179</v>
      </c>
      <c r="F33" s="75">
        <v>19300</v>
      </c>
      <c r="G33" s="34">
        <v>1</v>
      </c>
      <c r="H33" s="34">
        <v>80</v>
      </c>
      <c r="K33" s="106">
        <v>103</v>
      </c>
      <c r="L33" s="104">
        <f t="shared" ref="L33:L40" si="0">F33*K33</f>
        <v>1987900</v>
      </c>
      <c r="M33" s="131">
        <v>296</v>
      </c>
      <c r="N33" s="132">
        <f>(L33*M33)*0.000062</f>
        <v>36481.940800000004</v>
      </c>
      <c r="O33" s="132">
        <f>'Price comparison poultry'!G26</f>
        <v>1558.733941852603</v>
      </c>
      <c r="P33" s="35">
        <v>1.25</v>
      </c>
      <c r="Q33" s="58">
        <f>(L33*P33)/1000</f>
        <v>2484.875</v>
      </c>
      <c r="R33" s="58">
        <f>'Price comparison poultry'!G21</f>
        <v>220</v>
      </c>
      <c r="S33" s="127">
        <f>((N33*O33)+(Q33*R33))/1000000</f>
        <v>57.412311889617307</v>
      </c>
      <c r="T33" s="125">
        <f>'[6]2012'!$G$1103</f>
        <v>14.597313573575549</v>
      </c>
      <c r="U33" s="155">
        <f>'[6]2012'!$G$1420</f>
        <v>1597.2426963740477</v>
      </c>
      <c r="V33" s="123">
        <f>T33+U33</f>
        <v>1611.8400099476232</v>
      </c>
      <c r="W33" s="168">
        <f>(((N33*O33)+(N35*O35))/(U33*1000000))*100</f>
        <v>5.9908191808828146</v>
      </c>
      <c r="X33" s="124">
        <f>(((Q33*R33)+(Q35*R35)+(N34*O34)+(N36*O36))/((T34*1000000)+(T33*1000000))*100)</f>
        <v>54.121440236678808</v>
      </c>
      <c r="Y33" s="113" t="s">
        <v>565</v>
      </c>
      <c r="AA33" s="73">
        <f t="shared" ref="AA33:AA64" si="1">(G33*1000000)/F33</f>
        <v>51.813471502590673</v>
      </c>
      <c r="AB33" s="58">
        <f t="shared" ref="AB33:AB41" si="2">C33-F33</f>
        <v>4640299</v>
      </c>
      <c r="AC33" s="58">
        <f t="shared" ref="AC33:AC41" si="3">E33-H33</f>
        <v>24099</v>
      </c>
      <c r="AD33" s="133">
        <f>(S33/V33)*100</f>
        <v>3.5619113271349381</v>
      </c>
      <c r="AE33" s="89"/>
      <c r="AF33" s="89"/>
      <c r="AG33" s="89"/>
      <c r="AH33" s="89"/>
      <c r="AI33" s="89"/>
      <c r="AJ33" s="89"/>
      <c r="AK33" s="89"/>
    </row>
    <row r="34" spans="1:37" ht="14.1" customHeight="1" x14ac:dyDescent="0.2">
      <c r="A34" s="32" t="s">
        <v>566</v>
      </c>
      <c r="B34" s="33" t="s">
        <v>763</v>
      </c>
      <c r="C34" s="75">
        <v>21676003</v>
      </c>
      <c r="D34" s="34">
        <v>1033</v>
      </c>
      <c r="E34" s="75">
        <v>61035</v>
      </c>
      <c r="F34" s="75">
        <v>3865712</v>
      </c>
      <c r="G34" s="34">
        <v>184.9</v>
      </c>
      <c r="H34" s="34">
        <v>24436</v>
      </c>
      <c r="K34" s="106">
        <v>125</v>
      </c>
      <c r="L34" s="104">
        <f t="shared" si="0"/>
        <v>483214000</v>
      </c>
      <c r="M34" s="79">
        <v>1.45</v>
      </c>
      <c r="N34" s="58">
        <f>(L34*1.45)/1000</f>
        <v>700660.3</v>
      </c>
      <c r="O34" s="58">
        <f>'Price comparison poultry'!G20</f>
        <v>926</v>
      </c>
      <c r="P34" s="35"/>
      <c r="Q34" s="58"/>
      <c r="S34" s="127">
        <f>(N34*O34)/1000000</f>
        <v>648.81143780000002</v>
      </c>
      <c r="T34" s="125">
        <f>'[6]2012'!$G$1131</f>
        <v>1541.8195001700301</v>
      </c>
      <c r="U34" s="123"/>
      <c r="V34" s="123"/>
      <c r="W34" s="124"/>
      <c r="X34" s="124"/>
      <c r="Y34" s="113"/>
      <c r="AA34" s="73">
        <f t="shared" si="1"/>
        <v>47.830774770598531</v>
      </c>
      <c r="AB34" s="58">
        <f t="shared" si="2"/>
        <v>17810291</v>
      </c>
      <c r="AC34" s="58">
        <f t="shared" si="3"/>
        <v>36599</v>
      </c>
      <c r="AD34" s="133">
        <f>(S34/T34)*100</f>
        <v>42.080894535868161</v>
      </c>
      <c r="AE34" s="89"/>
      <c r="AF34" s="89"/>
      <c r="AG34" s="89"/>
      <c r="AH34" s="89"/>
      <c r="AI34" s="89"/>
      <c r="AJ34" s="89"/>
      <c r="AK34" s="89"/>
    </row>
    <row r="35" spans="1:37" ht="14.1" customHeight="1" x14ac:dyDescent="0.2">
      <c r="A35" s="32" t="s">
        <v>567</v>
      </c>
      <c r="B35" s="33" t="s">
        <v>765</v>
      </c>
      <c r="C35" s="75">
        <v>8736100</v>
      </c>
      <c r="D35" s="34">
        <v>360.7</v>
      </c>
      <c r="E35" s="75">
        <v>6692</v>
      </c>
      <c r="F35" s="75">
        <v>1406366</v>
      </c>
      <c r="G35" s="34">
        <v>66.3</v>
      </c>
      <c r="H35" s="34">
        <v>767</v>
      </c>
      <c r="K35" s="109">
        <v>0.96499999999999997</v>
      </c>
      <c r="L35" s="104">
        <f t="shared" si="0"/>
        <v>1357143.19</v>
      </c>
      <c r="M35" s="131">
        <v>296</v>
      </c>
      <c r="N35" s="132">
        <f>(L35*M35)*0.000062</f>
        <v>24906.291822880001</v>
      </c>
      <c r="O35" s="132">
        <f>'Price comparison poultry'!G26</f>
        <v>1558.733941852603</v>
      </c>
      <c r="P35" s="35">
        <v>1.25</v>
      </c>
      <c r="Q35" s="58">
        <f>(L35*P35)/1000</f>
        <v>1696.4289874999997</v>
      </c>
      <c r="R35" s="58">
        <f>'Price comparison poultry'!G21</f>
        <v>220</v>
      </c>
      <c r="S35" s="127">
        <f>((N35*O35)+(Q35*R35))/1000000</f>
        <v>39.195496807258998</v>
      </c>
      <c r="T35" s="125"/>
      <c r="U35" s="123"/>
      <c r="V35" s="123"/>
      <c r="W35" s="124"/>
      <c r="X35" s="124"/>
      <c r="Y35" s="113"/>
      <c r="AA35" s="73">
        <f t="shared" si="1"/>
        <v>47.142777911297628</v>
      </c>
      <c r="AB35" s="58">
        <f t="shared" si="2"/>
        <v>7329734</v>
      </c>
      <c r="AC35" s="58">
        <f t="shared" si="3"/>
        <v>5925</v>
      </c>
      <c r="AD35" s="133">
        <f>(S35/V33)*100</f>
        <v>2.4317237793676965</v>
      </c>
      <c r="AE35" s="89"/>
      <c r="AF35" s="89"/>
      <c r="AG35" s="89"/>
      <c r="AH35" s="89"/>
      <c r="AI35" s="89"/>
      <c r="AJ35" s="89"/>
      <c r="AK35" s="89"/>
    </row>
    <row r="36" spans="1:37" ht="14.1" customHeight="1" x14ac:dyDescent="0.2">
      <c r="A36" s="32" t="s">
        <v>568</v>
      </c>
      <c r="B36" s="33" t="s">
        <v>767</v>
      </c>
      <c r="C36" s="75">
        <v>34513572</v>
      </c>
      <c r="D36" s="34">
        <v>1545.5</v>
      </c>
      <c r="E36" s="75">
        <v>9198</v>
      </c>
      <c r="F36" s="75">
        <v>148663312</v>
      </c>
      <c r="G36" s="34">
        <v>6408.9</v>
      </c>
      <c r="H36" s="34">
        <v>48158</v>
      </c>
      <c r="I36" s="61">
        <f>(E33+E34+E35+E36)/(D33+D34+D35+D36)*1000</f>
        <v>32349.139310168299</v>
      </c>
      <c r="J36" s="61">
        <f>(H33+H34+H35+H36)/(G33+G34+G35+G36)*1000</f>
        <v>11025.356172403957</v>
      </c>
      <c r="K36" s="109">
        <v>0.96499999999999997</v>
      </c>
      <c r="L36" s="104">
        <f t="shared" si="0"/>
        <v>143460096.07999998</v>
      </c>
      <c r="M36" s="79">
        <v>1.45</v>
      </c>
      <c r="N36" s="58">
        <f>(L36*M36)/1000</f>
        <v>208017.13931599996</v>
      </c>
      <c r="O36" s="58">
        <f>'Price comparison poultry'!G20</f>
        <v>926</v>
      </c>
      <c r="P36" s="35"/>
      <c r="Q36" s="35"/>
      <c r="S36" s="127">
        <f>(N36*O36)/1000000</f>
        <v>192.62387100661596</v>
      </c>
      <c r="T36" s="125"/>
      <c r="U36" s="123"/>
      <c r="V36" s="123"/>
      <c r="W36" s="124"/>
      <c r="X36" s="124"/>
      <c r="Y36" s="113"/>
      <c r="AA36" s="73">
        <f t="shared" si="1"/>
        <v>43.110165606965623</v>
      </c>
      <c r="AB36" s="58">
        <f t="shared" si="2"/>
        <v>-114149740</v>
      </c>
      <c r="AC36" s="58">
        <f t="shared" si="3"/>
        <v>-38960</v>
      </c>
      <c r="AD36" s="133">
        <f>S36/T34*100</f>
        <v>12.493282837931003</v>
      </c>
      <c r="AE36" s="89"/>
      <c r="AF36" s="89"/>
      <c r="AG36" s="89"/>
      <c r="AH36" s="89"/>
      <c r="AI36" s="89"/>
      <c r="AJ36" s="89"/>
      <c r="AK36" s="89"/>
    </row>
    <row r="37" spans="1:37" ht="14.1" customHeight="1" x14ac:dyDescent="0.2">
      <c r="A37" s="32" t="s">
        <v>569</v>
      </c>
      <c r="B37" s="33" t="s">
        <v>570</v>
      </c>
      <c r="C37" s="75">
        <v>10883513</v>
      </c>
      <c r="D37" s="34">
        <v>753.4</v>
      </c>
      <c r="E37" s="75">
        <v>19070</v>
      </c>
      <c r="F37" s="75">
        <v>379206</v>
      </c>
      <c r="G37" s="34">
        <v>22.1</v>
      </c>
      <c r="H37" s="34">
        <v>3079</v>
      </c>
      <c r="I37" s="36">
        <f>(E37/D37)*1000</f>
        <v>25311.919299177061</v>
      </c>
      <c r="J37" s="36">
        <f>(H37/G37)*1000</f>
        <v>139321.26696832577</v>
      </c>
      <c r="K37" s="109">
        <v>0.96499999999999997</v>
      </c>
      <c r="L37" s="104">
        <f t="shared" si="0"/>
        <v>365933.79</v>
      </c>
      <c r="M37" s="79">
        <v>12.31</v>
      </c>
      <c r="N37" s="58">
        <f>(L37*M37)/1000</f>
        <v>4504.6449548999999</v>
      </c>
      <c r="O37" s="58">
        <f>'Price comparison poultry'!G22</f>
        <v>1371</v>
      </c>
      <c r="P37" s="35"/>
      <c r="Q37" s="35"/>
      <c r="S37" s="127">
        <f>(N37*O37)/1000000</f>
        <v>6.1758682331678996</v>
      </c>
      <c r="T37" s="125">
        <f>'[6]2012'!$G$1187</f>
        <v>879.9637269977768</v>
      </c>
      <c r="U37" s="123"/>
      <c r="V37" s="123"/>
      <c r="W37" s="124"/>
      <c r="X37" s="124">
        <f>(S37/T37)*100</f>
        <v>0.70183213735848715</v>
      </c>
      <c r="Y37" s="113"/>
      <c r="AA37" s="73">
        <f t="shared" si="1"/>
        <v>58.279668570644979</v>
      </c>
      <c r="AB37" s="58">
        <f t="shared" si="2"/>
        <v>10504307</v>
      </c>
      <c r="AC37" s="58">
        <f t="shared" si="3"/>
        <v>15991</v>
      </c>
      <c r="AD37" s="90"/>
      <c r="AE37" s="90"/>
      <c r="AF37" s="90"/>
      <c r="AG37" s="90"/>
      <c r="AH37" s="90"/>
      <c r="AI37" s="90"/>
      <c r="AJ37" s="90"/>
      <c r="AK37" s="90"/>
    </row>
    <row r="38" spans="1:37" ht="14.1" customHeight="1" x14ac:dyDescent="0.2">
      <c r="A38" s="32" t="s">
        <v>571</v>
      </c>
      <c r="B38" s="33" t="s">
        <v>572</v>
      </c>
      <c r="C38" s="75">
        <v>322201</v>
      </c>
      <c r="D38" s="34">
        <v>21.9</v>
      </c>
      <c r="E38" s="75">
        <v>1487</v>
      </c>
      <c r="F38" s="75">
        <v>3054413</v>
      </c>
      <c r="G38" s="34">
        <v>233.8</v>
      </c>
      <c r="H38" s="34">
        <v>1880</v>
      </c>
      <c r="I38" s="36">
        <f>(E38/D38)*1000</f>
        <v>67899.543378995426</v>
      </c>
      <c r="J38" s="36">
        <f>(H38/G38)*1000</f>
        <v>8041.0607356715127</v>
      </c>
      <c r="K38" s="109">
        <v>0.96499999999999997</v>
      </c>
      <c r="L38" s="104">
        <f t="shared" si="0"/>
        <v>2947508.5449999999</v>
      </c>
      <c r="M38" s="79">
        <v>2.2599999999999998</v>
      </c>
      <c r="N38" s="58">
        <f>(L38*M38)/1000</f>
        <v>6661.3693116999993</v>
      </c>
      <c r="O38" s="58">
        <f>'Price comparison poultry'!G24</f>
        <v>5272.7320527250731</v>
      </c>
      <c r="P38" s="35"/>
      <c r="Q38" s="35"/>
      <c r="S38" s="127">
        <f>(N38*O38)/1000000</f>
        <v>35.123615484839746</v>
      </c>
      <c r="T38" s="125">
        <f>'[6]2012'!$G$1252</f>
        <v>440.30673190126612</v>
      </c>
      <c r="U38" s="123"/>
      <c r="V38" s="123"/>
      <c r="W38" s="124"/>
      <c r="X38" s="124">
        <f>(S38/T38)*100</f>
        <v>7.9770789179566357</v>
      </c>
      <c r="Y38" s="113"/>
      <c r="AA38" s="73">
        <f t="shared" si="1"/>
        <v>76.544985894180002</v>
      </c>
      <c r="AB38" s="58">
        <f t="shared" si="2"/>
        <v>-2732212</v>
      </c>
      <c r="AC38" s="58">
        <f t="shared" si="3"/>
        <v>-393</v>
      </c>
      <c r="AD38" s="90"/>
      <c r="AE38" s="90"/>
      <c r="AF38" s="90"/>
      <c r="AG38" s="90"/>
      <c r="AH38" s="90"/>
      <c r="AI38" s="90"/>
      <c r="AJ38" s="90"/>
      <c r="AK38" s="90"/>
    </row>
    <row r="39" spans="1:37" ht="14.1" customHeight="1" x14ac:dyDescent="0.2">
      <c r="A39" s="32" t="s">
        <v>573</v>
      </c>
      <c r="B39" s="33" t="s">
        <v>574</v>
      </c>
      <c r="C39" s="75">
        <v>85273</v>
      </c>
      <c r="D39" s="34">
        <v>9.9</v>
      </c>
      <c r="E39" s="75">
        <v>864</v>
      </c>
      <c r="F39" s="75">
        <v>6840</v>
      </c>
      <c r="G39" s="34">
        <v>0.9</v>
      </c>
      <c r="H39" s="34">
        <v>24</v>
      </c>
      <c r="I39" s="36">
        <f>(E39/D39)*1000</f>
        <v>87272.727272727265</v>
      </c>
      <c r="J39" s="36">
        <f>(H39/G39)*1000</f>
        <v>26666.666666666664</v>
      </c>
      <c r="K39" s="109">
        <v>0.96499999999999997</v>
      </c>
      <c r="L39" s="104">
        <f t="shared" si="0"/>
        <v>6600.5999999999995</v>
      </c>
      <c r="M39" s="79">
        <v>4.95</v>
      </c>
      <c r="N39" s="58">
        <f>(L39*M39)/1000</f>
        <v>32.672969999999999</v>
      </c>
      <c r="O39" s="58">
        <f>'Price comparison poultry'!G23</f>
        <v>4912.7707407847392</v>
      </c>
      <c r="P39" s="35"/>
      <c r="Q39" s="35"/>
      <c r="S39" s="127">
        <f>(N39*O39)/1000000</f>
        <v>0.16051481103053755</v>
      </c>
      <c r="T39" s="125">
        <f>'[6]2012'!$G$1215</f>
        <v>30.351193464222721</v>
      </c>
      <c r="U39" s="123"/>
      <c r="V39" s="123"/>
      <c r="W39" s="124"/>
      <c r="X39" s="124">
        <f>(S39/T39)*100</f>
        <v>0.5288583172841248</v>
      </c>
      <c r="Y39" s="113"/>
      <c r="AA39" s="73">
        <f t="shared" si="1"/>
        <v>131.57894736842104</v>
      </c>
      <c r="AB39" s="58">
        <f t="shared" si="2"/>
        <v>78433</v>
      </c>
      <c r="AC39" s="58">
        <f t="shared" si="3"/>
        <v>840</v>
      </c>
      <c r="AD39" s="90"/>
      <c r="AE39" s="90"/>
      <c r="AF39" s="90"/>
      <c r="AG39" s="90"/>
      <c r="AH39" s="90"/>
      <c r="AI39" s="90"/>
      <c r="AJ39" s="90"/>
      <c r="AK39" s="90"/>
    </row>
    <row r="40" spans="1:37" ht="14.1" customHeight="1" x14ac:dyDescent="0.2">
      <c r="A40" s="161" t="s">
        <v>575</v>
      </c>
      <c r="B40" s="162" t="s">
        <v>576</v>
      </c>
      <c r="C40" s="163"/>
      <c r="D40" s="164"/>
      <c r="E40" s="163"/>
      <c r="F40" s="163">
        <v>29546</v>
      </c>
      <c r="G40" s="164">
        <v>1.4</v>
      </c>
      <c r="H40" s="164">
        <v>17</v>
      </c>
      <c r="I40" s="165">
        <v>0</v>
      </c>
      <c r="J40" s="166">
        <f>(H40/G40)*1000</f>
        <v>12142.857142857145</v>
      </c>
      <c r="K40" s="109">
        <v>0.96499999999999997</v>
      </c>
      <c r="L40" s="104">
        <f t="shared" si="0"/>
        <v>28511.89</v>
      </c>
      <c r="M40" s="79">
        <v>1.56</v>
      </c>
      <c r="N40" s="58">
        <f>(L40*M40)/1000</f>
        <v>44.478548400000001</v>
      </c>
      <c r="P40" s="35"/>
      <c r="Q40" s="35"/>
      <c r="S40" s="127"/>
      <c r="T40" s="125"/>
      <c r="U40" s="123"/>
      <c r="V40" s="123"/>
      <c r="W40" s="124"/>
      <c r="X40" s="124"/>
      <c r="Y40" s="113"/>
      <c r="AA40" s="73">
        <f t="shared" si="1"/>
        <v>47.383740607865704</v>
      </c>
      <c r="AB40" s="58">
        <f t="shared" si="2"/>
        <v>-29546</v>
      </c>
      <c r="AC40" s="58">
        <f t="shared" si="3"/>
        <v>-17</v>
      </c>
      <c r="AD40" s="90"/>
      <c r="AE40" s="90"/>
      <c r="AF40" s="90"/>
      <c r="AG40" s="90"/>
      <c r="AH40" s="90"/>
      <c r="AI40" s="90"/>
      <c r="AJ40" s="90"/>
      <c r="AK40" s="90"/>
    </row>
    <row r="41" spans="1:37" ht="14.1" customHeight="1" x14ac:dyDescent="0.2">
      <c r="A41" s="32"/>
      <c r="B41" s="59" t="s">
        <v>817</v>
      </c>
      <c r="C41" s="60">
        <f>SUM(C33:C40)</f>
        <v>80876261</v>
      </c>
      <c r="D41" s="60">
        <f t="shared" ref="D41:H41" si="4">SUM(D33:D40)</f>
        <v>3910.6000000000004</v>
      </c>
      <c r="E41" s="60">
        <f t="shared" si="4"/>
        <v>122525</v>
      </c>
      <c r="F41" s="60">
        <f t="shared" si="4"/>
        <v>157424695</v>
      </c>
      <c r="G41" s="60">
        <f t="shared" si="4"/>
        <v>6919.2999999999993</v>
      </c>
      <c r="H41" s="60">
        <f t="shared" si="4"/>
        <v>78441</v>
      </c>
      <c r="I41" s="61">
        <f>(E41/D41)*1000</f>
        <v>31331.509231319997</v>
      </c>
      <c r="J41" s="61">
        <f>(H41/G41)*1000</f>
        <v>11336.551385255734</v>
      </c>
      <c r="K41" s="108"/>
      <c r="L41" s="103"/>
      <c r="M41" s="79">
        <v>2.06</v>
      </c>
      <c r="P41" s="35"/>
      <c r="Q41" s="35"/>
      <c r="S41" s="127">
        <f>SUM(S33:S40)</f>
        <v>979.50311603253056</v>
      </c>
      <c r="T41" s="125">
        <f>'[6]2012'!$G$1275</f>
        <v>2907.0384661068715</v>
      </c>
      <c r="U41" s="123"/>
      <c r="V41" s="123"/>
      <c r="W41" s="124"/>
      <c r="X41" s="173">
        <f>(((S34+S36+S37+S38+S39+((Q33*R33/1000000)+(Q35*R35/1000000))))/T41)*100</f>
        <v>30.402597162620836</v>
      </c>
      <c r="Y41" s="174" t="s">
        <v>577</v>
      </c>
      <c r="AA41" s="73">
        <f t="shared" si="1"/>
        <v>43.953078644999117</v>
      </c>
      <c r="AB41" s="58">
        <f t="shared" si="2"/>
        <v>-76548434</v>
      </c>
      <c r="AC41" s="58">
        <f t="shared" si="3"/>
        <v>44084</v>
      </c>
      <c r="AD41" s="90"/>
      <c r="AE41" s="90"/>
      <c r="AF41" s="90"/>
      <c r="AG41" s="90"/>
      <c r="AH41" s="90"/>
      <c r="AI41" s="90"/>
      <c r="AJ41" s="90"/>
      <c r="AK41" s="90"/>
    </row>
    <row r="42" spans="1:37" x14ac:dyDescent="0.2">
      <c r="A42" s="32"/>
      <c r="B42" s="38"/>
      <c r="C42" s="75"/>
      <c r="D42" s="34"/>
      <c r="E42" s="75"/>
      <c r="F42" s="75"/>
      <c r="G42" s="34"/>
      <c r="H42" s="34"/>
      <c r="I42" s="36"/>
      <c r="J42" s="36"/>
      <c r="K42" s="107"/>
      <c r="L42" s="103"/>
      <c r="M42" s="79"/>
      <c r="P42" s="35"/>
      <c r="Q42" s="35"/>
      <c r="S42" s="127"/>
      <c r="T42" s="126"/>
      <c r="U42" s="121"/>
      <c r="V42" s="121"/>
      <c r="W42" s="122"/>
      <c r="X42" s="122"/>
      <c r="Y42" s="113"/>
      <c r="AA42" s="73" t="e">
        <f t="shared" si="1"/>
        <v>#DIV/0!</v>
      </c>
      <c r="AB42" s="58">
        <f>F42-C42</f>
        <v>0</v>
      </c>
      <c r="AC42" s="58">
        <f>H42-E42</f>
        <v>0</v>
      </c>
      <c r="AD42" s="90"/>
      <c r="AE42" s="90"/>
      <c r="AF42" s="90"/>
      <c r="AG42" s="90"/>
      <c r="AH42" s="90"/>
      <c r="AI42" s="90"/>
      <c r="AJ42" s="90"/>
      <c r="AK42" s="90"/>
    </row>
    <row r="43" spans="1:37" ht="33.75" customHeight="1" x14ac:dyDescent="0.2">
      <c r="A43" s="175" t="s">
        <v>578</v>
      </c>
      <c r="B43" s="176"/>
      <c r="C43" s="177"/>
      <c r="D43" s="176"/>
      <c r="E43" s="176"/>
      <c r="F43" s="177"/>
      <c r="G43" s="176"/>
      <c r="H43" s="176"/>
      <c r="K43" s="106"/>
      <c r="L43" s="103"/>
      <c r="M43" s="79"/>
      <c r="N43" s="79"/>
      <c r="P43" s="35"/>
      <c r="S43" s="127"/>
      <c r="T43" s="126" t="s">
        <v>579</v>
      </c>
      <c r="U43" s="121" t="s">
        <v>580</v>
      </c>
      <c r="V43" s="121" t="s">
        <v>581</v>
      </c>
      <c r="W43" s="122" t="s">
        <v>582</v>
      </c>
      <c r="X43" s="122" t="s">
        <v>583</v>
      </c>
      <c r="Y43" s="118"/>
      <c r="AA43" s="73" t="e">
        <f t="shared" si="1"/>
        <v>#DIV/0!</v>
      </c>
      <c r="AD43" s="130"/>
      <c r="AE43" s="90"/>
      <c r="AF43" s="90"/>
      <c r="AG43" s="90"/>
      <c r="AH43" s="90"/>
      <c r="AI43" s="90"/>
      <c r="AJ43" s="90"/>
      <c r="AK43" s="90"/>
    </row>
    <row r="44" spans="1:37" ht="14.1" customHeight="1" x14ac:dyDescent="0.2">
      <c r="A44" s="32" t="s">
        <v>564</v>
      </c>
      <c r="B44" s="33" t="s">
        <v>669</v>
      </c>
      <c r="C44" s="75">
        <v>5606601</v>
      </c>
      <c r="D44" s="34">
        <v>225.6</v>
      </c>
      <c r="E44" s="75">
        <v>25725</v>
      </c>
      <c r="F44" s="75">
        <v>17900</v>
      </c>
      <c r="G44" s="34">
        <v>0.9</v>
      </c>
      <c r="H44" s="34">
        <v>70</v>
      </c>
      <c r="K44" s="106">
        <v>103</v>
      </c>
      <c r="L44" s="104">
        <f>F44*103</f>
        <v>1843700</v>
      </c>
      <c r="M44" s="131">
        <v>292</v>
      </c>
      <c r="N44" s="132">
        <f t="shared" ref="N44" si="5">(L44*M44)*0.000062</f>
        <v>33378.344799999999</v>
      </c>
      <c r="O44" s="132">
        <f>'Price comparison poultry'!H26</f>
        <v>1157.8748309668695</v>
      </c>
      <c r="P44" s="35">
        <v>1.29</v>
      </c>
      <c r="Q44" s="58">
        <f t="shared" ref="Q44" si="6">(L44*P44)/1000</f>
        <v>2378.373</v>
      </c>
      <c r="R44" s="58">
        <f>'Price comparison poultry'!H21</f>
        <v>281</v>
      </c>
      <c r="S44" s="127">
        <f t="shared" ref="S44" si="7">((N44*O44)+(Q44*R44))/1000000</f>
        <v>39.316268156253891</v>
      </c>
      <c r="T44" s="125">
        <f>'[6]2013'!$G$1103</f>
        <v>18.810003818942182</v>
      </c>
      <c r="U44" s="155">
        <f>'[6]2013'!$G$1420</f>
        <v>1364.3540028194107</v>
      </c>
      <c r="V44" s="123">
        <f>T44+U44</f>
        <v>1383.1640066383529</v>
      </c>
      <c r="W44" s="168">
        <f t="shared" ref="W44" si="8">(((N44*O44)+(N46*O46))/(U44*1000000))*100</f>
        <v>5.5736220694696135</v>
      </c>
      <c r="X44" s="124">
        <f t="shared" ref="X44" si="9">(((Q44*R44)+(Q46*R46)+(N45*O45)+(N47*O47))/((T45*1000000)+(T44*1000000))*100)</f>
        <v>50.777929145960101</v>
      </c>
      <c r="Y44" s="113" t="s">
        <v>584</v>
      </c>
      <c r="AA44" s="73">
        <f t="shared" si="1"/>
        <v>50.279329608938546</v>
      </c>
      <c r="AB44" s="58">
        <f t="shared" ref="AB44:AB52" si="10">C44-F44</f>
        <v>5588701</v>
      </c>
      <c r="AC44" s="58">
        <f t="shared" ref="AC44:AC52" si="11">E44-H44</f>
        <v>25655</v>
      </c>
      <c r="AD44" s="133">
        <f t="shared" ref="AD44" si="12">(S44/V44)*100</f>
        <v>2.8424878009809045</v>
      </c>
      <c r="AE44" s="91"/>
      <c r="AF44" s="91"/>
      <c r="AG44" s="91"/>
      <c r="AH44" s="91"/>
      <c r="AI44" s="91"/>
      <c r="AJ44" s="91"/>
      <c r="AK44" s="91"/>
    </row>
    <row r="45" spans="1:37" ht="14.1" customHeight="1" x14ac:dyDescent="0.2">
      <c r="A45" s="32" t="s">
        <v>566</v>
      </c>
      <c r="B45" s="33" t="s">
        <v>763</v>
      </c>
      <c r="C45" s="75">
        <v>22565074</v>
      </c>
      <c r="D45" s="34">
        <v>1096.5999999999999</v>
      </c>
      <c r="E45" s="75">
        <v>62578</v>
      </c>
      <c r="F45" s="75">
        <v>3658109</v>
      </c>
      <c r="G45" s="34">
        <v>174.5</v>
      </c>
      <c r="H45" s="34">
        <v>28134</v>
      </c>
      <c r="K45" s="106">
        <v>125</v>
      </c>
      <c r="L45" s="104">
        <f>F45*125</f>
        <v>457263625</v>
      </c>
      <c r="M45" s="79">
        <v>1.48</v>
      </c>
      <c r="N45" s="58">
        <f>(L45*M45)/1000</f>
        <v>676750.16500000004</v>
      </c>
      <c r="O45" s="58">
        <f>'Price comparison poultry'!H20</f>
        <v>968</v>
      </c>
      <c r="P45" s="35"/>
      <c r="Q45" s="58"/>
      <c r="S45" s="127">
        <f t="shared" ref="S45" si="13">(N45*O45)/1000000</f>
        <v>655.09415971999999</v>
      </c>
      <c r="T45" s="125">
        <f>'[6]2013'!$G$1131</f>
        <v>1665.2254370851897</v>
      </c>
      <c r="U45" s="123"/>
      <c r="V45" s="123"/>
      <c r="W45" s="124"/>
      <c r="X45" s="124"/>
      <c r="Y45" s="113"/>
      <c r="AA45" s="73">
        <f t="shared" si="1"/>
        <v>47.702241786671749</v>
      </c>
      <c r="AB45" s="58">
        <f t="shared" si="10"/>
        <v>18906965</v>
      </c>
      <c r="AC45" s="58">
        <f t="shared" si="11"/>
        <v>34444</v>
      </c>
      <c r="AD45" s="133">
        <f t="shared" ref="AD45" si="14">(S45/T45)*100</f>
        <v>39.33966807921675</v>
      </c>
    </row>
    <row r="46" spans="1:37" ht="14.1" customHeight="1" x14ac:dyDescent="0.2">
      <c r="A46" s="32" t="s">
        <v>567</v>
      </c>
      <c r="B46" s="33" t="s">
        <v>765</v>
      </c>
      <c r="C46" s="75">
        <v>9081122</v>
      </c>
      <c r="D46" s="34">
        <v>363.4</v>
      </c>
      <c r="E46" s="75">
        <v>7275</v>
      </c>
      <c r="F46" s="75">
        <v>1839150</v>
      </c>
      <c r="G46" s="34">
        <v>78.900000000000006</v>
      </c>
      <c r="H46" s="34">
        <v>985</v>
      </c>
      <c r="K46" s="109">
        <v>0.96499999999999997</v>
      </c>
      <c r="L46" s="104">
        <f>F46*0.97</f>
        <v>1783975.5</v>
      </c>
      <c r="M46" s="131">
        <v>292</v>
      </c>
      <c r="N46" s="132">
        <f t="shared" ref="N46" si="15">(L46*M46)*0.000062</f>
        <v>32297.092452000001</v>
      </c>
      <c r="O46" s="132">
        <f>'Price comparison poultry'!H26</f>
        <v>1157.8748309668695</v>
      </c>
      <c r="P46" s="35">
        <v>1.29</v>
      </c>
      <c r="Q46" s="58">
        <f t="shared" ref="Q46" si="16">(L46*P46)/1000</f>
        <v>2301.328395</v>
      </c>
      <c r="R46" s="58">
        <f>'Price comparison poultry'!H21</f>
        <v>281</v>
      </c>
      <c r="S46" s="127">
        <f t="shared" ref="S46" si="17">((N46*O46)+(Q46*R46))/1000000</f>
        <v>38.042663742575854</v>
      </c>
      <c r="T46" s="125"/>
      <c r="U46" s="123"/>
      <c r="V46" s="123"/>
      <c r="W46" s="124"/>
      <c r="X46" s="124"/>
      <c r="Y46" s="113"/>
      <c r="AA46" s="73">
        <f t="shared" si="1"/>
        <v>42.900252834189708</v>
      </c>
      <c r="AB46" s="58">
        <f t="shared" si="10"/>
        <v>7241972</v>
      </c>
      <c r="AC46" s="58">
        <f t="shared" si="11"/>
        <v>6290</v>
      </c>
      <c r="AD46" s="133">
        <f t="shared" ref="AD46" si="18">(S46/V44)*100</f>
        <v>2.7504087411177571</v>
      </c>
    </row>
    <row r="47" spans="1:37" ht="14.1" customHeight="1" x14ac:dyDescent="0.2">
      <c r="A47" s="32" t="s">
        <v>568</v>
      </c>
      <c r="B47" s="33" t="s">
        <v>767</v>
      </c>
      <c r="C47" s="75">
        <v>34532235</v>
      </c>
      <c r="D47" s="34">
        <v>1598.5</v>
      </c>
      <c r="E47" s="75">
        <v>9418</v>
      </c>
      <c r="F47" s="75">
        <v>143732016</v>
      </c>
      <c r="G47" s="34">
        <v>6251.6</v>
      </c>
      <c r="H47" s="34">
        <v>47777</v>
      </c>
      <c r="I47" s="61">
        <f>(E44+E45+E46+E47)/(D44+D45+D46+D47)*1000</f>
        <v>31971.01184494991</v>
      </c>
      <c r="J47" s="61">
        <f>(H44+H45+H46+H47)/(G44+G45+G46+G47)*1000</f>
        <v>11830.184909082524</v>
      </c>
      <c r="K47" s="109">
        <v>0.96499999999999997</v>
      </c>
      <c r="L47" s="104">
        <f>F47*0.965</f>
        <v>138701395.44</v>
      </c>
      <c r="M47" s="79">
        <v>1.48</v>
      </c>
      <c r="N47" s="58">
        <f t="shared" ref="N47:N51" si="19">(L47*M47)/1000</f>
        <v>205278.06525119999</v>
      </c>
      <c r="O47" s="58">
        <f>'Price comparison poultry'!H20</f>
        <v>968</v>
      </c>
      <c r="P47" s="35"/>
      <c r="Q47" s="35"/>
      <c r="S47" s="127">
        <f t="shared" ref="S47:S50" si="20">(N47*O47)/1000000</f>
        <v>198.7091671631616</v>
      </c>
      <c r="T47" s="125"/>
      <c r="U47" s="123"/>
      <c r="V47" s="123"/>
      <c r="W47" s="124"/>
      <c r="X47" s="124"/>
      <c r="Y47" s="113"/>
      <c r="AA47" s="73">
        <f t="shared" si="1"/>
        <v>43.494832772678848</v>
      </c>
      <c r="AB47" s="58">
        <f t="shared" si="10"/>
        <v>-109199781</v>
      </c>
      <c r="AC47" s="58">
        <f t="shared" si="11"/>
        <v>-38359</v>
      </c>
      <c r="AD47" s="133">
        <f t="shared" ref="AD47" si="21">S47/T45*100</f>
        <v>11.932868831921166</v>
      </c>
    </row>
    <row r="48" spans="1:37" ht="14.1" customHeight="1" x14ac:dyDescent="0.2">
      <c r="A48" s="32" t="s">
        <v>569</v>
      </c>
      <c r="B48" s="33" t="s">
        <v>570</v>
      </c>
      <c r="C48" s="75">
        <v>13328270</v>
      </c>
      <c r="D48" s="34">
        <v>926.6</v>
      </c>
      <c r="E48" s="75">
        <v>24390</v>
      </c>
      <c r="F48" s="75">
        <v>693610</v>
      </c>
      <c r="G48" s="34">
        <v>42.3</v>
      </c>
      <c r="H48" s="34">
        <v>4022</v>
      </c>
      <c r="I48" s="36">
        <f>(E48/D48)*1000</f>
        <v>26322.037556658754</v>
      </c>
      <c r="J48" s="36">
        <f>(H48/G48)*1000</f>
        <v>95082.742316784876</v>
      </c>
      <c r="K48" s="109">
        <v>0.96499999999999997</v>
      </c>
      <c r="L48" s="104">
        <f>F48*0.965</f>
        <v>669333.65</v>
      </c>
      <c r="M48" s="79">
        <v>12.49</v>
      </c>
      <c r="N48" s="58">
        <f t="shared" si="19"/>
        <v>8359.9772885000002</v>
      </c>
      <c r="O48" s="58">
        <f>'Price comparison poultry'!H22</f>
        <v>1417.5</v>
      </c>
      <c r="P48" s="35"/>
      <c r="Q48" s="35"/>
      <c r="S48" s="127">
        <f t="shared" si="20"/>
        <v>11.85026780644875</v>
      </c>
      <c r="T48" s="125">
        <f>'[6]2013'!$G$1187</f>
        <v>879.45916737232699</v>
      </c>
      <c r="U48" s="123"/>
      <c r="V48" s="123"/>
      <c r="W48" s="124"/>
      <c r="X48" s="124">
        <f t="shared" ref="X48:X50" si="22">(S48/T48)*100</f>
        <v>1.3474494605423599</v>
      </c>
      <c r="Y48" s="113"/>
      <c r="AA48" s="73">
        <f t="shared" si="1"/>
        <v>60.985279912342669</v>
      </c>
      <c r="AB48" s="58">
        <f t="shared" si="10"/>
        <v>12634660</v>
      </c>
      <c r="AC48" s="58">
        <f t="shared" si="11"/>
        <v>20368</v>
      </c>
      <c r="AD48" s="90"/>
    </row>
    <row r="49" spans="1:30" ht="14.1" customHeight="1" x14ac:dyDescent="0.2">
      <c r="A49" s="32" t="s">
        <v>571</v>
      </c>
      <c r="B49" s="33" t="s">
        <v>572</v>
      </c>
      <c r="C49" s="75">
        <v>662393</v>
      </c>
      <c r="D49" s="34">
        <v>40.799999999999997</v>
      </c>
      <c r="E49" s="75">
        <v>1548</v>
      </c>
      <c r="F49" s="75">
        <v>1131148</v>
      </c>
      <c r="G49" s="34">
        <v>121.3</v>
      </c>
      <c r="H49" s="34">
        <v>796</v>
      </c>
      <c r="I49" s="36">
        <f>(E49/D49)*1000</f>
        <v>37941.176470588238</v>
      </c>
      <c r="J49" s="36">
        <f>(H49/G49)*1000</f>
        <v>6562.2423742786486</v>
      </c>
      <c r="K49" s="109">
        <v>0.96499999999999997</v>
      </c>
      <c r="L49" s="104">
        <f>F49*0.965</f>
        <v>1091557.82</v>
      </c>
      <c r="M49" s="79">
        <v>2.27</v>
      </c>
      <c r="N49" s="58">
        <f t="shared" si="19"/>
        <v>2477.8362514</v>
      </c>
      <c r="O49" s="58">
        <f>'Price comparison poultry'!H24</f>
        <v>5962.1626502309009</v>
      </c>
      <c r="P49" s="35"/>
      <c r="Q49" s="35"/>
      <c r="S49" s="127">
        <f t="shared" si="20"/>
        <v>14.773262751485225</v>
      </c>
      <c r="T49" s="125">
        <f>'[6]2013'!$G$1252</f>
        <v>379.8656172263747</v>
      </c>
      <c r="U49" s="123"/>
      <c r="V49" s="123"/>
      <c r="W49" s="124"/>
      <c r="X49" s="124">
        <f t="shared" si="22"/>
        <v>3.8890760525665953</v>
      </c>
      <c r="Y49" s="113"/>
      <c r="AA49" s="73">
        <f t="shared" si="1"/>
        <v>107.23618836792356</v>
      </c>
      <c r="AB49" s="58">
        <f t="shared" si="10"/>
        <v>-468755</v>
      </c>
      <c r="AC49" s="58">
        <f t="shared" si="11"/>
        <v>752</v>
      </c>
      <c r="AD49" s="90"/>
    </row>
    <row r="50" spans="1:30" ht="14.1" customHeight="1" x14ac:dyDescent="0.2">
      <c r="A50" s="32" t="s">
        <v>573</v>
      </c>
      <c r="B50" s="33" t="s">
        <v>574</v>
      </c>
      <c r="C50" s="75">
        <v>88712</v>
      </c>
      <c r="D50" s="34">
        <v>10.4</v>
      </c>
      <c r="E50" s="75">
        <v>729</v>
      </c>
      <c r="F50" s="75">
        <v>28285</v>
      </c>
      <c r="G50" s="34">
        <v>3.7</v>
      </c>
      <c r="H50" s="34">
        <v>69</v>
      </c>
      <c r="I50" s="36">
        <f>(E50/D50)*1000</f>
        <v>70096.153846153844</v>
      </c>
      <c r="J50" s="36">
        <f>(H50/G50)*1000</f>
        <v>18648.64864864865</v>
      </c>
      <c r="K50" s="109">
        <v>0.96499999999999997</v>
      </c>
      <c r="L50" s="104">
        <f>F50*0.965</f>
        <v>27295.024999999998</v>
      </c>
      <c r="M50" s="79">
        <v>4.8</v>
      </c>
      <c r="N50" s="58">
        <f t="shared" si="19"/>
        <v>131.01611999999997</v>
      </c>
      <c r="O50" s="58">
        <f>'Price comparison poultry'!H23</f>
        <v>5161.6470889186385</v>
      </c>
      <c r="P50" s="35"/>
      <c r="Q50" s="35"/>
      <c r="S50" s="127">
        <f t="shared" si="20"/>
        <v>0.67625897439941485</v>
      </c>
      <c r="T50" s="125">
        <f>'[6]2013'!$G$1215</f>
        <v>32.605790788867125</v>
      </c>
      <c r="U50" s="123"/>
      <c r="V50" s="123"/>
      <c r="W50" s="124"/>
      <c r="X50" s="124">
        <f t="shared" si="22"/>
        <v>2.074045615941067</v>
      </c>
      <c r="Y50" s="113"/>
      <c r="AA50" s="73">
        <f t="shared" si="1"/>
        <v>130.81138412586176</v>
      </c>
      <c r="AB50" s="58">
        <f t="shared" si="10"/>
        <v>60427</v>
      </c>
      <c r="AC50" s="58">
        <f t="shared" si="11"/>
        <v>660</v>
      </c>
      <c r="AD50" s="90"/>
    </row>
    <row r="51" spans="1:30" ht="14.1" customHeight="1" x14ac:dyDescent="0.2">
      <c r="A51" s="161" t="s">
        <v>575</v>
      </c>
      <c r="B51" s="162" t="s">
        <v>576</v>
      </c>
      <c r="C51" s="163"/>
      <c r="D51" s="164"/>
      <c r="E51" s="163"/>
      <c r="F51" s="163">
        <v>27503</v>
      </c>
      <c r="G51" s="164">
        <v>1.1000000000000001</v>
      </c>
      <c r="H51" s="164">
        <v>18</v>
      </c>
      <c r="I51" s="165">
        <v>0</v>
      </c>
      <c r="J51" s="166">
        <f>(H51/G51)*1000</f>
        <v>16363.636363636364</v>
      </c>
      <c r="K51" s="109">
        <v>0.96499999999999997</v>
      </c>
      <c r="L51" s="104">
        <f>F51*0.965</f>
        <v>26540.395</v>
      </c>
      <c r="M51" s="79">
        <v>1.77</v>
      </c>
      <c r="N51" s="58">
        <f t="shared" si="19"/>
        <v>46.976499150000002</v>
      </c>
      <c r="P51" s="35"/>
      <c r="Q51" s="35"/>
      <c r="S51" s="127"/>
      <c r="T51" s="125"/>
      <c r="U51" s="123"/>
      <c r="V51" s="123"/>
      <c r="W51" s="124"/>
      <c r="X51" s="124"/>
      <c r="Y51" s="113"/>
      <c r="AA51" s="73">
        <f t="shared" si="1"/>
        <v>39.995636839617497</v>
      </c>
      <c r="AB51" s="58">
        <f t="shared" si="10"/>
        <v>-27503</v>
      </c>
      <c r="AC51" s="58">
        <f t="shared" si="11"/>
        <v>-18</v>
      </c>
      <c r="AD51" s="90"/>
    </row>
    <row r="52" spans="1:30" ht="14.1" customHeight="1" x14ac:dyDescent="0.2">
      <c r="A52" s="32"/>
      <c r="B52" s="59" t="s">
        <v>817</v>
      </c>
      <c r="C52" s="60">
        <f>SUM(C44:C51)</f>
        <v>85864407</v>
      </c>
      <c r="D52" s="60">
        <f t="shared" ref="D52:H52" si="23">SUM(D44:D51)</f>
        <v>4261.8999999999996</v>
      </c>
      <c r="E52" s="60">
        <f t="shared" si="23"/>
        <v>131663</v>
      </c>
      <c r="F52" s="60">
        <f t="shared" si="23"/>
        <v>151127721</v>
      </c>
      <c r="G52" s="60">
        <f t="shared" si="23"/>
        <v>6674.3000000000011</v>
      </c>
      <c r="H52" s="60">
        <f t="shared" si="23"/>
        <v>81871</v>
      </c>
      <c r="I52" s="61">
        <f>(E52/D52)*1000</f>
        <v>30893.028930758584</v>
      </c>
      <c r="J52" s="61">
        <f>(H52/G52)*1000</f>
        <v>12266.604737575473</v>
      </c>
      <c r="K52" s="108"/>
      <c r="L52" s="103"/>
      <c r="M52" s="79">
        <v>2.08</v>
      </c>
      <c r="N52" s="79"/>
      <c r="P52" s="35"/>
      <c r="Q52" s="35"/>
      <c r="S52" s="127">
        <f t="shared" ref="S52" si="24">SUM(S44:S51)</f>
        <v>958.46204831432476</v>
      </c>
      <c r="T52" s="125">
        <f>'[6]2013'!$G$1275</f>
        <v>2975.9660162917007</v>
      </c>
      <c r="U52" s="123"/>
      <c r="V52" s="123"/>
      <c r="W52" s="124"/>
      <c r="X52" s="173">
        <f t="shared" ref="X52" si="25">(((S45+S47+S48+S49+S50+((Q44*R44/1000000)+(Q46*R46/1000000))))/T52)*100</f>
        <v>29.65148485153254</v>
      </c>
      <c r="Y52" s="174" t="s">
        <v>585</v>
      </c>
      <c r="AA52" s="73">
        <f t="shared" si="1"/>
        <v>44.16330740539653</v>
      </c>
      <c r="AB52" s="58">
        <f t="shared" si="10"/>
        <v>-65263314</v>
      </c>
      <c r="AC52" s="58">
        <f t="shared" si="11"/>
        <v>49792</v>
      </c>
      <c r="AD52" s="90"/>
    </row>
    <row r="53" spans="1:30" x14ac:dyDescent="0.2">
      <c r="A53" s="32"/>
      <c r="B53" s="38"/>
      <c r="C53" s="75"/>
      <c r="D53" s="34"/>
      <c r="E53" s="75"/>
      <c r="F53" s="75"/>
      <c r="G53" s="34"/>
      <c r="H53" s="34"/>
      <c r="I53" s="36"/>
      <c r="J53" s="36"/>
      <c r="K53" s="106"/>
      <c r="L53" s="103"/>
      <c r="M53" s="79"/>
      <c r="N53" s="79"/>
      <c r="P53" s="35"/>
      <c r="Q53" s="35"/>
      <c r="S53" s="127"/>
      <c r="T53" s="126"/>
      <c r="U53" s="121"/>
      <c r="V53" s="121"/>
      <c r="W53" s="122"/>
      <c r="X53" s="122"/>
      <c r="Y53" s="113"/>
      <c r="AA53" s="73" t="e">
        <f t="shared" si="1"/>
        <v>#DIV/0!</v>
      </c>
      <c r="AB53" s="58">
        <f>F53-C53</f>
        <v>0</v>
      </c>
      <c r="AC53" s="58">
        <f>H53-E53</f>
        <v>0</v>
      </c>
      <c r="AD53" s="90"/>
    </row>
    <row r="54" spans="1:30" ht="33.75" customHeight="1" x14ac:dyDescent="0.2">
      <c r="A54" s="175" t="s">
        <v>586</v>
      </c>
      <c r="B54" s="176"/>
      <c r="C54" s="177"/>
      <c r="D54" s="176"/>
      <c r="E54" s="176"/>
      <c r="F54" s="177"/>
      <c r="G54" s="176"/>
      <c r="H54" s="176"/>
      <c r="K54" s="106"/>
      <c r="L54" s="103"/>
      <c r="M54" s="79"/>
      <c r="N54" s="79"/>
      <c r="P54" s="35"/>
      <c r="S54" s="127"/>
      <c r="T54" s="126" t="s">
        <v>587</v>
      </c>
      <c r="U54" s="121" t="s">
        <v>588</v>
      </c>
      <c r="V54" s="121" t="s">
        <v>589</v>
      </c>
      <c r="W54" s="122" t="s">
        <v>590</v>
      </c>
      <c r="X54" s="122" t="s">
        <v>591</v>
      </c>
      <c r="Y54" s="118"/>
      <c r="AA54" s="73" t="e">
        <f t="shared" si="1"/>
        <v>#DIV/0!</v>
      </c>
      <c r="AD54" s="130"/>
    </row>
    <row r="55" spans="1:30" ht="14.1" customHeight="1" x14ac:dyDescent="0.2">
      <c r="A55" s="32" t="s">
        <v>564</v>
      </c>
      <c r="B55" s="33" t="s">
        <v>669</v>
      </c>
      <c r="C55" s="75">
        <v>5204640</v>
      </c>
      <c r="D55" s="34">
        <v>207.9</v>
      </c>
      <c r="E55" s="75">
        <v>27937</v>
      </c>
      <c r="F55" s="75"/>
      <c r="G55" s="34"/>
      <c r="H55" s="34"/>
      <c r="K55" s="106">
        <v>103</v>
      </c>
      <c r="L55" s="128">
        <f>F55*103</f>
        <v>0</v>
      </c>
      <c r="M55" s="131">
        <v>287</v>
      </c>
      <c r="N55" s="132">
        <f t="shared" ref="N55" si="26">(L55*M55)*0.000062</f>
        <v>0</v>
      </c>
      <c r="O55" s="132">
        <f>'Price comparison poultry'!I26</f>
        <v>1121.4870689655174</v>
      </c>
      <c r="P55" s="35">
        <v>1.27</v>
      </c>
      <c r="Q55" s="58">
        <f t="shared" ref="Q55" si="27">(L55*P55)/1000</f>
        <v>0</v>
      </c>
      <c r="R55" s="58">
        <f>'Price comparison poultry'!I21</f>
        <v>303</v>
      </c>
      <c r="S55" s="127">
        <f t="shared" ref="S55" si="28">((N55*O55)+(Q55*R55))/1000000</f>
        <v>0</v>
      </c>
      <c r="T55" s="125">
        <f>'[6]2014'!$G$1103</f>
        <v>20.427201161594549</v>
      </c>
      <c r="U55" s="155">
        <f>'[6]2014'!$G$1420</f>
        <v>1356.7432733553221</v>
      </c>
      <c r="V55" s="123">
        <f>T55+U55</f>
        <v>1377.1704745169166</v>
      </c>
      <c r="W55" s="168">
        <f t="shared" ref="W55" si="29">(((N55*O55)+(N57*O57))/(U55*1000000))*100</f>
        <v>1.3002478930259338</v>
      </c>
      <c r="X55" s="124">
        <f t="shared" ref="X55" si="30">(((Q55*R55)+(Q57*R57)+(N56*O56)+(N58*O58))/((T56*1000000)+(T55*1000000))*100)</f>
        <v>56.412605201918765</v>
      </c>
      <c r="Y55" s="113" t="s">
        <v>592</v>
      </c>
      <c r="AA55" s="73" t="e">
        <f t="shared" si="1"/>
        <v>#DIV/0!</v>
      </c>
      <c r="AB55" s="58">
        <f t="shared" ref="AB55:AB63" si="31">C55-F55</f>
        <v>5204640</v>
      </c>
      <c r="AC55" s="58">
        <f t="shared" ref="AC55:AC63" si="32">E55-H55</f>
        <v>27937</v>
      </c>
      <c r="AD55" s="133">
        <f t="shared" ref="AD55" si="33">(S55/V55)*100</f>
        <v>0</v>
      </c>
    </row>
    <row r="56" spans="1:30" ht="14.1" customHeight="1" x14ac:dyDescent="0.2">
      <c r="A56" s="32" t="s">
        <v>566</v>
      </c>
      <c r="B56" s="33" t="s">
        <v>763</v>
      </c>
      <c r="C56" s="75">
        <v>20954218</v>
      </c>
      <c r="D56" s="34">
        <v>1008.4</v>
      </c>
      <c r="E56" s="75">
        <v>58294</v>
      </c>
      <c r="F56" s="75">
        <v>3944682</v>
      </c>
      <c r="G56" s="34">
        <v>197.5</v>
      </c>
      <c r="H56" s="34">
        <v>27052</v>
      </c>
      <c r="K56" s="106">
        <v>125</v>
      </c>
      <c r="L56" s="104">
        <f>F56*125</f>
        <v>493085250</v>
      </c>
      <c r="M56" s="79">
        <v>1.53</v>
      </c>
      <c r="N56" s="58">
        <f>(L56*M56)/1000</f>
        <v>754420.4325</v>
      </c>
      <c r="O56" s="58">
        <f>'Price comparison poultry'!I20</f>
        <v>913</v>
      </c>
      <c r="P56" s="35"/>
      <c r="Q56" s="58"/>
      <c r="S56" s="127">
        <f t="shared" ref="S56" si="34">(N56*O56)/1000000</f>
        <v>688.78585487249995</v>
      </c>
      <c r="T56" s="125">
        <f>'[6]2014'!$G$1131</f>
        <v>1605.1741432234771</v>
      </c>
      <c r="U56" s="123"/>
      <c r="V56" s="123"/>
      <c r="W56" s="124"/>
      <c r="X56" s="124"/>
      <c r="Y56" s="113"/>
      <c r="AA56" s="73">
        <f t="shared" si="1"/>
        <v>50.067407207982797</v>
      </c>
      <c r="AB56" s="58">
        <f t="shared" si="31"/>
        <v>17009536</v>
      </c>
      <c r="AC56" s="58">
        <f t="shared" si="32"/>
        <v>31242</v>
      </c>
      <c r="AD56" s="133">
        <f t="shared" ref="AD56" si="35">(S56/T56)*100</f>
        <v>42.910350741714204</v>
      </c>
    </row>
    <row r="57" spans="1:30" ht="14.1" customHeight="1" x14ac:dyDescent="0.2">
      <c r="A57" s="32" t="s">
        <v>567</v>
      </c>
      <c r="B57" s="33" t="s">
        <v>765</v>
      </c>
      <c r="C57" s="75">
        <v>8941994</v>
      </c>
      <c r="D57" s="34">
        <v>359.9</v>
      </c>
      <c r="E57" s="75">
        <v>7566</v>
      </c>
      <c r="F57" s="75">
        <v>911348</v>
      </c>
      <c r="G57" s="34">
        <v>42.8</v>
      </c>
      <c r="H57" s="34">
        <v>517</v>
      </c>
      <c r="K57" s="109">
        <v>0.96499999999999997</v>
      </c>
      <c r="L57" s="104">
        <f>F57*0.97</f>
        <v>884007.55999999994</v>
      </c>
      <c r="M57" s="131">
        <v>287</v>
      </c>
      <c r="N57" s="132">
        <f t="shared" ref="N57" si="36">(L57*M57)*0.000062</f>
        <v>15730.03052264</v>
      </c>
      <c r="O57" s="132">
        <f>'Price comparison poultry'!I26</f>
        <v>1121.4870689655174</v>
      </c>
      <c r="P57" s="35">
        <v>1.27</v>
      </c>
      <c r="Q57" s="58">
        <f t="shared" ref="Q57" si="37">(L57*P57)/1000</f>
        <v>1122.6896012</v>
      </c>
      <c r="R57" s="58">
        <f>'Price comparison poultry'!I21</f>
        <v>303</v>
      </c>
      <c r="S57" s="127">
        <f t="shared" ref="S57" si="38">((N57*O57)+(Q57*R57))/1000000</f>
        <v>17.98120077473726</v>
      </c>
      <c r="T57" s="125"/>
      <c r="U57" s="123"/>
      <c r="V57" s="123"/>
      <c r="W57" s="124"/>
      <c r="X57" s="124"/>
      <c r="Y57" s="113"/>
      <c r="AA57" s="73">
        <f t="shared" si="1"/>
        <v>46.963399272286765</v>
      </c>
      <c r="AB57" s="58">
        <f t="shared" si="31"/>
        <v>8030646</v>
      </c>
      <c r="AC57" s="58">
        <f t="shared" si="32"/>
        <v>7049</v>
      </c>
      <c r="AD57" s="133">
        <f t="shared" ref="AD57" si="39">(S57/V55)*100</f>
        <v>1.3056626690348339</v>
      </c>
    </row>
    <row r="58" spans="1:30" ht="14.1" customHeight="1" x14ac:dyDescent="0.2">
      <c r="A58" s="32" t="s">
        <v>568</v>
      </c>
      <c r="B58" s="33" t="s">
        <v>767</v>
      </c>
      <c r="C58" s="75">
        <v>32433269</v>
      </c>
      <c r="D58" s="34">
        <v>1517.1</v>
      </c>
      <c r="E58" s="75">
        <v>8954</v>
      </c>
      <c r="F58" s="75">
        <v>169078808</v>
      </c>
      <c r="G58" s="34">
        <v>7219.5</v>
      </c>
      <c r="H58" s="34">
        <v>57119</v>
      </c>
      <c r="I58" s="61">
        <f>(E55+E56+E57+E58)/(D55+D56+D57+D58)*1000</f>
        <v>33217.276048233281</v>
      </c>
      <c r="J58" s="61">
        <f>(H55+H56+H57+H58)/(G55+G56+G57+G58)*1000</f>
        <v>11352.583179173704</v>
      </c>
      <c r="K58" s="109">
        <v>0.96499999999999997</v>
      </c>
      <c r="L58" s="104">
        <f>F58*0.965</f>
        <v>163161049.72</v>
      </c>
      <c r="M58" s="79">
        <v>1.53</v>
      </c>
      <c r="N58" s="58">
        <f t="shared" ref="N58:N62" si="40">(L58*M58)/1000</f>
        <v>249636.40607159998</v>
      </c>
      <c r="O58" s="58">
        <f>'Price comparison poultry'!I20</f>
        <v>913</v>
      </c>
      <c r="P58" s="35"/>
      <c r="Q58" s="35"/>
      <c r="S58" s="127">
        <f t="shared" ref="S58:S61" si="41">(N58*O58)/1000000</f>
        <v>227.91803874337077</v>
      </c>
      <c r="T58" s="125"/>
      <c r="U58" s="123"/>
      <c r="V58" s="123"/>
      <c r="W58" s="124"/>
      <c r="X58" s="124"/>
      <c r="Y58" s="113"/>
      <c r="AA58" s="73">
        <f t="shared" si="1"/>
        <v>42.699023522806002</v>
      </c>
      <c r="AB58" s="58">
        <f t="shared" si="31"/>
        <v>-136645539</v>
      </c>
      <c r="AC58" s="58">
        <f t="shared" si="32"/>
        <v>-48165</v>
      </c>
      <c r="AD58" s="133">
        <f t="shared" ref="AD58" si="42">S58/T56*100</f>
        <v>14.198960262695891</v>
      </c>
    </row>
    <row r="59" spans="1:30" ht="14.1" customHeight="1" x14ac:dyDescent="0.2">
      <c r="A59" s="32" t="s">
        <v>569</v>
      </c>
      <c r="B59" s="33" t="s">
        <v>570</v>
      </c>
      <c r="C59" s="75">
        <v>15753378</v>
      </c>
      <c r="D59" s="34">
        <v>1118.7</v>
      </c>
      <c r="E59" s="75">
        <v>28493</v>
      </c>
      <c r="F59" s="75">
        <v>483165</v>
      </c>
      <c r="G59" s="34">
        <v>27.3</v>
      </c>
      <c r="H59" s="34">
        <v>4782</v>
      </c>
      <c r="I59" s="36">
        <f>(E59/D59)*1000</f>
        <v>25469.741664431927</v>
      </c>
      <c r="J59" s="36">
        <f>(H59/G59)*1000</f>
        <v>175164.83516483515</v>
      </c>
      <c r="K59" s="109">
        <v>0.96499999999999997</v>
      </c>
      <c r="L59" s="104">
        <f>F59*0.965</f>
        <v>466254.22499999998</v>
      </c>
      <c r="M59" s="79">
        <v>12.49</v>
      </c>
      <c r="N59" s="58">
        <f t="shared" si="40"/>
        <v>5823.51527025</v>
      </c>
      <c r="O59" s="58">
        <f>'Price comparison poultry'!I22</f>
        <v>1395</v>
      </c>
      <c r="P59" s="35"/>
      <c r="Q59" s="35"/>
      <c r="S59" s="127">
        <f t="shared" si="41"/>
        <v>8.1238038019987506</v>
      </c>
      <c r="T59" s="125">
        <f>'[6]2014'!$G$1187</f>
        <v>900.21285464263144</v>
      </c>
      <c r="U59" s="123"/>
      <c r="V59" s="123"/>
      <c r="W59" s="124"/>
      <c r="X59" s="124">
        <f t="shared" ref="X59:X61" si="43">(S59/T59)*100</f>
        <v>0.90243143719867858</v>
      </c>
      <c r="Y59" s="113"/>
      <c r="AA59" s="73">
        <f t="shared" si="1"/>
        <v>56.502437055664217</v>
      </c>
      <c r="AB59" s="58">
        <f t="shared" si="31"/>
        <v>15270213</v>
      </c>
      <c r="AC59" s="58">
        <f t="shared" si="32"/>
        <v>23711</v>
      </c>
      <c r="AD59" s="90"/>
    </row>
    <row r="60" spans="1:30" ht="14.1" customHeight="1" x14ac:dyDescent="0.2">
      <c r="A60" s="32" t="s">
        <v>571</v>
      </c>
      <c r="B60" s="33" t="s">
        <v>572</v>
      </c>
      <c r="C60" s="75">
        <v>1061125</v>
      </c>
      <c r="D60" s="34">
        <v>63.9</v>
      </c>
      <c r="E60" s="75">
        <v>2830</v>
      </c>
      <c r="F60" s="75">
        <v>336436</v>
      </c>
      <c r="G60" s="34">
        <v>20</v>
      </c>
      <c r="H60" s="34">
        <v>341</v>
      </c>
      <c r="I60" s="36">
        <f>(E60/D60)*1000</f>
        <v>44287.949921752741</v>
      </c>
      <c r="J60" s="36">
        <f>(H60/G60)*1000</f>
        <v>17050</v>
      </c>
      <c r="K60" s="109">
        <v>0.96499999999999997</v>
      </c>
      <c r="L60" s="104">
        <f>F60*0.965</f>
        <v>324660.74</v>
      </c>
      <c r="M60" s="79">
        <v>2.27</v>
      </c>
      <c r="N60" s="58">
        <f t="shared" si="40"/>
        <v>736.97987980000005</v>
      </c>
      <c r="O60" s="58">
        <f>'Price comparison poultry'!I24</f>
        <v>5962.1626502309009</v>
      </c>
      <c r="P60" s="35"/>
      <c r="Q60" s="35"/>
      <c r="S60" s="127">
        <f t="shared" si="41"/>
        <v>4.393993913315219</v>
      </c>
      <c r="T60" s="125">
        <f>'[6]2014'!$G$1252</f>
        <v>392.24684483610463</v>
      </c>
      <c r="U60" s="123"/>
      <c r="V60" s="123"/>
      <c r="W60" s="124"/>
      <c r="X60" s="124">
        <f t="shared" si="43"/>
        <v>1.1202114105344032</v>
      </c>
      <c r="Y60" s="113"/>
      <c r="AA60" s="73">
        <f t="shared" si="1"/>
        <v>59.446670391991347</v>
      </c>
      <c r="AB60" s="58">
        <f t="shared" si="31"/>
        <v>724689</v>
      </c>
      <c r="AC60" s="58">
        <f t="shared" si="32"/>
        <v>2489</v>
      </c>
      <c r="AD60" s="90"/>
    </row>
    <row r="61" spans="1:30" ht="14.1" customHeight="1" x14ac:dyDescent="0.2">
      <c r="A61" s="32" t="s">
        <v>573</v>
      </c>
      <c r="B61" s="33" t="s">
        <v>574</v>
      </c>
      <c r="C61" s="75">
        <v>69891</v>
      </c>
      <c r="D61" s="34">
        <v>8.3000000000000007</v>
      </c>
      <c r="E61" s="75">
        <v>414</v>
      </c>
      <c r="F61" s="75">
        <v>7708</v>
      </c>
      <c r="G61" s="34">
        <v>1</v>
      </c>
      <c r="H61" s="34">
        <v>19</v>
      </c>
      <c r="I61" s="36">
        <f>(E61/D61)*1000</f>
        <v>49879.518072289153</v>
      </c>
      <c r="J61" s="36">
        <f>(H61/G61)*1000</f>
        <v>19000</v>
      </c>
      <c r="K61" s="109">
        <v>0.96499999999999997</v>
      </c>
      <c r="L61" s="104">
        <f>F61*0.965</f>
        <v>7438.2199999999993</v>
      </c>
      <c r="M61" s="79">
        <v>4.8</v>
      </c>
      <c r="N61" s="58">
        <f t="shared" si="40"/>
        <v>35.703455999999996</v>
      </c>
      <c r="O61" s="58">
        <f>'Price comparison poultry'!I23</f>
        <v>5239.9555760940029</v>
      </c>
      <c r="P61" s="35"/>
      <c r="Q61" s="35"/>
      <c r="S61" s="127">
        <f t="shared" si="41"/>
        <v>0.18708452335302686</v>
      </c>
      <c r="T61" s="125">
        <f>'[6]2014'!$G$1215</f>
        <v>34.274902927337678</v>
      </c>
      <c r="U61" s="123"/>
      <c r="V61" s="123"/>
      <c r="W61" s="124"/>
      <c r="X61" s="124">
        <f t="shared" si="43"/>
        <v>0.5458353120638838</v>
      </c>
      <c r="Y61" s="113"/>
      <c r="AA61" s="73">
        <f t="shared" si="1"/>
        <v>129.73533990659055</v>
      </c>
      <c r="AB61" s="58">
        <f t="shared" si="31"/>
        <v>62183</v>
      </c>
      <c r="AC61" s="58">
        <f t="shared" si="32"/>
        <v>395</v>
      </c>
      <c r="AD61" s="90"/>
    </row>
    <row r="62" spans="1:30" ht="14.1" customHeight="1" x14ac:dyDescent="0.2">
      <c r="A62" s="161" t="s">
        <v>575</v>
      </c>
      <c r="B62" s="162" t="s">
        <v>576</v>
      </c>
      <c r="C62" s="163"/>
      <c r="D62" s="164"/>
      <c r="E62" s="163"/>
      <c r="F62" s="163">
        <v>30440</v>
      </c>
      <c r="G62" s="164">
        <v>1.2</v>
      </c>
      <c r="H62" s="164">
        <v>20</v>
      </c>
      <c r="I62" s="165">
        <v>0</v>
      </c>
      <c r="J62" s="166">
        <f>(H62/G62)*1000</f>
        <v>16666.666666666668</v>
      </c>
      <c r="K62" s="109">
        <v>0.96499999999999997</v>
      </c>
      <c r="L62" s="104">
        <f>F62*0.965</f>
        <v>29374.6</v>
      </c>
      <c r="M62" s="79">
        <v>1.77</v>
      </c>
      <c r="N62" s="58">
        <f t="shared" si="40"/>
        <v>51.993042000000003</v>
      </c>
      <c r="P62" s="35"/>
      <c r="Q62" s="35"/>
      <c r="S62" s="127"/>
      <c r="T62" s="125"/>
      <c r="U62" s="123"/>
      <c r="V62" s="123"/>
      <c r="W62" s="124"/>
      <c r="X62" s="124"/>
      <c r="Y62" s="113"/>
      <c r="AA62" s="73">
        <f t="shared" si="1"/>
        <v>39.421813403416557</v>
      </c>
      <c r="AB62" s="58">
        <f t="shared" si="31"/>
        <v>-30440</v>
      </c>
      <c r="AC62" s="58">
        <f t="shared" si="32"/>
        <v>-20</v>
      </c>
      <c r="AD62" s="90"/>
    </row>
    <row r="63" spans="1:30" ht="14.1" customHeight="1" x14ac:dyDescent="0.2">
      <c r="A63" s="32"/>
      <c r="B63" s="59" t="s">
        <v>817</v>
      </c>
      <c r="C63" s="60">
        <f>SUM(C55:C62)</f>
        <v>84418515</v>
      </c>
      <c r="D63" s="60">
        <f t="shared" ref="D63:H63" si="44">SUM(D55:D62)</f>
        <v>4284.2</v>
      </c>
      <c r="E63" s="60">
        <f t="shared" si="44"/>
        <v>134488</v>
      </c>
      <c r="F63" s="60">
        <f t="shared" si="44"/>
        <v>174792587</v>
      </c>
      <c r="G63" s="60">
        <f t="shared" si="44"/>
        <v>7509.3</v>
      </c>
      <c r="H63" s="60">
        <f t="shared" si="44"/>
        <v>89850</v>
      </c>
      <c r="I63" s="61">
        <f>(E63/D63)*1000</f>
        <v>31391.625040847768</v>
      </c>
      <c r="J63" s="61">
        <f>(H63/G63)*1000</f>
        <v>11965.163197634933</v>
      </c>
      <c r="K63" s="108"/>
      <c r="L63" s="103"/>
      <c r="M63" s="79">
        <v>2.11</v>
      </c>
      <c r="N63" s="79"/>
      <c r="P63" s="35"/>
      <c r="Q63" s="35"/>
      <c r="S63" s="127">
        <f t="shared" ref="S63" si="45">SUM(S55:S62)</f>
        <v>947.38997662927488</v>
      </c>
      <c r="T63" s="125">
        <f>'[6]2014'!$G$1275</f>
        <v>2952.3359467911455</v>
      </c>
      <c r="U63" s="123"/>
      <c r="V63" s="123"/>
      <c r="W63" s="124"/>
      <c r="X63" s="173">
        <f t="shared" ref="X63" si="46">(((S56+S58+S59+S60+S61+((Q55*R55/1000000)+(Q57*R57/1000000))))/T63)*100</f>
        <v>31.491976779073294</v>
      </c>
      <c r="Y63" s="174" t="s">
        <v>593</v>
      </c>
      <c r="AA63" s="73">
        <f t="shared" si="1"/>
        <v>42.961204069827055</v>
      </c>
      <c r="AB63" s="58">
        <f t="shared" si="31"/>
        <v>-90374072</v>
      </c>
      <c r="AC63" s="58">
        <f t="shared" si="32"/>
        <v>44638</v>
      </c>
      <c r="AD63" s="90"/>
    </row>
    <row r="64" spans="1:30" x14ac:dyDescent="0.2">
      <c r="A64" s="32"/>
      <c r="B64" s="38"/>
      <c r="C64" s="75"/>
      <c r="D64" s="34"/>
      <c r="E64" s="75"/>
      <c r="F64" s="75"/>
      <c r="G64" s="34"/>
      <c r="H64" s="34"/>
      <c r="I64" s="36"/>
      <c r="J64" s="36"/>
      <c r="K64" s="107"/>
      <c r="L64" s="103"/>
      <c r="M64" s="79"/>
      <c r="N64" s="79"/>
      <c r="P64" s="35"/>
      <c r="Q64" s="35"/>
      <c r="S64" s="127"/>
      <c r="T64" s="126"/>
      <c r="U64" s="121"/>
      <c r="V64" s="121"/>
      <c r="W64" s="122"/>
      <c r="X64" s="122"/>
      <c r="Y64" s="113"/>
      <c r="AA64" s="73" t="e">
        <f t="shared" si="1"/>
        <v>#DIV/0!</v>
      </c>
      <c r="AB64" s="58">
        <f>F64-C64</f>
        <v>0</v>
      </c>
      <c r="AC64" s="58">
        <f>H64-E64</f>
        <v>0</v>
      </c>
      <c r="AD64" s="90"/>
    </row>
    <row r="65" spans="1:30" ht="33.75" customHeight="1" x14ac:dyDescent="0.2">
      <c r="A65" s="175" t="s">
        <v>594</v>
      </c>
      <c r="B65" s="176"/>
      <c r="C65" s="177"/>
      <c r="D65" s="176"/>
      <c r="E65" s="176"/>
      <c r="F65" s="177"/>
      <c r="G65" s="176"/>
      <c r="H65" s="176"/>
      <c r="K65" s="106"/>
      <c r="L65" s="103"/>
      <c r="M65" s="79"/>
      <c r="N65" s="79"/>
      <c r="P65" s="35"/>
      <c r="S65" s="127"/>
      <c r="T65" s="126" t="s">
        <v>595</v>
      </c>
      <c r="U65" s="121" t="s">
        <v>596</v>
      </c>
      <c r="V65" s="121" t="s">
        <v>597</v>
      </c>
      <c r="W65" s="122" t="s">
        <v>598</v>
      </c>
      <c r="X65" s="122" t="s">
        <v>599</v>
      </c>
      <c r="Y65" s="118"/>
      <c r="AA65" s="73" t="e">
        <f t="shared" ref="AA65:AA96" si="47">(G65*1000000)/F65</f>
        <v>#DIV/0!</v>
      </c>
      <c r="AD65" s="130"/>
    </row>
    <row r="66" spans="1:30" ht="14.1" customHeight="1" x14ac:dyDescent="0.2">
      <c r="A66" s="32" t="s">
        <v>564</v>
      </c>
      <c r="B66" s="33" t="s">
        <v>669</v>
      </c>
      <c r="C66" s="75">
        <v>3660519</v>
      </c>
      <c r="D66" s="34">
        <v>143.30000000000001</v>
      </c>
      <c r="E66" s="75">
        <v>20953</v>
      </c>
      <c r="F66" s="75">
        <v>13700</v>
      </c>
      <c r="G66" s="34">
        <v>0.5</v>
      </c>
      <c r="H66" s="34">
        <v>106</v>
      </c>
      <c r="K66" s="106">
        <v>103</v>
      </c>
      <c r="L66" s="104">
        <f>F66*103</f>
        <v>1411100</v>
      </c>
      <c r="M66" s="131">
        <v>288</v>
      </c>
      <c r="N66" s="132">
        <f t="shared" ref="N66" si="48">(L66*M66)*0.000062</f>
        <v>25196.601600000002</v>
      </c>
      <c r="O66" s="132">
        <f>'Price comparison poultry'!J26</f>
        <v>1189.4001436781609</v>
      </c>
      <c r="P66" s="35">
        <v>1.32</v>
      </c>
      <c r="Q66" s="58">
        <f t="shared" ref="Q66" si="49">(L66*P66)/1000</f>
        <v>1862.652</v>
      </c>
      <c r="R66" s="58">
        <f>'Price comparison poultry'!J21</f>
        <v>270</v>
      </c>
      <c r="S66" s="127">
        <f t="shared" ref="S66" si="50">((N66*O66)+(Q66*R66))/1000000</f>
        <v>30.471757603241379</v>
      </c>
      <c r="T66" s="125">
        <f>'[6]2015'!$G$1103</f>
        <v>18.138881218447835</v>
      </c>
      <c r="U66" s="155">
        <f>'[6]2015'!$G$1420</f>
        <v>1404.7339881252644</v>
      </c>
      <c r="V66" s="123">
        <f>T66+U66</f>
        <v>1422.8728693437122</v>
      </c>
      <c r="W66" s="168">
        <f t="shared" ref="W66" si="51">(((N66*O66)+(N68*O68))/(U66*1000000))*100</f>
        <v>3.288004788041853</v>
      </c>
      <c r="X66" s="124">
        <f t="shared" ref="X66" si="52">(((Q66*R66)+(Q68*R68)+(N67*O67)+(N69*O69))/((T67*1000000)+(T66*1000000))*100)</f>
        <v>58.272807522603621</v>
      </c>
      <c r="Y66" s="113" t="s">
        <v>600</v>
      </c>
      <c r="AA66" s="73">
        <f t="shared" si="47"/>
        <v>36.496350364963504</v>
      </c>
      <c r="AB66" s="58">
        <f t="shared" ref="AB66:AB74" si="53">C66-F66</f>
        <v>3646819</v>
      </c>
      <c r="AC66" s="58">
        <f t="shared" ref="AC66:AC74" si="54">E66-H66</f>
        <v>20847</v>
      </c>
      <c r="AD66" s="133">
        <f t="shared" ref="AD66" si="55">(S66/V66)*100</f>
        <v>2.1415657195920965</v>
      </c>
    </row>
    <row r="67" spans="1:30" ht="14.1" customHeight="1" x14ac:dyDescent="0.2">
      <c r="A67" s="32" t="s">
        <v>566</v>
      </c>
      <c r="B67" s="33" t="s">
        <v>763</v>
      </c>
      <c r="C67" s="75">
        <v>23575118</v>
      </c>
      <c r="D67" s="34">
        <v>1128</v>
      </c>
      <c r="E67" s="75">
        <v>67187</v>
      </c>
      <c r="F67" s="75">
        <v>4263705</v>
      </c>
      <c r="G67" s="34">
        <v>220.5</v>
      </c>
      <c r="H67" s="34">
        <v>33656</v>
      </c>
      <c r="K67" s="106">
        <v>125</v>
      </c>
      <c r="L67" s="104">
        <f>F67*125</f>
        <v>532963125</v>
      </c>
      <c r="M67" s="79">
        <v>1.55</v>
      </c>
      <c r="N67" s="58">
        <f>(L67*M67)/1000</f>
        <v>826092.84375</v>
      </c>
      <c r="O67" s="58">
        <f>'Price comparison poultry'!J20</f>
        <v>885</v>
      </c>
      <c r="P67" s="35"/>
      <c r="Q67" s="58"/>
      <c r="S67" s="127">
        <f t="shared" ref="S67" si="56">(N67*O67)/1000000</f>
        <v>731.09216671875004</v>
      </c>
      <c r="T67" s="125">
        <f>'[6]2015'!$G$1131</f>
        <v>1591.4072089237616</v>
      </c>
      <c r="U67" s="123"/>
      <c r="V67" s="123"/>
      <c r="W67" s="124"/>
      <c r="X67" s="124"/>
      <c r="Y67" s="113"/>
      <c r="AA67" s="73">
        <f t="shared" si="47"/>
        <v>51.715585388763998</v>
      </c>
      <c r="AB67" s="58">
        <f t="shared" si="53"/>
        <v>19311413</v>
      </c>
      <c r="AC67" s="58">
        <f t="shared" si="54"/>
        <v>33531</v>
      </c>
      <c r="AD67" s="133">
        <f t="shared" ref="AD67" si="57">(S67/T67)*100</f>
        <v>45.939980830750024</v>
      </c>
    </row>
    <row r="68" spans="1:30" ht="14.1" customHeight="1" x14ac:dyDescent="0.2">
      <c r="A68" s="32" t="s">
        <v>567</v>
      </c>
      <c r="B68" s="33" t="s">
        <v>765</v>
      </c>
      <c r="C68" s="75">
        <v>11563094</v>
      </c>
      <c r="D68" s="34">
        <v>462.5</v>
      </c>
      <c r="E68" s="75">
        <v>8098</v>
      </c>
      <c r="F68" s="75">
        <v>787294</v>
      </c>
      <c r="G68" s="34">
        <v>33.9</v>
      </c>
      <c r="H68" s="34">
        <v>547</v>
      </c>
      <c r="K68" s="109">
        <v>0.96499999999999997</v>
      </c>
      <c r="L68" s="104">
        <f>F68*0.97</f>
        <v>763675.17999999993</v>
      </c>
      <c r="M68" s="131">
        <v>288</v>
      </c>
      <c r="N68" s="132">
        <f t="shared" ref="N68" si="58">(L68*M68)*0.000062</f>
        <v>13636.18401408</v>
      </c>
      <c r="O68" s="132">
        <f>'Price comparison poultry'!J26</f>
        <v>1189.4001436781609</v>
      </c>
      <c r="P68" s="35">
        <v>1.32</v>
      </c>
      <c r="Q68" s="58">
        <f t="shared" ref="Q68" si="59">(L68*P68)/1000</f>
        <v>1008.0512376</v>
      </c>
      <c r="R68" s="58">
        <f>'Price comparison poultry'!J21</f>
        <v>270</v>
      </c>
      <c r="S68" s="127">
        <f t="shared" ref="S68" si="60">((N68*O68)+(Q68*R68))/1000000</f>
        <v>16.491053059720592</v>
      </c>
      <c r="T68" s="125"/>
      <c r="U68" s="123"/>
      <c r="V68" s="123"/>
      <c r="W68" s="124"/>
      <c r="X68" s="124"/>
      <c r="Y68" s="113"/>
      <c r="AA68" s="73">
        <f t="shared" si="47"/>
        <v>43.058882704555096</v>
      </c>
      <c r="AB68" s="58">
        <f t="shared" si="53"/>
        <v>10775800</v>
      </c>
      <c r="AC68" s="58">
        <f t="shared" si="54"/>
        <v>7551</v>
      </c>
      <c r="AD68" s="133">
        <f t="shared" ref="AD68" si="61">(S68/V66)*100</f>
        <v>1.1589969430878915</v>
      </c>
    </row>
    <row r="69" spans="1:30" ht="14.1" customHeight="1" x14ac:dyDescent="0.2">
      <c r="A69" s="32" t="s">
        <v>568</v>
      </c>
      <c r="B69" s="33" t="s">
        <v>767</v>
      </c>
      <c r="C69" s="75">
        <v>33851181</v>
      </c>
      <c r="D69" s="34">
        <v>1633.1</v>
      </c>
      <c r="E69" s="75">
        <v>9303</v>
      </c>
      <c r="F69" s="75">
        <v>155665488</v>
      </c>
      <c r="G69" s="34">
        <v>6778.9</v>
      </c>
      <c r="H69" s="34">
        <v>52814</v>
      </c>
      <c r="I69" s="61">
        <f>(E66+E67+E68+E69)/(D66+D67+D68+D69)*1000</f>
        <v>31346.639341827795</v>
      </c>
      <c r="J69" s="61">
        <f>(H66+H67+H68+H69)/(G66+G67+G68+G69)*1000</f>
        <v>12386.334556001024</v>
      </c>
      <c r="K69" s="109">
        <v>0.96499999999999997</v>
      </c>
      <c r="L69" s="104">
        <f>F69*0.965</f>
        <v>150217195.91999999</v>
      </c>
      <c r="M69" s="79">
        <v>1.55</v>
      </c>
      <c r="N69" s="58">
        <f t="shared" ref="N69:N73" si="62">(L69*M69)/1000</f>
        <v>232836.65367599999</v>
      </c>
      <c r="O69" s="58">
        <f>'Price comparison poultry'!J20</f>
        <v>885</v>
      </c>
      <c r="P69" s="35"/>
      <c r="Q69" s="35"/>
      <c r="S69" s="127">
        <f t="shared" ref="S69:S72" si="63">(N69*O69)/1000000</f>
        <v>206.06043850325997</v>
      </c>
      <c r="T69" s="125"/>
      <c r="U69" s="123"/>
      <c r="V69" s="123"/>
      <c r="W69" s="124"/>
      <c r="X69" s="124"/>
      <c r="Y69" s="113"/>
      <c r="AA69" s="73">
        <f t="shared" si="47"/>
        <v>43.547867206120856</v>
      </c>
      <c r="AB69" s="58">
        <f t="shared" si="53"/>
        <v>-121814307</v>
      </c>
      <c r="AC69" s="58">
        <f t="shared" si="54"/>
        <v>-43511</v>
      </c>
      <c r="AD69" s="133">
        <f t="shared" ref="AD69" si="64">S69/T67*100</f>
        <v>12.948316266747009</v>
      </c>
    </row>
    <row r="70" spans="1:30" ht="14.1" customHeight="1" x14ac:dyDescent="0.2">
      <c r="A70" s="32" t="s">
        <v>569</v>
      </c>
      <c r="B70" s="33" t="s">
        <v>570</v>
      </c>
      <c r="C70" s="75">
        <v>17270368</v>
      </c>
      <c r="D70" s="34">
        <v>1196.2</v>
      </c>
      <c r="E70" s="75">
        <v>31147</v>
      </c>
      <c r="F70" s="75">
        <v>503828</v>
      </c>
      <c r="G70" s="34">
        <v>28.6</v>
      </c>
      <c r="H70" s="34">
        <v>5275</v>
      </c>
      <c r="I70" s="36">
        <f>(E70/D70)*1000</f>
        <v>26038.287911720447</v>
      </c>
      <c r="J70" s="36">
        <f>(H70/G70)*1000</f>
        <v>184440.55944055945</v>
      </c>
      <c r="K70" s="109">
        <v>0.96499999999999997</v>
      </c>
      <c r="L70" s="104">
        <f>F70*0.965</f>
        <v>486194.01999999996</v>
      </c>
      <c r="M70" s="79">
        <v>12.63</v>
      </c>
      <c r="N70" s="58">
        <f t="shared" si="62"/>
        <v>6140.6304725999998</v>
      </c>
      <c r="O70" s="58">
        <f>'Price comparison poultry'!J22</f>
        <v>1366.4999999999998</v>
      </c>
      <c r="P70" s="35"/>
      <c r="Q70" s="35"/>
      <c r="S70" s="127">
        <f t="shared" si="63"/>
        <v>8.3911715408078997</v>
      </c>
      <c r="T70" s="125">
        <f>'[6]2015'!$G$1187</f>
        <v>868.0364673905508</v>
      </c>
      <c r="U70" s="123"/>
      <c r="V70" s="123"/>
      <c r="W70" s="124"/>
      <c r="X70" s="124">
        <f t="shared" ref="X70:X72" si="65">(S70/T70)*100</f>
        <v>0.96668421846757591</v>
      </c>
      <c r="Y70" s="113"/>
      <c r="AA70" s="73">
        <f t="shared" si="47"/>
        <v>56.765404066467127</v>
      </c>
      <c r="AB70" s="58">
        <f t="shared" si="53"/>
        <v>16766540</v>
      </c>
      <c r="AC70" s="58">
        <f t="shared" si="54"/>
        <v>25872</v>
      </c>
      <c r="AD70" s="90"/>
    </row>
    <row r="71" spans="1:30" ht="14.1" customHeight="1" x14ac:dyDescent="0.2">
      <c r="A71" s="32" t="s">
        <v>571</v>
      </c>
      <c r="B71" s="33" t="s">
        <v>572</v>
      </c>
      <c r="C71" s="75">
        <v>843276</v>
      </c>
      <c r="D71" s="34">
        <v>51.9</v>
      </c>
      <c r="E71" s="75">
        <v>2524</v>
      </c>
      <c r="F71" s="75">
        <v>678181</v>
      </c>
      <c r="G71" s="34">
        <v>41.1</v>
      </c>
      <c r="H71" s="34">
        <v>555</v>
      </c>
      <c r="I71" s="36">
        <f>(E71/D71)*1000</f>
        <v>48631.984585741811</v>
      </c>
      <c r="J71" s="36">
        <f>(H71/G71)*1000</f>
        <v>13503.649635036496</v>
      </c>
      <c r="K71" s="109">
        <v>0.96499999999999997</v>
      </c>
      <c r="L71" s="104">
        <f>F71*0.965</f>
        <v>654444.66499999992</v>
      </c>
      <c r="M71" s="79">
        <v>2.2000000000000002</v>
      </c>
      <c r="N71" s="58">
        <f t="shared" si="62"/>
        <v>1439.7782629999999</v>
      </c>
      <c r="O71" s="58">
        <f>'Price comparison poultry'!J24</f>
        <v>6523.2732718535699</v>
      </c>
      <c r="P71" s="35"/>
      <c r="Q71" s="35"/>
      <c r="S71" s="127">
        <f t="shared" si="63"/>
        <v>9.3920670604236598</v>
      </c>
      <c r="T71" s="125">
        <f>'[6]2015'!$G$1252</f>
        <v>408.02609722512062</v>
      </c>
      <c r="U71" s="123"/>
      <c r="V71" s="123"/>
      <c r="W71" s="124"/>
      <c r="X71" s="124">
        <f t="shared" si="65"/>
        <v>2.3018299869289405</v>
      </c>
      <c r="Y71" s="113"/>
      <c r="AA71" s="73">
        <f t="shared" si="47"/>
        <v>60.603290272066012</v>
      </c>
      <c r="AB71" s="58">
        <f t="shared" si="53"/>
        <v>165095</v>
      </c>
      <c r="AC71" s="58">
        <f t="shared" si="54"/>
        <v>1969</v>
      </c>
      <c r="AD71" s="90"/>
    </row>
    <row r="72" spans="1:30" ht="14.1" customHeight="1" x14ac:dyDescent="0.2">
      <c r="A72" s="32" t="s">
        <v>573</v>
      </c>
      <c r="B72" s="33" t="s">
        <v>574</v>
      </c>
      <c r="C72" s="75">
        <v>36958</v>
      </c>
      <c r="D72" s="34">
        <v>4.4000000000000004</v>
      </c>
      <c r="E72" s="75">
        <v>168</v>
      </c>
      <c r="F72" s="75">
        <v>1000</v>
      </c>
      <c r="G72" s="34">
        <v>0.1</v>
      </c>
      <c r="H72" s="34">
        <v>3</v>
      </c>
      <c r="I72" s="36">
        <f>(E72/D72)*1000</f>
        <v>38181.818181818177</v>
      </c>
      <c r="J72" s="36">
        <f>(H72/G72)*1000</f>
        <v>30000</v>
      </c>
      <c r="K72" s="109">
        <v>0.96499999999999997</v>
      </c>
      <c r="L72" s="104">
        <f>F72*0.965</f>
        <v>965</v>
      </c>
      <c r="M72" s="79">
        <v>4.92</v>
      </c>
      <c r="N72" s="58">
        <f t="shared" si="62"/>
        <v>4.7477999999999998</v>
      </c>
      <c r="O72" s="58">
        <f>'Price comparison poultry'!J23</f>
        <v>5898.2699545316073</v>
      </c>
      <c r="P72" s="35"/>
      <c r="Q72" s="35"/>
      <c r="S72" s="127">
        <f t="shared" si="63"/>
        <v>2.8003806090125163E-2</v>
      </c>
      <c r="T72" s="125">
        <f>'[6]2015'!$G$1215</f>
        <v>38.170786716625891</v>
      </c>
      <c r="U72" s="123"/>
      <c r="V72" s="123"/>
      <c r="W72" s="124"/>
      <c r="X72" s="124">
        <f t="shared" si="65"/>
        <v>7.3364498085986954E-2</v>
      </c>
      <c r="Y72" s="113"/>
      <c r="AA72" s="73">
        <f t="shared" si="47"/>
        <v>100</v>
      </c>
      <c r="AB72" s="58">
        <f t="shared" si="53"/>
        <v>35958</v>
      </c>
      <c r="AC72" s="58">
        <f t="shared" si="54"/>
        <v>165</v>
      </c>
      <c r="AD72" s="90"/>
    </row>
    <row r="73" spans="1:30" ht="14.1" customHeight="1" x14ac:dyDescent="0.2">
      <c r="A73" s="161" t="s">
        <v>575</v>
      </c>
      <c r="B73" s="162" t="s">
        <v>576</v>
      </c>
      <c r="C73" s="163"/>
      <c r="D73" s="164"/>
      <c r="E73" s="163"/>
      <c r="F73" s="163">
        <v>28740</v>
      </c>
      <c r="G73" s="164">
        <v>1.2</v>
      </c>
      <c r="H73" s="164">
        <v>18</v>
      </c>
      <c r="I73" s="165">
        <v>0</v>
      </c>
      <c r="J73" s="166">
        <f>(H73/G73)*1000</f>
        <v>15000</v>
      </c>
      <c r="K73" s="109">
        <v>0.96499999999999997</v>
      </c>
      <c r="L73" s="104">
        <f>F73*0.965</f>
        <v>27734.1</v>
      </c>
      <c r="M73" s="79">
        <v>1.6</v>
      </c>
      <c r="N73" s="58">
        <f t="shared" si="62"/>
        <v>44.374559999999995</v>
      </c>
      <c r="P73" s="35"/>
      <c r="Q73" s="35"/>
      <c r="S73" s="127"/>
      <c r="T73" s="125"/>
      <c r="U73" s="123"/>
      <c r="V73" s="123"/>
      <c r="W73" s="124"/>
      <c r="X73" s="124"/>
      <c r="Y73" s="113"/>
      <c r="AA73" s="73">
        <f t="shared" si="47"/>
        <v>41.753653444676409</v>
      </c>
      <c r="AB73" s="58">
        <f t="shared" si="53"/>
        <v>-28740</v>
      </c>
      <c r="AC73" s="58">
        <f t="shared" si="54"/>
        <v>-18</v>
      </c>
      <c r="AD73" s="90"/>
    </row>
    <row r="74" spans="1:30" ht="14.1" customHeight="1" x14ac:dyDescent="0.2">
      <c r="A74" s="32"/>
      <c r="B74" s="59" t="s">
        <v>817</v>
      </c>
      <c r="C74" s="60">
        <f>SUM(C66:C73)</f>
        <v>90800514</v>
      </c>
      <c r="D74" s="60">
        <f t="shared" ref="D74:H74" si="66">SUM(D66:D73)</f>
        <v>4619.3999999999987</v>
      </c>
      <c r="E74" s="60">
        <f t="shared" si="66"/>
        <v>139380</v>
      </c>
      <c r="F74" s="60">
        <f t="shared" si="66"/>
        <v>161941936</v>
      </c>
      <c r="G74" s="60">
        <f t="shared" si="66"/>
        <v>7104.8</v>
      </c>
      <c r="H74" s="60">
        <f t="shared" si="66"/>
        <v>92974</v>
      </c>
      <c r="I74" s="61">
        <f>(E74/D74)*1000</f>
        <v>30172.749707754265</v>
      </c>
      <c r="J74" s="61">
        <f>(H74/G74)*1000</f>
        <v>13086.082648350412</v>
      </c>
      <c r="K74" s="108"/>
      <c r="L74" s="103"/>
      <c r="M74" s="79">
        <v>2.12</v>
      </c>
      <c r="N74" s="79"/>
      <c r="P74" s="35"/>
      <c r="Q74" s="35"/>
      <c r="S74" s="127">
        <f t="shared" ref="S74" si="67">SUM(S66:S73)</f>
        <v>1001.9266582922937</v>
      </c>
      <c r="T74" s="125">
        <f>'[6]2015'!$G$1275</f>
        <v>2923.7794414745067</v>
      </c>
      <c r="U74" s="123"/>
      <c r="V74" s="123"/>
      <c r="W74" s="124"/>
      <c r="X74" s="173">
        <f t="shared" ref="X74" si="68">(((S67+S69+S70+S71+S72+((Q66*R66/1000000)+(Q68*R68/1000000))))/T74)*100</f>
        <v>32.688475879750015</v>
      </c>
      <c r="Y74" s="174" t="s">
        <v>601</v>
      </c>
      <c r="AA74" s="73">
        <f t="shared" si="47"/>
        <v>43.87251489941432</v>
      </c>
      <c r="AB74" s="58">
        <f t="shared" si="53"/>
        <v>-71141422</v>
      </c>
      <c r="AC74" s="58">
        <f t="shared" si="54"/>
        <v>46406</v>
      </c>
      <c r="AD74" s="90"/>
    </row>
    <row r="75" spans="1:30" x14ac:dyDescent="0.2">
      <c r="A75" s="32"/>
      <c r="B75" s="38"/>
      <c r="C75" s="75"/>
      <c r="D75" s="34"/>
      <c r="E75" s="75"/>
      <c r="F75" s="75"/>
      <c r="G75" s="34"/>
      <c r="H75" s="34"/>
      <c r="I75" s="36"/>
      <c r="J75" s="36"/>
      <c r="K75" s="107"/>
      <c r="L75" s="103"/>
      <c r="M75" s="79"/>
      <c r="N75" s="79"/>
      <c r="P75" s="35"/>
      <c r="Q75" s="35"/>
      <c r="S75" s="127"/>
      <c r="T75" s="126"/>
      <c r="U75" s="121"/>
      <c r="V75" s="121"/>
      <c r="W75" s="122"/>
      <c r="X75" s="122"/>
      <c r="Y75" s="113"/>
      <c r="AA75" s="73" t="e">
        <f t="shared" si="47"/>
        <v>#DIV/0!</v>
      </c>
      <c r="AB75" s="58">
        <f>F75-C75</f>
        <v>0</v>
      </c>
      <c r="AC75" s="58">
        <f>H75-E75</f>
        <v>0</v>
      </c>
      <c r="AD75" s="90"/>
    </row>
    <row r="76" spans="1:30" ht="33.75" customHeight="1" x14ac:dyDescent="0.2">
      <c r="A76" s="175" t="s">
        <v>602</v>
      </c>
      <c r="B76" s="176"/>
      <c r="C76" s="177"/>
      <c r="D76" s="176"/>
      <c r="E76" s="176"/>
      <c r="F76" s="177"/>
      <c r="G76" s="176"/>
      <c r="H76" s="176"/>
      <c r="K76" s="106"/>
      <c r="L76" s="103"/>
      <c r="M76" s="79"/>
      <c r="N76" s="79"/>
      <c r="P76" s="35"/>
      <c r="S76" s="127"/>
      <c r="T76" s="126" t="s">
        <v>603</v>
      </c>
      <c r="U76" s="121" t="s">
        <v>604</v>
      </c>
      <c r="V76" s="121" t="s">
        <v>605</v>
      </c>
      <c r="W76" s="122" t="s">
        <v>606</v>
      </c>
      <c r="X76" s="122" t="s">
        <v>607</v>
      </c>
      <c r="Y76" s="118"/>
      <c r="AA76" s="73" t="e">
        <f t="shared" si="47"/>
        <v>#DIV/0!</v>
      </c>
      <c r="AD76" s="130"/>
    </row>
    <row r="77" spans="1:30" ht="14.1" customHeight="1" x14ac:dyDescent="0.2">
      <c r="A77" s="32" t="s">
        <v>564</v>
      </c>
      <c r="B77" s="33" t="s">
        <v>669</v>
      </c>
      <c r="C77" s="75">
        <v>4754627</v>
      </c>
      <c r="D77" s="34">
        <v>189.9</v>
      </c>
      <c r="E77" s="75">
        <v>26631</v>
      </c>
      <c r="F77" s="75"/>
      <c r="G77" s="34"/>
      <c r="H77" s="34"/>
      <c r="K77" s="106">
        <v>103</v>
      </c>
      <c r="L77" s="128">
        <f>F77*103</f>
        <v>0</v>
      </c>
      <c r="M77" s="131">
        <v>291</v>
      </c>
      <c r="N77" s="132">
        <f t="shared" ref="N77" si="69">(L77*M77)*0.000062</f>
        <v>0</v>
      </c>
      <c r="O77" s="132">
        <f>'Price comparison poultry'!K26</f>
        <v>1071.5030214672076</v>
      </c>
      <c r="P77" s="35">
        <v>1.28</v>
      </c>
      <c r="Q77" s="58">
        <f t="shared" ref="Q77" si="70">(L77*P77)/1000</f>
        <v>0</v>
      </c>
      <c r="R77" s="58">
        <f>'Price comparison poultry'!K21</f>
        <v>77</v>
      </c>
      <c r="S77" s="127">
        <f t="shared" ref="S77" si="71">((N77*O77)+(Q77*R77))/1000000</f>
        <v>0</v>
      </c>
      <c r="T77" s="125">
        <f>'[6]2016'!$G$1103</f>
        <v>4.8504010884953832</v>
      </c>
      <c r="U77" s="155">
        <f>'[6]2016'!$G$1420</f>
        <v>1321.2339044284499</v>
      </c>
      <c r="V77" s="123">
        <f>T77+U77</f>
        <v>1326.0843055169453</v>
      </c>
      <c r="W77" s="168">
        <f t="shared" ref="W77" si="72">(((N77*O77)+(N79*O79))/(U77*1000000))*100</f>
        <v>0.48407040423071096</v>
      </c>
      <c r="X77" s="124">
        <f t="shared" ref="X77" si="73">(((Q77*R77)+(Q79*R79)+(N78*O78)+(N80*O80))/((T78*1000000)+(T77*1000000))*100)</f>
        <v>57.914261705430683</v>
      </c>
      <c r="Y77" s="113" t="s">
        <v>608</v>
      </c>
      <c r="AA77" s="73" t="e">
        <f t="shared" si="47"/>
        <v>#DIV/0!</v>
      </c>
      <c r="AB77" s="58">
        <f t="shared" ref="AB77:AB85" si="74">C77-F77</f>
        <v>4754627</v>
      </c>
      <c r="AC77" s="58">
        <f t="shared" ref="AC77:AC85" si="75">E77-H77</f>
        <v>26631</v>
      </c>
      <c r="AD77" s="133">
        <f t="shared" ref="AD77" si="76">(S77/V77)*100</f>
        <v>0</v>
      </c>
    </row>
    <row r="78" spans="1:30" ht="14.1" customHeight="1" x14ac:dyDescent="0.2">
      <c r="A78" s="32" t="s">
        <v>566</v>
      </c>
      <c r="B78" s="33" t="s">
        <v>763</v>
      </c>
      <c r="C78" s="75">
        <v>22254478</v>
      </c>
      <c r="D78" s="34">
        <v>1061.0999999999999</v>
      </c>
      <c r="E78" s="75">
        <v>65216</v>
      </c>
      <c r="F78" s="75">
        <v>3960950</v>
      </c>
      <c r="G78" s="34">
        <v>198</v>
      </c>
      <c r="H78" s="34">
        <v>31342</v>
      </c>
      <c r="K78" s="106">
        <v>125</v>
      </c>
      <c r="L78" s="104">
        <f>F78*125</f>
        <v>495118750</v>
      </c>
      <c r="M78" s="79">
        <v>1.59</v>
      </c>
      <c r="N78" s="58">
        <f>(L78*M78)/1000</f>
        <v>787238.8125</v>
      </c>
      <c r="O78" s="58">
        <f>'Price comparison poultry'!K20</f>
        <v>851</v>
      </c>
      <c r="P78" s="35"/>
      <c r="Q78" s="58"/>
      <c r="S78" s="127">
        <f t="shared" ref="S78" si="77">(N78*O78)/1000000</f>
        <v>669.94022943749997</v>
      </c>
      <c r="T78" s="125">
        <f>'[6]2016'!$G$1131</f>
        <v>1489.4062035960601</v>
      </c>
      <c r="U78" s="123"/>
      <c r="V78" s="123"/>
      <c r="W78" s="124"/>
      <c r="X78" s="124"/>
      <c r="Y78" s="113"/>
      <c r="AA78" s="73">
        <f t="shared" si="47"/>
        <v>49.988007927391159</v>
      </c>
      <c r="AB78" s="58">
        <f t="shared" si="74"/>
        <v>18293528</v>
      </c>
      <c r="AC78" s="58">
        <f t="shared" si="75"/>
        <v>33874</v>
      </c>
      <c r="AD78" s="133">
        <f t="shared" ref="AD78" si="78">(S78/T78)*100</f>
        <v>44.980357126214415</v>
      </c>
    </row>
    <row r="79" spans="1:30" ht="14.1" customHeight="1" x14ac:dyDescent="0.2">
      <c r="A79" s="32" t="s">
        <v>567</v>
      </c>
      <c r="B79" s="33" t="s">
        <v>765</v>
      </c>
      <c r="C79" s="75">
        <v>12007407</v>
      </c>
      <c r="D79" s="34">
        <v>479.8</v>
      </c>
      <c r="E79" s="75">
        <v>9020</v>
      </c>
      <c r="F79" s="75">
        <v>341066</v>
      </c>
      <c r="G79" s="34">
        <v>14.4</v>
      </c>
      <c r="H79" s="34">
        <v>285</v>
      </c>
      <c r="K79" s="109">
        <v>0.96499999999999997</v>
      </c>
      <c r="L79" s="104">
        <f>F79*0.97</f>
        <v>330834.02</v>
      </c>
      <c r="M79" s="131">
        <v>291</v>
      </c>
      <c r="N79" s="132">
        <f t="shared" ref="N79" si="79">(L79*M79)*0.000062</f>
        <v>5968.9073888400007</v>
      </c>
      <c r="O79" s="132">
        <f>'Price comparison poultry'!K26</f>
        <v>1071.5030214672076</v>
      </c>
      <c r="P79" s="35">
        <v>1.28</v>
      </c>
      <c r="Q79" s="58">
        <f t="shared" ref="Q79" si="80">(L79*P79)/1000</f>
        <v>423.46754559999999</v>
      </c>
      <c r="R79" s="58">
        <f>'Price comparison poultry'!K21</f>
        <v>77</v>
      </c>
      <c r="S79" s="127">
        <f t="shared" ref="S79" si="81">((N79*O79)+(Q79*R79))/1000000</f>
        <v>6.4283093030112024</v>
      </c>
      <c r="T79" s="125"/>
      <c r="U79" s="123"/>
      <c r="V79" s="123"/>
      <c r="W79" s="124"/>
      <c r="X79" s="124"/>
      <c r="Y79" s="113"/>
      <c r="AA79" s="73">
        <f t="shared" si="47"/>
        <v>42.220567280233155</v>
      </c>
      <c r="AB79" s="58">
        <f t="shared" si="74"/>
        <v>11666341</v>
      </c>
      <c r="AC79" s="58">
        <f t="shared" si="75"/>
        <v>8735</v>
      </c>
      <c r="AD79" s="133">
        <f t="shared" ref="AD79" si="82">(S79/V77)*100</f>
        <v>0.48475871980893892</v>
      </c>
    </row>
    <row r="80" spans="1:30" ht="14.1" customHeight="1" x14ac:dyDescent="0.2">
      <c r="A80" s="32" t="s">
        <v>568</v>
      </c>
      <c r="B80" s="33" t="s">
        <v>767</v>
      </c>
      <c r="C80" s="75">
        <v>29179903</v>
      </c>
      <c r="D80" s="34">
        <v>1500</v>
      </c>
      <c r="E80" s="75">
        <v>7516</v>
      </c>
      <c r="F80" s="75">
        <v>149659246</v>
      </c>
      <c r="G80" s="34">
        <v>6461.1</v>
      </c>
      <c r="H80" s="34">
        <v>50882</v>
      </c>
      <c r="I80" s="61">
        <f>(E77+E78+E79+E80)/(D77+D78+D79+D80)*1000</f>
        <v>33546.799554289952</v>
      </c>
      <c r="J80" s="61">
        <f>(H77+H78+H79+H80)/(G77+G78+G79+G80)*1000</f>
        <v>12363.677230838392</v>
      </c>
      <c r="K80" s="109">
        <v>0.96499999999999997</v>
      </c>
      <c r="L80" s="104">
        <f>F80*0.965</f>
        <v>144421172.38999999</v>
      </c>
      <c r="M80" s="79">
        <v>1.59</v>
      </c>
      <c r="N80" s="58">
        <f t="shared" ref="N80:N84" si="83">(L80*M80)/1000</f>
        <v>229629.6641001</v>
      </c>
      <c r="O80" s="58">
        <f>'Price comparison poultry'!K20</f>
        <v>851</v>
      </c>
      <c r="P80" s="35"/>
      <c r="Q80" s="35"/>
      <c r="S80" s="127">
        <f t="shared" ref="S80:S83" si="84">(N80*O80)/1000000</f>
        <v>195.41484414918509</v>
      </c>
      <c r="T80" s="125"/>
      <c r="U80" s="123"/>
      <c r="V80" s="123"/>
      <c r="W80" s="124"/>
      <c r="X80" s="124"/>
      <c r="Y80" s="113"/>
      <c r="Z80" s="90"/>
      <c r="AA80" s="73">
        <f t="shared" si="47"/>
        <v>43.172073712037815</v>
      </c>
      <c r="AB80" s="58">
        <f t="shared" si="74"/>
        <v>-120479343</v>
      </c>
      <c r="AC80" s="58">
        <f t="shared" si="75"/>
        <v>-43366</v>
      </c>
      <c r="AD80" s="133">
        <f t="shared" ref="AD80" si="85">S80/T78*100</f>
        <v>13.120318934980299</v>
      </c>
    </row>
    <row r="81" spans="1:30" ht="14.1" customHeight="1" x14ac:dyDescent="0.2">
      <c r="A81" s="32" t="s">
        <v>569</v>
      </c>
      <c r="B81" s="33" t="s">
        <v>570</v>
      </c>
      <c r="C81" s="75">
        <v>20961482</v>
      </c>
      <c r="D81" s="34">
        <v>1443.4</v>
      </c>
      <c r="E81" s="75">
        <v>36750</v>
      </c>
      <c r="F81" s="75">
        <v>826775</v>
      </c>
      <c r="G81" s="34">
        <v>47.3</v>
      </c>
      <c r="H81" s="34">
        <v>7133</v>
      </c>
      <c r="I81" s="36">
        <f>(E81/D81)*1000</f>
        <v>25460.717749757514</v>
      </c>
      <c r="J81" s="36">
        <f>(H81/G81)*1000</f>
        <v>150803.38266384779</v>
      </c>
      <c r="K81" s="109">
        <v>0.96499999999999997</v>
      </c>
      <c r="L81" s="104">
        <f>F81*0.965</f>
        <v>797837.875</v>
      </c>
      <c r="M81" s="79">
        <v>12.93</v>
      </c>
      <c r="N81" s="58">
        <f t="shared" si="83"/>
        <v>10316.043723749999</v>
      </c>
      <c r="O81" s="58">
        <f>'Price comparison poultry'!K22</f>
        <v>1300</v>
      </c>
      <c r="P81" s="35"/>
      <c r="Q81" s="35"/>
      <c r="S81" s="127">
        <f t="shared" si="84"/>
        <v>13.410856840875001</v>
      </c>
      <c r="T81" s="125">
        <f>'[6]2016'!$G$1187</f>
        <v>723.74664290395708</v>
      </c>
      <c r="U81" s="123"/>
      <c r="V81" s="123"/>
      <c r="W81" s="124"/>
      <c r="X81" s="124">
        <f t="shared" ref="X81:X83" si="86">(S81/T81)*100</f>
        <v>1.8529767249856044</v>
      </c>
      <c r="Y81" s="113"/>
      <c r="Z81" s="90"/>
      <c r="AA81" s="73">
        <f t="shared" si="47"/>
        <v>57.210244625200325</v>
      </c>
      <c r="AB81" s="58">
        <f t="shared" si="74"/>
        <v>20134707</v>
      </c>
      <c r="AC81" s="58">
        <f t="shared" si="75"/>
        <v>29617</v>
      </c>
      <c r="AD81" s="90"/>
    </row>
    <row r="82" spans="1:30" ht="14.1" customHeight="1" x14ac:dyDescent="0.2">
      <c r="A82" s="32" t="s">
        <v>571</v>
      </c>
      <c r="B82" s="33" t="s">
        <v>572</v>
      </c>
      <c r="C82" s="75">
        <v>1127748</v>
      </c>
      <c r="D82" s="34">
        <v>70.8</v>
      </c>
      <c r="E82" s="75">
        <v>3239</v>
      </c>
      <c r="F82" s="75">
        <v>2432257</v>
      </c>
      <c r="G82" s="34">
        <v>137.4</v>
      </c>
      <c r="H82" s="34">
        <v>1621</v>
      </c>
      <c r="I82" s="36">
        <f>(E82/D82)*1000</f>
        <v>45748.587570621472</v>
      </c>
      <c r="J82" s="36">
        <f>(H82/G82)*1000</f>
        <v>11797.671033478893</v>
      </c>
      <c r="K82" s="109">
        <v>0.96499999999999997</v>
      </c>
      <c r="L82" s="104">
        <f>F82*0.965</f>
        <v>2347128.0049999999</v>
      </c>
      <c r="M82" s="79">
        <v>2.2000000000000002</v>
      </c>
      <c r="N82" s="58">
        <f t="shared" si="83"/>
        <v>5163.6816110000009</v>
      </c>
      <c r="O82" s="58">
        <f>'Price comparison poultry'!K24</f>
        <v>6440.7454346989089</v>
      </c>
      <c r="P82" s="35"/>
      <c r="Q82" s="35"/>
      <c r="S82" s="127">
        <f t="shared" si="84"/>
        <v>33.257958762286961</v>
      </c>
      <c r="T82" s="125">
        <f>'[6]2016'!$G$1252</f>
        <v>384.03600668351521</v>
      </c>
      <c r="U82" s="123"/>
      <c r="V82" s="123"/>
      <c r="W82" s="124"/>
      <c r="X82" s="124">
        <f t="shared" si="86"/>
        <v>8.6601147245276167</v>
      </c>
      <c r="Y82" s="113"/>
      <c r="Z82" s="90"/>
      <c r="AA82" s="73">
        <f t="shared" si="47"/>
        <v>56.490740904435675</v>
      </c>
      <c r="AB82" s="58">
        <f t="shared" si="74"/>
        <v>-1304509</v>
      </c>
      <c r="AC82" s="58">
        <f t="shared" si="75"/>
        <v>1618</v>
      </c>
      <c r="AD82" s="90"/>
    </row>
    <row r="83" spans="1:30" ht="14.1" customHeight="1" x14ac:dyDescent="0.2">
      <c r="A83" s="32" t="s">
        <v>573</v>
      </c>
      <c r="B83" s="33" t="s">
        <v>574</v>
      </c>
      <c r="C83" s="75">
        <v>86335</v>
      </c>
      <c r="D83" s="34">
        <v>9.9</v>
      </c>
      <c r="E83" s="75">
        <v>727</v>
      </c>
      <c r="F83" s="75">
        <v>10812</v>
      </c>
      <c r="G83" s="34">
        <v>1.4</v>
      </c>
      <c r="H83" s="34">
        <v>27</v>
      </c>
      <c r="I83" s="36">
        <f>(E83/D83)*1000</f>
        <v>73434.343434343435</v>
      </c>
      <c r="J83" s="36">
        <f>(H83/G83)*1000</f>
        <v>19285.71428571429</v>
      </c>
      <c r="K83" s="109">
        <v>0.96499999999999997</v>
      </c>
      <c r="L83" s="104">
        <f>F83*0.965</f>
        <v>10433.58</v>
      </c>
      <c r="M83" s="79">
        <v>4.92</v>
      </c>
      <c r="N83" s="58">
        <f t="shared" si="83"/>
        <v>51.333213599999993</v>
      </c>
      <c r="O83" s="58">
        <f>'Price comparison poultry'!K23</f>
        <v>5755.4654739701436</v>
      </c>
      <c r="P83" s="35"/>
      <c r="Q83" s="35"/>
      <c r="S83" s="127">
        <f t="shared" si="84"/>
        <v>0.29544653854273456</v>
      </c>
      <c r="T83" s="125">
        <f>'[6]2016'!$G$1215</f>
        <v>39.203706165677325</v>
      </c>
      <c r="U83" s="123"/>
      <c r="V83" s="123"/>
      <c r="W83" s="124"/>
      <c r="X83" s="124">
        <f t="shared" si="86"/>
        <v>0.75361889841271368</v>
      </c>
      <c r="Y83" s="113"/>
      <c r="Z83" s="90"/>
      <c r="AA83" s="73">
        <f t="shared" si="47"/>
        <v>129.48575656677767</v>
      </c>
      <c r="AB83" s="58">
        <f t="shared" si="74"/>
        <v>75523</v>
      </c>
      <c r="AC83" s="58">
        <f t="shared" si="75"/>
        <v>700</v>
      </c>
      <c r="AD83" s="90"/>
    </row>
    <row r="84" spans="1:30" ht="14.1" customHeight="1" x14ac:dyDescent="0.2">
      <c r="A84" s="161" t="s">
        <v>575</v>
      </c>
      <c r="B84" s="162" t="s">
        <v>576</v>
      </c>
      <c r="C84" s="163"/>
      <c r="D84" s="164"/>
      <c r="E84" s="163"/>
      <c r="F84" s="163">
        <v>29172</v>
      </c>
      <c r="G84" s="164">
        <v>1.2</v>
      </c>
      <c r="H84" s="164">
        <v>19</v>
      </c>
      <c r="I84" s="165">
        <v>0</v>
      </c>
      <c r="J84" s="166">
        <f>(H84/G84)*1000</f>
        <v>15833.333333333334</v>
      </c>
      <c r="K84" s="109">
        <v>0.96499999999999997</v>
      </c>
      <c r="L84" s="104">
        <f>F84*0.965</f>
        <v>28150.98</v>
      </c>
      <c r="M84" s="79">
        <v>1.6</v>
      </c>
      <c r="N84" s="58">
        <f t="shared" si="83"/>
        <v>45.041567999999998</v>
      </c>
      <c r="P84" s="35"/>
      <c r="Q84" s="35"/>
      <c r="S84" s="127"/>
      <c r="T84" s="125"/>
      <c r="U84" s="123"/>
      <c r="V84" s="123"/>
      <c r="W84" s="124"/>
      <c r="X84" s="124"/>
      <c r="Y84" s="113"/>
      <c r="Z84" s="90"/>
      <c r="AA84" s="73">
        <f t="shared" si="47"/>
        <v>41.135335252982308</v>
      </c>
      <c r="AB84" s="58">
        <f t="shared" si="74"/>
        <v>-29172</v>
      </c>
      <c r="AC84" s="58">
        <f t="shared" si="75"/>
        <v>-19</v>
      </c>
      <c r="AD84" s="90"/>
    </row>
    <row r="85" spans="1:30" ht="14.1" customHeight="1" x14ac:dyDescent="0.2">
      <c r="A85" s="32"/>
      <c r="B85" s="59" t="s">
        <v>817</v>
      </c>
      <c r="C85" s="60">
        <f>SUM(C77:C84)</f>
        <v>90371980</v>
      </c>
      <c r="D85" s="60">
        <f t="shared" ref="D85:H85" si="87">SUM(D77:D84)</f>
        <v>4754.9000000000005</v>
      </c>
      <c r="E85" s="60">
        <f t="shared" si="87"/>
        <v>149099</v>
      </c>
      <c r="F85" s="60">
        <f t="shared" si="87"/>
        <v>157260278</v>
      </c>
      <c r="G85" s="60">
        <f t="shared" si="87"/>
        <v>6860.7999999999993</v>
      </c>
      <c r="H85" s="60">
        <f t="shared" si="87"/>
        <v>91309</v>
      </c>
      <c r="I85" s="61">
        <f>(E85/D85)*1000</f>
        <v>31356.916023470523</v>
      </c>
      <c r="J85" s="61">
        <f>(H85/G85)*1000</f>
        <v>13308.797807835821</v>
      </c>
      <c r="K85" s="108"/>
      <c r="L85" s="103"/>
      <c r="M85" s="79">
        <v>2.21</v>
      </c>
      <c r="N85" s="79"/>
      <c r="P85" s="35"/>
      <c r="Q85" s="35"/>
      <c r="S85" s="127">
        <f t="shared" ref="S85" si="88">SUM(S77:S84)</f>
        <v>918.74764503140102</v>
      </c>
      <c r="T85" s="125">
        <f>'[6]2016'!$G$1275</f>
        <v>2641.2429604377053</v>
      </c>
      <c r="U85" s="123"/>
      <c r="V85" s="123"/>
      <c r="W85" s="124"/>
      <c r="X85" s="173">
        <f t="shared" ref="X85" si="89">(((S78+S80+S81+S82+S83+((Q77*R77/1000000)+(Q79*R79/1000000))))/T85)*100</f>
        <v>34.54252245610175</v>
      </c>
      <c r="Y85" s="174" t="s">
        <v>609</v>
      </c>
      <c r="AA85" s="73">
        <f t="shared" si="47"/>
        <v>43.627037210248346</v>
      </c>
      <c r="AB85" s="58">
        <f t="shared" si="74"/>
        <v>-66888298</v>
      </c>
      <c r="AC85" s="58">
        <f t="shared" si="75"/>
        <v>57790</v>
      </c>
      <c r="AD85" s="90"/>
    </row>
    <row r="86" spans="1:30" x14ac:dyDescent="0.2">
      <c r="A86" s="32"/>
      <c r="B86" s="38"/>
      <c r="C86" s="75"/>
      <c r="D86" s="34"/>
      <c r="E86" s="75"/>
      <c r="F86" s="75"/>
      <c r="G86" s="34"/>
      <c r="H86" s="34"/>
      <c r="I86" s="36"/>
      <c r="J86" s="36"/>
      <c r="K86" s="107"/>
      <c r="L86" s="103"/>
      <c r="M86" s="79"/>
      <c r="N86" s="79"/>
      <c r="P86" s="35"/>
      <c r="Q86" s="35"/>
      <c r="S86" s="127"/>
      <c r="T86" s="126"/>
      <c r="U86" s="121"/>
      <c r="V86" s="121"/>
      <c r="W86" s="122"/>
      <c r="X86" s="122"/>
      <c r="Y86" s="113"/>
      <c r="AA86" s="73" t="e">
        <f t="shared" si="47"/>
        <v>#DIV/0!</v>
      </c>
      <c r="AB86" s="58">
        <f>F86-C86</f>
        <v>0</v>
      </c>
      <c r="AC86" s="58">
        <f>H86-E86</f>
        <v>0</v>
      </c>
      <c r="AD86" s="90"/>
    </row>
    <row r="87" spans="1:30" ht="33.75" customHeight="1" x14ac:dyDescent="0.2">
      <c r="A87" s="175" t="s">
        <v>610</v>
      </c>
      <c r="B87" s="176"/>
      <c r="C87" s="177"/>
      <c r="D87" s="176"/>
      <c r="E87" s="176"/>
      <c r="F87" s="177"/>
      <c r="G87" s="176"/>
      <c r="H87" s="176"/>
      <c r="K87" s="106"/>
      <c r="L87" s="103"/>
      <c r="M87" s="79"/>
      <c r="N87" s="79"/>
      <c r="P87" s="35"/>
      <c r="S87" s="127"/>
      <c r="T87" s="126" t="s">
        <v>611</v>
      </c>
      <c r="U87" s="121" t="s">
        <v>612</v>
      </c>
      <c r="V87" s="121" t="s">
        <v>613</v>
      </c>
      <c r="W87" s="122" t="s">
        <v>614</v>
      </c>
      <c r="X87" s="122" t="s">
        <v>615</v>
      </c>
      <c r="Y87" s="118"/>
      <c r="AA87" s="73" t="e">
        <f t="shared" si="47"/>
        <v>#DIV/0!</v>
      </c>
      <c r="AD87" s="130"/>
    </row>
    <row r="88" spans="1:30" ht="14.1" customHeight="1" x14ac:dyDescent="0.2">
      <c r="A88" s="32" t="s">
        <v>564</v>
      </c>
      <c r="B88" s="33" t="s">
        <v>669</v>
      </c>
      <c r="C88" s="75">
        <v>5228425</v>
      </c>
      <c r="D88" s="34">
        <v>208.7</v>
      </c>
      <c r="E88" s="75">
        <v>19622</v>
      </c>
      <c r="F88" s="75">
        <v>5320</v>
      </c>
      <c r="G88" s="34">
        <v>0.2</v>
      </c>
      <c r="H88" s="34">
        <v>53</v>
      </c>
      <c r="K88" s="106">
        <v>103</v>
      </c>
      <c r="L88" s="104">
        <f>F88*103</f>
        <v>547960</v>
      </c>
      <c r="M88" s="131">
        <v>292</v>
      </c>
      <c r="N88" s="132">
        <f t="shared" ref="N88" si="90">(L88*M88)*0.000062</f>
        <v>9920.2678400000004</v>
      </c>
      <c r="O88" s="132">
        <f>'Price comparison poultry'!L26</f>
        <v>1523.8366294793775</v>
      </c>
      <c r="P88" s="35">
        <v>1.24</v>
      </c>
      <c r="Q88" s="58">
        <f t="shared" ref="Q88" si="91">(L88*P88)/1000</f>
        <v>679.47040000000004</v>
      </c>
      <c r="R88" s="58">
        <f>'Price comparison poultry'!L21</f>
        <v>204</v>
      </c>
      <c r="S88" s="127">
        <f t="shared" ref="S88" si="92">((N88*O88)+(Q88*R88))/1000000</f>
        <v>15.255479470438265</v>
      </c>
      <c r="T88" s="125">
        <f>'[6]2017'!$G$1103</f>
        <v>14.870290152505262</v>
      </c>
      <c r="U88" s="155">
        <f>'[6]2017'!$G$1420</f>
        <v>1697.7490853251634</v>
      </c>
      <c r="V88" s="123">
        <f>T88+U88</f>
        <v>1712.6193754776687</v>
      </c>
      <c r="W88" s="168">
        <f t="shared" ref="W88" si="93">(((N88*O88)+(N90*O90))/(U88*1000000))*100</f>
        <v>2.2990307114124544</v>
      </c>
      <c r="X88" s="124">
        <f t="shared" ref="X88" si="94">(((Q88*R88)+(Q90*R90)+(N89*O89)+(N91*O91))/((T89*1000000)+(T88*1000000))*100)</f>
        <v>53.379585814291438</v>
      </c>
      <c r="Y88" s="113" t="s">
        <v>616</v>
      </c>
      <c r="AA88" s="73">
        <f t="shared" si="47"/>
        <v>37.593984962406012</v>
      </c>
      <c r="AB88" s="58">
        <f t="shared" ref="AB88:AB96" si="95">C88-F88</f>
        <v>5223105</v>
      </c>
      <c r="AC88" s="58">
        <f t="shared" ref="AC88:AC96" si="96">E88-H88</f>
        <v>19569</v>
      </c>
      <c r="AD88" s="133">
        <f t="shared" ref="AD88" si="97">(S88/V88)*100</f>
        <v>0.89076882399414303</v>
      </c>
    </row>
    <row r="89" spans="1:30" ht="14.1" customHeight="1" x14ac:dyDescent="0.2">
      <c r="A89" s="32" t="s">
        <v>566</v>
      </c>
      <c r="B89" s="33" t="s">
        <v>763</v>
      </c>
      <c r="C89" s="75">
        <v>22180432</v>
      </c>
      <c r="D89" s="34">
        <v>1047.8</v>
      </c>
      <c r="E89" s="75">
        <v>65678</v>
      </c>
      <c r="F89" s="75">
        <v>3783474</v>
      </c>
      <c r="G89" s="34">
        <v>183.9</v>
      </c>
      <c r="H89" s="34">
        <v>27219</v>
      </c>
      <c r="K89" s="106">
        <v>125</v>
      </c>
      <c r="L89" s="104">
        <f>F89*125</f>
        <v>472934250</v>
      </c>
      <c r="M89" s="79">
        <v>1.62</v>
      </c>
      <c r="N89" s="58">
        <f>(L89*M89)/1000</f>
        <v>766153.48499999999</v>
      </c>
      <c r="O89" s="58">
        <f>'Price comparison poultry'!L20</f>
        <v>840</v>
      </c>
      <c r="P89" s="35"/>
      <c r="Q89" s="58"/>
      <c r="S89" s="127">
        <f t="shared" ref="S89" si="98">(N89*O89)/1000000</f>
        <v>643.56892740000001</v>
      </c>
      <c r="T89" s="125">
        <f>'[6]2017'!$G$1131</f>
        <v>1510.9341401742536</v>
      </c>
      <c r="U89" s="123"/>
      <c r="V89" s="123"/>
      <c r="W89" s="124"/>
      <c r="X89" s="124"/>
      <c r="Y89" s="113"/>
      <c r="AA89" s="73">
        <f t="shared" si="47"/>
        <v>48.606122309813678</v>
      </c>
      <c r="AB89" s="58">
        <f t="shared" si="95"/>
        <v>18396958</v>
      </c>
      <c r="AC89" s="58">
        <f t="shared" si="96"/>
        <v>38459</v>
      </c>
      <c r="AD89" s="133">
        <f t="shared" ref="AD89" si="99">(S89/T89)*100</f>
        <v>42.594108524530277</v>
      </c>
    </row>
    <row r="90" spans="1:30" ht="14.1" customHeight="1" x14ac:dyDescent="0.2">
      <c r="A90" s="32" t="s">
        <v>567</v>
      </c>
      <c r="B90" s="33" t="s">
        <v>765</v>
      </c>
      <c r="C90" s="75">
        <v>11017146</v>
      </c>
      <c r="D90" s="34">
        <v>446.7</v>
      </c>
      <c r="E90" s="75">
        <v>8578</v>
      </c>
      <c r="F90" s="75">
        <v>893684</v>
      </c>
      <c r="G90" s="34">
        <v>36.799999999999997</v>
      </c>
      <c r="H90" s="34">
        <v>636</v>
      </c>
      <c r="K90" s="109">
        <v>0.96499999999999997</v>
      </c>
      <c r="L90" s="104">
        <f>F90*0.97</f>
        <v>866873.48</v>
      </c>
      <c r="M90" s="131">
        <v>292</v>
      </c>
      <c r="N90" s="132">
        <f t="shared" ref="N90" si="100">(L90*M90)*0.000062</f>
        <v>15693.877481920001</v>
      </c>
      <c r="O90" s="132">
        <f>'Price comparison poultry'!L26</f>
        <v>1523.8366294793775</v>
      </c>
      <c r="P90" s="35">
        <v>1.24</v>
      </c>
      <c r="Q90" s="58">
        <f t="shared" ref="Q90" si="101">(L90*P90)/1000</f>
        <v>1074.9231152</v>
      </c>
      <c r="R90" s="58">
        <f>'Price comparison poultry'!L21</f>
        <v>204</v>
      </c>
      <c r="S90" s="127">
        <f t="shared" ref="S90" si="102">((N90*O90)+(Q90*R90))/1000000</f>
        <v>24.134189681012074</v>
      </c>
      <c r="T90" s="125"/>
      <c r="U90" s="123"/>
      <c r="V90" s="123"/>
      <c r="W90" s="124"/>
      <c r="X90" s="124"/>
      <c r="Y90" s="113"/>
      <c r="AA90" s="73">
        <f t="shared" si="47"/>
        <v>41.177866001853005</v>
      </c>
      <c r="AB90" s="58">
        <f t="shared" si="95"/>
        <v>10123462</v>
      </c>
      <c r="AC90" s="58">
        <f t="shared" si="96"/>
        <v>7942</v>
      </c>
      <c r="AD90" s="133">
        <f t="shared" ref="AD90" si="103">(S90/V88)*100</f>
        <v>1.4091975150217355</v>
      </c>
    </row>
    <row r="91" spans="1:30" ht="14.1" customHeight="1" x14ac:dyDescent="0.2">
      <c r="A91" s="32" t="s">
        <v>568</v>
      </c>
      <c r="B91" s="33" t="s">
        <v>767</v>
      </c>
      <c r="C91" s="75">
        <v>36944347</v>
      </c>
      <c r="D91" s="34">
        <v>1671.5</v>
      </c>
      <c r="E91" s="75">
        <v>10175</v>
      </c>
      <c r="F91" s="75">
        <v>129869706</v>
      </c>
      <c r="G91" s="34">
        <v>5604.2</v>
      </c>
      <c r="H91" s="34">
        <v>43332</v>
      </c>
      <c r="I91" s="61">
        <f>(E88+E89+E90+E91)/(D88+D89+D90+D91)*1000</f>
        <v>30833.259252674314</v>
      </c>
      <c r="J91" s="61">
        <f>(H88+H89+H90+H91)/(G88+G89+G90+G91)*1000</f>
        <v>12229.832964240959</v>
      </c>
      <c r="K91" s="109">
        <v>0.96499999999999997</v>
      </c>
      <c r="L91" s="104">
        <f>F91*0.965</f>
        <v>125324266.28999999</v>
      </c>
      <c r="M91" s="79">
        <v>1.62</v>
      </c>
      <c r="N91" s="58">
        <f t="shared" ref="N91:N95" si="104">(L91*M91)/1000</f>
        <v>203025.31138980002</v>
      </c>
      <c r="O91" s="58">
        <f>'Price comparison poultry'!L20</f>
        <v>840</v>
      </c>
      <c r="P91" s="35"/>
      <c r="Q91" s="35"/>
      <c r="S91" s="127">
        <f t="shared" ref="S91:S94" si="105">(N91*O91)/1000000</f>
        <v>170.541261567432</v>
      </c>
      <c r="T91" s="125"/>
      <c r="U91" s="123"/>
      <c r="V91" s="123"/>
      <c r="W91" s="124"/>
      <c r="X91" s="124"/>
      <c r="Y91" s="113"/>
      <c r="AA91" s="73">
        <f t="shared" si="47"/>
        <v>43.152480841066968</v>
      </c>
      <c r="AB91" s="58">
        <f t="shared" si="95"/>
        <v>-92925359</v>
      </c>
      <c r="AC91" s="58">
        <f t="shared" si="96"/>
        <v>-33157</v>
      </c>
      <c r="AD91" s="133">
        <f t="shared" ref="AD91" si="106">S91/T89*100</f>
        <v>11.287140652455161</v>
      </c>
    </row>
    <row r="92" spans="1:30" ht="14.1" customHeight="1" x14ac:dyDescent="0.2">
      <c r="A92" s="32" t="s">
        <v>569</v>
      </c>
      <c r="B92" s="33" t="s">
        <v>570</v>
      </c>
      <c r="C92" s="75">
        <v>22104294</v>
      </c>
      <c r="D92" s="34">
        <v>1519.9</v>
      </c>
      <c r="E92" s="75">
        <v>37791</v>
      </c>
      <c r="F92" s="75">
        <v>839795</v>
      </c>
      <c r="G92" s="34">
        <v>54.1</v>
      </c>
      <c r="H92" s="34">
        <v>6111</v>
      </c>
      <c r="I92" s="36">
        <f>(E92/D92)*1000</f>
        <v>24864.135798407788</v>
      </c>
      <c r="J92" s="36">
        <f>(H92/G92)*1000</f>
        <v>112957.48613678373</v>
      </c>
      <c r="K92" s="109">
        <v>0.96499999999999997</v>
      </c>
      <c r="L92" s="104">
        <f>F92*0.965</f>
        <v>810402.17499999993</v>
      </c>
      <c r="M92" s="79">
        <v>13.25</v>
      </c>
      <c r="N92" s="58">
        <f t="shared" si="104"/>
        <v>10737.82881875</v>
      </c>
      <c r="O92" s="58">
        <f>'Price comparison poultry'!L26</f>
        <v>1523.8366294793775</v>
      </c>
      <c r="P92" s="35"/>
      <c r="Q92" s="35"/>
      <c r="S92" s="127">
        <f t="shared" si="105"/>
        <v>16.362696875090528</v>
      </c>
      <c r="T92" s="125">
        <f>'[6]2017'!$G$1187</f>
        <v>629.89835357330571</v>
      </c>
      <c r="U92" s="123"/>
      <c r="V92" s="123"/>
      <c r="W92" s="124"/>
      <c r="X92" s="124">
        <f t="shared" ref="X92:X94" si="107">(S92/T92)*100</f>
        <v>2.5976725899135542</v>
      </c>
      <c r="Y92" s="113"/>
      <c r="AA92" s="73">
        <f t="shared" si="47"/>
        <v>64.420483570395163</v>
      </c>
      <c r="AB92" s="58">
        <f t="shared" si="95"/>
        <v>21264499</v>
      </c>
      <c r="AC92" s="58">
        <f t="shared" si="96"/>
        <v>31680</v>
      </c>
      <c r="AD92" s="90"/>
    </row>
    <row r="93" spans="1:30" ht="14.1" customHeight="1" x14ac:dyDescent="0.2">
      <c r="A93" s="32" t="s">
        <v>571</v>
      </c>
      <c r="B93" s="33" t="s">
        <v>572</v>
      </c>
      <c r="C93" s="75">
        <v>1107413</v>
      </c>
      <c r="D93" s="34">
        <v>68.2</v>
      </c>
      <c r="E93" s="75">
        <v>2663</v>
      </c>
      <c r="F93" s="75">
        <v>3191230</v>
      </c>
      <c r="G93" s="34">
        <v>184</v>
      </c>
      <c r="H93" s="34">
        <v>3015</v>
      </c>
      <c r="I93" s="36">
        <f>(E93/D93)*1000</f>
        <v>39046.92082111437</v>
      </c>
      <c r="J93" s="36">
        <f>(H93/G93)*1000</f>
        <v>16385.869565217392</v>
      </c>
      <c r="K93" s="109">
        <v>0.96499999999999997</v>
      </c>
      <c r="L93" s="104">
        <f>F93*0.965</f>
        <v>3079536.9499999997</v>
      </c>
      <c r="M93" s="79">
        <v>2.21</v>
      </c>
      <c r="N93" s="58">
        <f t="shared" si="104"/>
        <v>6805.7766594999994</v>
      </c>
      <c r="O93" s="58">
        <f>'Price comparison poultry'!L24</f>
        <v>9278.8446803458319</v>
      </c>
      <c r="P93" s="35"/>
      <c r="Q93" s="35"/>
      <c r="S93" s="127">
        <f t="shared" si="105"/>
        <v>63.149744552623396</v>
      </c>
      <c r="T93" s="125">
        <f>'[6]2017'!$G$1252</f>
        <v>481.65420054306372</v>
      </c>
      <c r="U93" s="123"/>
      <c r="V93" s="123"/>
      <c r="W93" s="124"/>
      <c r="X93" s="124">
        <f t="shared" si="107"/>
        <v>13.111012938623237</v>
      </c>
      <c r="Y93" s="113"/>
      <c r="AA93" s="73">
        <f t="shared" si="47"/>
        <v>57.658019008344745</v>
      </c>
      <c r="AB93" s="58">
        <f t="shared" si="95"/>
        <v>-2083817</v>
      </c>
      <c r="AC93" s="58">
        <f t="shared" si="96"/>
        <v>-352</v>
      </c>
      <c r="AD93" s="90"/>
    </row>
    <row r="94" spans="1:30" ht="14.1" customHeight="1" x14ac:dyDescent="0.2">
      <c r="A94" s="32" t="s">
        <v>573</v>
      </c>
      <c r="B94" s="33" t="s">
        <v>574</v>
      </c>
      <c r="C94" s="75"/>
      <c r="D94" s="34"/>
      <c r="E94" s="75"/>
      <c r="F94" s="75">
        <v>4827</v>
      </c>
      <c r="G94" s="34">
        <v>0.6</v>
      </c>
      <c r="H94" s="34">
        <v>14</v>
      </c>
      <c r="I94" s="36">
        <v>0</v>
      </c>
      <c r="J94" s="36">
        <f>(H94/G94)*1000</f>
        <v>23333.333333333336</v>
      </c>
      <c r="K94" s="109">
        <v>0.96499999999999997</v>
      </c>
      <c r="L94" s="104">
        <f>F94*0.965</f>
        <v>4658.0550000000003</v>
      </c>
      <c r="M94" s="79">
        <v>4.8600000000000003</v>
      </c>
      <c r="N94" s="58">
        <f t="shared" si="104"/>
        <v>22.638147300000004</v>
      </c>
      <c r="O94" s="58">
        <f>'Price comparison poultry'!L23</f>
        <v>8833.6877442926489</v>
      </c>
      <c r="P94" s="35"/>
      <c r="Q94" s="35"/>
      <c r="S94" s="127">
        <f t="shared" si="105"/>
        <v>0.19997832435750176</v>
      </c>
      <c r="T94" s="125">
        <f>'[6]2017'!$G$1215</f>
        <v>55.855798791422302</v>
      </c>
      <c r="U94" s="123"/>
      <c r="V94" s="123"/>
      <c r="W94" s="124"/>
      <c r="X94" s="124">
        <f t="shared" si="107"/>
        <v>0.3580260755096607</v>
      </c>
      <c r="Y94" s="113"/>
      <c r="AA94" s="73">
        <f t="shared" si="47"/>
        <v>124.30080795525171</v>
      </c>
      <c r="AB94" s="58">
        <f t="shared" si="95"/>
        <v>-4827</v>
      </c>
      <c r="AC94" s="58">
        <f t="shared" si="96"/>
        <v>-14</v>
      </c>
      <c r="AD94" s="90"/>
    </row>
    <row r="95" spans="1:30" ht="14.1" customHeight="1" x14ac:dyDescent="0.2">
      <c r="A95" s="161" t="s">
        <v>575</v>
      </c>
      <c r="B95" s="162" t="s">
        <v>576</v>
      </c>
      <c r="C95" s="163"/>
      <c r="D95" s="164"/>
      <c r="E95" s="163"/>
      <c r="F95" s="163">
        <v>25922</v>
      </c>
      <c r="G95" s="164">
        <v>1</v>
      </c>
      <c r="H95" s="164">
        <v>17</v>
      </c>
      <c r="I95" s="165">
        <v>0</v>
      </c>
      <c r="J95" s="166">
        <f>(H95/G95)*1000</f>
        <v>17000</v>
      </c>
      <c r="K95" s="109">
        <v>0.96499999999999997</v>
      </c>
      <c r="L95" s="104">
        <f>F95*0.965</f>
        <v>25014.73</v>
      </c>
      <c r="M95" s="79">
        <v>1.71</v>
      </c>
      <c r="N95" s="58">
        <f t="shared" si="104"/>
        <v>42.775188300000003</v>
      </c>
      <c r="P95" s="35"/>
      <c r="Q95" s="35"/>
      <c r="S95" s="127"/>
      <c r="T95" s="125"/>
      <c r="U95" s="123"/>
      <c r="V95" s="123"/>
      <c r="W95" s="124"/>
      <c r="X95" s="124"/>
      <c r="Y95" s="113"/>
      <c r="AA95" s="73">
        <f t="shared" si="47"/>
        <v>38.577270272355527</v>
      </c>
      <c r="AB95" s="58">
        <f t="shared" si="95"/>
        <v>-25922</v>
      </c>
      <c r="AC95" s="58">
        <f t="shared" si="96"/>
        <v>-17</v>
      </c>
      <c r="AD95" s="90"/>
    </row>
    <row r="96" spans="1:30" ht="14.1" customHeight="1" x14ac:dyDescent="0.2">
      <c r="A96" s="32"/>
      <c r="B96" s="59" t="s">
        <v>817</v>
      </c>
      <c r="C96" s="60">
        <f>SUM(C88:C95)</f>
        <v>98582057</v>
      </c>
      <c r="D96" s="60">
        <f t="shared" ref="D96:H96" si="108">SUM(D88:D95)</f>
        <v>4962.8</v>
      </c>
      <c r="E96" s="60">
        <f t="shared" si="108"/>
        <v>144507</v>
      </c>
      <c r="F96" s="60">
        <f t="shared" si="108"/>
        <v>138613958</v>
      </c>
      <c r="G96" s="60">
        <f t="shared" si="108"/>
        <v>6064.8</v>
      </c>
      <c r="H96" s="60">
        <f t="shared" si="108"/>
        <v>80397</v>
      </c>
      <c r="I96" s="61">
        <f>(E96/D96)*1000</f>
        <v>29118.038204239539</v>
      </c>
      <c r="J96" s="61">
        <f>(H96/G96)*1000</f>
        <v>13256.331618519984</v>
      </c>
      <c r="K96" s="108"/>
      <c r="L96" s="103"/>
      <c r="M96" s="79">
        <v>2.2200000000000002</v>
      </c>
      <c r="N96" s="79"/>
      <c r="P96" s="35"/>
      <c r="Q96" s="35"/>
      <c r="S96" s="127">
        <f t="shared" ref="S96" si="109">SUM(S88:S95)</f>
        <v>933.2122778709537</v>
      </c>
      <c r="T96" s="125">
        <f>'[6]2017'!$G$1275</f>
        <v>2693.2127832345509</v>
      </c>
      <c r="U96" s="123"/>
      <c r="V96" s="123"/>
      <c r="W96" s="124"/>
      <c r="X96" s="173">
        <f t="shared" ref="X96" si="110">(((S89+S91+S92+S93+S94+((Q88*R88/1000000)+(Q90*R90/1000000))))/T96)*100</f>
        <v>33.201257270236653</v>
      </c>
      <c r="Y96" s="174" t="s">
        <v>617</v>
      </c>
      <c r="AA96" s="73">
        <f t="shared" si="47"/>
        <v>43.753169504040855</v>
      </c>
      <c r="AB96" s="58">
        <f t="shared" si="95"/>
        <v>-40031901</v>
      </c>
      <c r="AC96" s="58">
        <f t="shared" si="96"/>
        <v>64110</v>
      </c>
      <c r="AD96" s="90"/>
    </row>
    <row r="97" spans="1:30" x14ac:dyDescent="0.2">
      <c r="A97" s="32"/>
      <c r="B97" s="38"/>
      <c r="C97" s="75"/>
      <c r="D97" s="34"/>
      <c r="E97" s="75"/>
      <c r="F97" s="75"/>
      <c r="G97" s="34"/>
      <c r="H97" s="34"/>
      <c r="I97" s="36"/>
      <c r="J97" s="36"/>
      <c r="K97" s="107"/>
      <c r="L97" s="103"/>
      <c r="M97" s="79"/>
      <c r="N97" s="79"/>
      <c r="P97" s="35"/>
      <c r="Q97" s="35"/>
      <c r="S97" s="127"/>
      <c r="T97" s="126"/>
      <c r="U97" s="121"/>
      <c r="V97" s="121"/>
      <c r="W97" s="122"/>
      <c r="X97" s="122"/>
      <c r="Y97" s="113"/>
      <c r="AA97" s="73" t="e">
        <f t="shared" ref="AA97:AA128" si="111">(G97*1000000)/F97</f>
        <v>#DIV/0!</v>
      </c>
      <c r="AB97" s="58">
        <f>F97-C97</f>
        <v>0</v>
      </c>
      <c r="AC97" s="58">
        <f>H97-E97</f>
        <v>0</v>
      </c>
      <c r="AD97" s="90"/>
    </row>
    <row r="98" spans="1:30" ht="33.75" customHeight="1" x14ac:dyDescent="0.2">
      <c r="A98" s="175" t="s">
        <v>618</v>
      </c>
      <c r="B98" s="176"/>
      <c r="C98" s="177"/>
      <c r="D98" s="176"/>
      <c r="E98" s="176"/>
      <c r="F98" s="177"/>
      <c r="G98" s="176"/>
      <c r="H98" s="176"/>
      <c r="K98" s="106"/>
      <c r="L98" s="103"/>
      <c r="M98" s="79"/>
      <c r="N98" s="79"/>
      <c r="P98" s="35"/>
      <c r="S98" s="127"/>
      <c r="T98" s="126" t="s">
        <v>619</v>
      </c>
      <c r="U98" s="121" t="s">
        <v>620</v>
      </c>
      <c r="V98" s="121" t="s">
        <v>621</v>
      </c>
      <c r="W98" s="122" t="s">
        <v>622</v>
      </c>
      <c r="X98" s="122" t="s">
        <v>623</v>
      </c>
      <c r="Y98" s="118"/>
      <c r="AA98" s="73" t="e">
        <f t="shared" si="111"/>
        <v>#DIV/0!</v>
      </c>
      <c r="AD98" s="130"/>
    </row>
    <row r="99" spans="1:30" ht="14.1" customHeight="1" x14ac:dyDescent="0.2">
      <c r="A99" s="32" t="s">
        <v>564</v>
      </c>
      <c r="B99" s="33" t="s">
        <v>669</v>
      </c>
      <c r="C99" s="75">
        <v>6894208</v>
      </c>
      <c r="D99" s="34">
        <v>277.3</v>
      </c>
      <c r="E99" s="75">
        <v>19502</v>
      </c>
      <c r="F99" s="171">
        <v>434476</v>
      </c>
      <c r="G99" s="34">
        <v>22.2</v>
      </c>
      <c r="H99" s="34">
        <v>868</v>
      </c>
      <c r="K99" s="106">
        <v>103</v>
      </c>
      <c r="L99" s="104">
        <f>F99*103</f>
        <v>44751028</v>
      </c>
      <c r="M99" s="131">
        <v>291</v>
      </c>
      <c r="N99" s="132">
        <f t="shared" ref="N99" si="112">(L99*M99)*0.000062</f>
        <v>807398.04717600008</v>
      </c>
      <c r="O99" s="132">
        <f>'Price comparison poultry'!M26</f>
        <v>1386.5374619675454</v>
      </c>
      <c r="P99" s="35">
        <v>1.24</v>
      </c>
      <c r="Q99" s="58">
        <f t="shared" ref="Q99" si="113">(L99*P99)/1000</f>
        <v>55491.274720000001</v>
      </c>
      <c r="R99" s="58">
        <f>'Price comparison poultry'!M21</f>
        <v>134</v>
      </c>
      <c r="S99" s="127">
        <f t="shared" ref="S99" si="114">((N99*O99)+(Q99*R99))/1000000</f>
        <v>1126.9234699414437</v>
      </c>
      <c r="T99" s="125">
        <f>'[6]2018'!$G$1103</f>
        <v>10.268631578947367</v>
      </c>
      <c r="U99" s="155">
        <f>'[6]2018'!$G$1420</f>
        <v>1599.4907395563121</v>
      </c>
      <c r="V99" s="123">
        <f>T99+U99</f>
        <v>1609.7593711352595</v>
      </c>
      <c r="W99" s="168">
        <f t="shared" ref="W99" si="115">(((N99*O99)+(N101*O101))/(U99*1000000))*100</f>
        <v>70.646766027008709</v>
      </c>
      <c r="X99" s="124">
        <f t="shared" ref="X99" si="116">(((Q99*R99)+(Q101*R101)+(N100*O100)+(N102*O102))/((T100*1000000)+(T99*1000000))*100)</f>
        <v>61.228982100573681</v>
      </c>
      <c r="Y99" s="113" t="s">
        <v>624</v>
      </c>
      <c r="AA99" s="73">
        <f t="shared" si="111"/>
        <v>51.096032922416889</v>
      </c>
      <c r="AB99" s="58">
        <f t="shared" ref="AB99:AB107" si="117">C99-F99</f>
        <v>6459732</v>
      </c>
      <c r="AC99" s="58">
        <f t="shared" ref="AC99:AC107" si="118">E99-H99</f>
        <v>18634</v>
      </c>
      <c r="AD99" s="133">
        <f t="shared" ref="AD99" si="119">(S99/V99)*100</f>
        <v>70.005709558112244</v>
      </c>
    </row>
    <row r="100" spans="1:30" ht="14.1" customHeight="1" x14ac:dyDescent="0.2">
      <c r="A100" s="32" t="s">
        <v>566</v>
      </c>
      <c r="B100" s="33" t="s">
        <v>763</v>
      </c>
      <c r="C100" s="75">
        <v>22352097</v>
      </c>
      <c r="D100" s="34">
        <v>1068.4000000000001</v>
      </c>
      <c r="E100" s="75">
        <v>72059</v>
      </c>
      <c r="F100" s="75">
        <v>4684934</v>
      </c>
      <c r="G100" s="34">
        <v>238.2</v>
      </c>
      <c r="H100" s="34">
        <v>30512</v>
      </c>
      <c r="K100" s="106">
        <v>125</v>
      </c>
      <c r="L100" s="104">
        <f>F100*125</f>
        <v>585616750</v>
      </c>
      <c r="M100" s="79">
        <v>1.64</v>
      </c>
      <c r="N100" s="58">
        <f>(L100*M100)/1000</f>
        <v>960411.47</v>
      </c>
      <c r="O100" s="58">
        <f>'Price comparison poultry'!M20</f>
        <v>864</v>
      </c>
      <c r="P100" s="35"/>
      <c r="Q100" s="58"/>
      <c r="S100" s="127">
        <f t="shared" ref="S100" si="120">(N100*O100)/1000000</f>
        <v>829.79551007999987</v>
      </c>
      <c r="T100" s="125">
        <f>'[6]2018'!$G$1131</f>
        <v>1611.1983521288184</v>
      </c>
      <c r="U100" s="123"/>
      <c r="V100" s="123"/>
      <c r="W100" s="124"/>
      <c r="X100" s="124"/>
      <c r="Y100" s="113"/>
      <c r="AA100" s="73">
        <f t="shared" si="111"/>
        <v>50.843832591878559</v>
      </c>
      <c r="AB100" s="58">
        <f t="shared" si="117"/>
        <v>17667163</v>
      </c>
      <c r="AC100" s="58">
        <f t="shared" si="118"/>
        <v>41547</v>
      </c>
      <c r="AD100" s="133">
        <f t="shared" ref="AD100" si="121">(S100/T100)*100</f>
        <v>51.50176010195274</v>
      </c>
    </row>
    <row r="101" spans="1:30" ht="14.1" customHeight="1" x14ac:dyDescent="0.2">
      <c r="A101" s="32" t="s">
        <v>567</v>
      </c>
      <c r="B101" s="33" t="s">
        <v>765</v>
      </c>
      <c r="C101" s="75">
        <v>9157653</v>
      </c>
      <c r="D101" s="34">
        <v>366.7</v>
      </c>
      <c r="E101" s="75">
        <v>7383</v>
      </c>
      <c r="F101" s="75">
        <v>432749</v>
      </c>
      <c r="G101" s="34">
        <v>17.3</v>
      </c>
      <c r="H101" s="34">
        <v>414</v>
      </c>
      <c r="K101" s="109">
        <v>0.96499999999999997</v>
      </c>
      <c r="L101" s="104">
        <f>F101*0.97</f>
        <v>419766.52999999997</v>
      </c>
      <c r="M101" s="131">
        <v>291</v>
      </c>
      <c r="N101" s="132">
        <f t="shared" ref="N101" si="122">(L101*M101)*0.000062</f>
        <v>7573.4277342599999</v>
      </c>
      <c r="O101" s="132">
        <f>'Price comparison poultry'!M26</f>
        <v>1386.5374619675454</v>
      </c>
      <c r="P101" s="35">
        <v>1.24</v>
      </c>
      <c r="Q101" s="58">
        <f t="shared" ref="Q101" si="123">(L101*P101)/1000</f>
        <v>520.51049720000003</v>
      </c>
      <c r="R101" s="58">
        <f>'Price comparison poultry'!M21</f>
        <v>134</v>
      </c>
      <c r="S101" s="127">
        <f t="shared" ref="S101" si="124">((N101*O101)+(Q101*R101))/1000000</f>
        <v>10.570589675680278</v>
      </c>
      <c r="T101" s="125"/>
      <c r="U101" s="123"/>
      <c r="V101" s="123"/>
      <c r="W101" s="124"/>
      <c r="X101" s="124"/>
      <c r="Y101" s="113"/>
      <c r="AA101" s="73">
        <f t="shared" si="111"/>
        <v>39.976984348895087</v>
      </c>
      <c r="AB101" s="58">
        <f t="shared" si="117"/>
        <v>8724904</v>
      </c>
      <c r="AC101" s="58">
        <f t="shared" si="118"/>
        <v>6969</v>
      </c>
      <c r="AD101" s="133">
        <f t="shared" ref="AD101" si="125">(S101/V99)*100</f>
        <v>0.65665650812304466</v>
      </c>
    </row>
    <row r="102" spans="1:30" ht="14.1" customHeight="1" x14ac:dyDescent="0.2">
      <c r="A102" s="32" t="s">
        <v>568</v>
      </c>
      <c r="B102" s="33" t="s">
        <v>767</v>
      </c>
      <c r="C102" s="75">
        <v>48105777</v>
      </c>
      <c r="D102" s="34">
        <v>2116.6999999999998</v>
      </c>
      <c r="E102" s="75">
        <v>14000</v>
      </c>
      <c r="F102" s="75">
        <v>113727118</v>
      </c>
      <c r="G102" s="34">
        <v>4895.3</v>
      </c>
      <c r="H102" s="34">
        <v>38464</v>
      </c>
      <c r="I102" s="61">
        <f>(E99+E100+E101+E102)/(D99+D100+D101+D102)*1000</f>
        <v>29496.226267269074</v>
      </c>
      <c r="J102" s="61">
        <f>(H99+H100+H101+H102)/(G99+G100+G101+G102)*1000</f>
        <v>13581.674076937947</v>
      </c>
      <c r="K102" s="109">
        <v>0.96499999999999997</v>
      </c>
      <c r="L102" s="104">
        <f>F102*0.965</f>
        <v>109746668.86999999</v>
      </c>
      <c r="M102" s="79">
        <v>1.64</v>
      </c>
      <c r="N102" s="58">
        <f t="shared" ref="N102:N106" si="126">(L102*M102)/1000</f>
        <v>179984.53694679996</v>
      </c>
      <c r="O102" s="58">
        <f>'Price comparison poultry'!M20</f>
        <v>864</v>
      </c>
      <c r="P102" s="35"/>
      <c r="Q102" s="35"/>
      <c r="S102" s="127">
        <f t="shared" ref="S102:S105" si="127">(N102*O102)/1000000</f>
        <v>155.50663992203516</v>
      </c>
      <c r="T102" s="125"/>
      <c r="U102" s="123"/>
      <c r="V102" s="123"/>
      <c r="W102" s="124"/>
      <c r="X102" s="124"/>
      <c r="Y102" s="113"/>
      <c r="AA102" s="73">
        <f t="shared" si="111"/>
        <v>43.044263198509967</v>
      </c>
      <c r="AB102" s="58">
        <f t="shared" si="117"/>
        <v>-65621341</v>
      </c>
      <c r="AC102" s="58">
        <f t="shared" si="118"/>
        <v>-24464</v>
      </c>
      <c r="AD102" s="133">
        <f t="shared" ref="AD102" si="128">S102/T100*100</f>
        <v>9.6516136400319574</v>
      </c>
    </row>
    <row r="103" spans="1:30" ht="14.1" customHeight="1" x14ac:dyDescent="0.2">
      <c r="A103" s="32" t="s">
        <v>569</v>
      </c>
      <c r="B103" s="33" t="s">
        <v>570</v>
      </c>
      <c r="C103" s="75">
        <v>24803526</v>
      </c>
      <c r="D103" s="34">
        <v>1693</v>
      </c>
      <c r="E103" s="75">
        <v>42505</v>
      </c>
      <c r="F103" s="75">
        <v>673100</v>
      </c>
      <c r="G103" s="34">
        <v>38.6</v>
      </c>
      <c r="H103" s="34">
        <v>4279</v>
      </c>
      <c r="I103" s="36">
        <f>(E103/D103)*1000</f>
        <v>25106.320141760189</v>
      </c>
      <c r="J103" s="36">
        <f>(H103/G103)*1000</f>
        <v>110854.92227979275</v>
      </c>
      <c r="K103" s="109">
        <v>0.96499999999999997</v>
      </c>
      <c r="L103" s="104">
        <f>F103*0.965</f>
        <v>649541.5</v>
      </c>
      <c r="M103" s="79">
        <v>13.25</v>
      </c>
      <c r="N103" s="58">
        <f t="shared" si="126"/>
        <v>8606.4248750000006</v>
      </c>
      <c r="O103" s="58">
        <f>'Price comparison poultry'!M26</f>
        <v>1386.5374619675454</v>
      </c>
      <c r="P103" s="35"/>
      <c r="Q103" s="35"/>
      <c r="S103" s="127">
        <f t="shared" si="127"/>
        <v>11.93313050279685</v>
      </c>
      <c r="T103" s="125">
        <f>'[6]2018'!$G$1187</f>
        <v>650.79035431495311</v>
      </c>
      <c r="U103" s="123"/>
      <c r="V103" s="123"/>
      <c r="W103" s="124"/>
      <c r="X103" s="124">
        <f t="shared" ref="X103:X105" si="129">(S103/T103)*100</f>
        <v>1.8336366579000885</v>
      </c>
      <c r="Y103" s="113"/>
      <c r="AA103" s="73">
        <f t="shared" si="111"/>
        <v>57.346605259248257</v>
      </c>
      <c r="AB103" s="58">
        <f t="shared" si="117"/>
        <v>24130426</v>
      </c>
      <c r="AC103" s="58">
        <f t="shared" si="118"/>
        <v>38226</v>
      </c>
      <c r="AD103" s="90"/>
    </row>
    <row r="104" spans="1:30" ht="14.1" customHeight="1" x14ac:dyDescent="0.2">
      <c r="A104" s="32" t="s">
        <v>571</v>
      </c>
      <c r="B104" s="33" t="s">
        <v>572</v>
      </c>
      <c r="C104" s="75">
        <v>1292264</v>
      </c>
      <c r="D104" s="34">
        <v>83.3</v>
      </c>
      <c r="E104" s="75">
        <v>3640</v>
      </c>
      <c r="F104" s="75">
        <v>1967211</v>
      </c>
      <c r="G104" s="34">
        <v>110.3</v>
      </c>
      <c r="H104" s="34">
        <v>2376</v>
      </c>
      <c r="I104" s="36">
        <f>(E104/D104)*1000</f>
        <v>43697.478991596639</v>
      </c>
      <c r="J104" s="36">
        <f>(H104/G104)*1000</f>
        <v>21541.251133272894</v>
      </c>
      <c r="K104" s="109">
        <v>0.96499999999999997</v>
      </c>
      <c r="L104" s="104">
        <f>F104*0.965</f>
        <v>1898358.615</v>
      </c>
      <c r="M104" s="79">
        <v>2.1800000000000002</v>
      </c>
      <c r="N104" s="58">
        <f t="shared" si="126"/>
        <v>4138.4217807000005</v>
      </c>
      <c r="O104" s="58">
        <f>'Price comparison poultry'!M24</f>
        <v>9229.1747479049754</v>
      </c>
      <c r="P104" s="35"/>
      <c r="Q104" s="35"/>
      <c r="S104" s="127">
        <f t="shared" si="127"/>
        <v>38.194217794616385</v>
      </c>
      <c r="T104" s="125">
        <f>'[6]2018'!$G$1252</f>
        <v>502.17599992702702</v>
      </c>
      <c r="U104" s="123"/>
      <c r="V104" s="123"/>
      <c r="W104" s="124"/>
      <c r="X104" s="124">
        <f t="shared" si="129"/>
        <v>7.6057433649092188</v>
      </c>
      <c r="Y104" s="113"/>
      <c r="AA104" s="73">
        <f t="shared" si="111"/>
        <v>56.069226941085631</v>
      </c>
      <c r="AB104" s="58">
        <f t="shared" si="117"/>
        <v>-674947</v>
      </c>
      <c r="AC104" s="58">
        <f t="shared" si="118"/>
        <v>1264</v>
      </c>
      <c r="AD104" s="90"/>
    </row>
    <row r="105" spans="1:30" ht="14.1" customHeight="1" x14ac:dyDescent="0.2">
      <c r="A105" s="32" t="s">
        <v>573</v>
      </c>
      <c r="B105" s="33" t="s">
        <v>574</v>
      </c>
      <c r="C105" s="75">
        <v>1400</v>
      </c>
      <c r="D105" s="34">
        <v>0.2</v>
      </c>
      <c r="E105" s="75">
        <v>8</v>
      </c>
      <c r="F105" s="75">
        <v>1064</v>
      </c>
      <c r="G105" s="34">
        <v>0.1</v>
      </c>
      <c r="H105" s="34">
        <v>2</v>
      </c>
      <c r="I105" s="36">
        <f>(E105/D105)*1000</f>
        <v>40000</v>
      </c>
      <c r="J105" s="36">
        <f>(H105/G105)*1000</f>
        <v>20000</v>
      </c>
      <c r="K105" s="109">
        <v>0.96499999999999997</v>
      </c>
      <c r="L105" s="104">
        <f>F105*0.965</f>
        <v>1026.76</v>
      </c>
      <c r="M105" s="79">
        <v>4.93</v>
      </c>
      <c r="N105" s="58">
        <f t="shared" si="126"/>
        <v>5.0619267999999993</v>
      </c>
      <c r="O105" s="58">
        <f>'Price comparison poultry'!M23</f>
        <v>8352.4993314498424</v>
      </c>
      <c r="P105" s="35"/>
      <c r="Q105" s="35"/>
      <c r="S105" s="127">
        <f t="shared" si="127"/>
        <v>4.2279740212848034E-2</v>
      </c>
      <c r="T105" s="125">
        <f>'[6]2018'!$G$1215</f>
        <v>54.943070685415734</v>
      </c>
      <c r="U105" s="123"/>
      <c r="V105" s="123"/>
      <c r="W105" s="124"/>
      <c r="X105" s="124">
        <f t="shared" si="129"/>
        <v>7.6951906192004857E-2</v>
      </c>
      <c r="Y105" s="113"/>
      <c r="AA105" s="73">
        <f t="shared" si="111"/>
        <v>93.984962406015043</v>
      </c>
      <c r="AB105" s="58">
        <f t="shared" si="117"/>
        <v>336</v>
      </c>
      <c r="AC105" s="58">
        <f t="shared" si="118"/>
        <v>6</v>
      </c>
      <c r="AD105" s="90"/>
    </row>
    <row r="106" spans="1:30" ht="14.1" customHeight="1" x14ac:dyDescent="0.2">
      <c r="A106" s="161" t="s">
        <v>575</v>
      </c>
      <c r="B106" s="162" t="s">
        <v>576</v>
      </c>
      <c r="C106" s="163"/>
      <c r="D106" s="164"/>
      <c r="E106" s="163"/>
      <c r="F106" s="163">
        <v>23470</v>
      </c>
      <c r="G106" s="164">
        <v>0.9</v>
      </c>
      <c r="H106" s="164">
        <v>15</v>
      </c>
      <c r="I106" s="165">
        <v>0</v>
      </c>
      <c r="J106" s="166">
        <f>(H106/G106)*1000</f>
        <v>16666.666666666668</v>
      </c>
      <c r="K106" s="109">
        <v>0.96499999999999997</v>
      </c>
      <c r="L106" s="104">
        <f>F106*0.965</f>
        <v>22648.55</v>
      </c>
      <c r="M106" s="79">
        <v>1.52</v>
      </c>
      <c r="N106" s="58">
        <f t="shared" si="126"/>
        <v>34.425796000000005</v>
      </c>
      <c r="P106" s="35"/>
      <c r="Q106" s="35"/>
      <c r="S106" s="127"/>
      <c r="T106" s="125"/>
      <c r="U106" s="123"/>
      <c r="V106" s="123"/>
      <c r="W106" s="124"/>
      <c r="X106" s="124"/>
      <c r="Y106" s="113"/>
      <c r="AA106" s="73">
        <f t="shared" si="111"/>
        <v>38.346825734980825</v>
      </c>
      <c r="AB106" s="58">
        <f t="shared" si="117"/>
        <v>-23470</v>
      </c>
      <c r="AC106" s="58">
        <f t="shared" si="118"/>
        <v>-15</v>
      </c>
      <c r="AD106" s="90"/>
    </row>
    <row r="107" spans="1:30" ht="14.1" customHeight="1" x14ac:dyDescent="0.2">
      <c r="A107" s="32"/>
      <c r="B107" s="59" t="s">
        <v>817</v>
      </c>
      <c r="C107" s="60">
        <f>SUM(C99:C106)</f>
        <v>112606925</v>
      </c>
      <c r="D107" s="60">
        <f t="shared" ref="D107:H107" si="130">SUM(D99:D106)</f>
        <v>5605.6</v>
      </c>
      <c r="E107" s="60">
        <f t="shared" si="130"/>
        <v>159097</v>
      </c>
      <c r="F107" s="60">
        <f t="shared" si="130"/>
        <v>121944122</v>
      </c>
      <c r="G107" s="60">
        <f t="shared" si="130"/>
        <v>5322.9000000000005</v>
      </c>
      <c r="H107" s="60">
        <f t="shared" si="130"/>
        <v>76930</v>
      </c>
      <c r="I107" s="61">
        <f>(E107/D107)*1000</f>
        <v>28381.796774653914</v>
      </c>
      <c r="J107" s="61">
        <f>(H107/G107)*1000</f>
        <v>14452.647992635591</v>
      </c>
      <c r="K107" s="108"/>
      <c r="L107" s="103"/>
      <c r="M107" s="79">
        <v>2.21</v>
      </c>
      <c r="N107" s="79"/>
      <c r="P107" s="35"/>
      <c r="Q107" s="35"/>
      <c r="S107" s="127">
        <f t="shared" ref="S107" si="131">SUM(S99:S106)</f>
        <v>2172.965837656785</v>
      </c>
      <c r="T107" s="125">
        <f>'[6]2018'!$G$1275</f>
        <v>2829.3764086351621</v>
      </c>
      <c r="U107" s="123"/>
      <c r="V107" s="123"/>
      <c r="W107" s="124"/>
      <c r="X107" s="173">
        <f t="shared" ref="X107" si="132">(((S100+S102+S103+S104+S105+((Q99*R99/1000000)+(Q101*R101/1000000))))/T107)*100</f>
        <v>36.86244622933993</v>
      </c>
      <c r="Y107" s="174" t="s">
        <v>625</v>
      </c>
      <c r="AA107" s="73">
        <f t="shared" si="111"/>
        <v>43.650320431188973</v>
      </c>
      <c r="AB107" s="58">
        <f t="shared" si="117"/>
        <v>-9337197</v>
      </c>
      <c r="AC107" s="58">
        <f t="shared" si="118"/>
        <v>82167</v>
      </c>
      <c r="AD107" s="90"/>
    </row>
    <row r="108" spans="1:30" x14ac:dyDescent="0.2">
      <c r="A108" s="32"/>
      <c r="B108" s="38"/>
      <c r="C108" s="75"/>
      <c r="D108" s="34"/>
      <c r="E108" s="75"/>
      <c r="F108" s="75"/>
      <c r="G108" s="34"/>
      <c r="H108" s="34"/>
      <c r="I108" s="36"/>
      <c r="J108" s="36"/>
      <c r="K108" s="107"/>
      <c r="L108" s="103"/>
      <c r="M108" s="79"/>
      <c r="N108" s="79"/>
      <c r="P108" s="35"/>
      <c r="Q108" s="35"/>
      <c r="S108" s="127"/>
      <c r="T108" s="126"/>
      <c r="U108" s="121"/>
      <c r="V108" s="121"/>
      <c r="W108" s="122"/>
      <c r="X108" s="122"/>
      <c r="Y108" s="113"/>
      <c r="AA108" s="73" t="e">
        <f t="shared" si="111"/>
        <v>#DIV/0!</v>
      </c>
      <c r="AB108" s="58">
        <f>F108-C108</f>
        <v>0</v>
      </c>
      <c r="AC108" s="58">
        <f>H108-E108</f>
        <v>0</v>
      </c>
      <c r="AD108" s="90"/>
    </row>
    <row r="109" spans="1:30" ht="33.75" customHeight="1" x14ac:dyDescent="0.2">
      <c r="A109" s="175" t="s">
        <v>626</v>
      </c>
      <c r="B109" s="176"/>
      <c r="C109" s="177"/>
      <c r="D109" s="176"/>
      <c r="E109" s="176"/>
      <c r="F109" s="177"/>
      <c r="G109" s="176"/>
      <c r="H109" s="176"/>
      <c r="K109" s="106"/>
      <c r="L109" s="103"/>
      <c r="M109" s="79"/>
      <c r="N109" s="79"/>
      <c r="P109" s="35"/>
      <c r="S109" s="127"/>
      <c r="T109" s="126" t="s">
        <v>627</v>
      </c>
      <c r="U109" s="121" t="s">
        <v>628</v>
      </c>
      <c r="V109" s="121" t="s">
        <v>629</v>
      </c>
      <c r="W109" s="122" t="s">
        <v>630</v>
      </c>
      <c r="X109" s="122" t="s">
        <v>631</v>
      </c>
      <c r="Y109" s="118"/>
      <c r="AA109" s="73" t="e">
        <f t="shared" si="111"/>
        <v>#DIV/0!</v>
      </c>
      <c r="AD109" s="130"/>
    </row>
    <row r="110" spans="1:30" ht="14.1" customHeight="1" x14ac:dyDescent="0.2">
      <c r="A110" s="32" t="s">
        <v>564</v>
      </c>
      <c r="B110" s="33" t="s">
        <v>669</v>
      </c>
      <c r="C110" s="75">
        <v>2979901</v>
      </c>
      <c r="D110" s="34">
        <v>119.5</v>
      </c>
      <c r="E110" s="75">
        <v>9747</v>
      </c>
      <c r="F110" s="75">
        <v>386335</v>
      </c>
      <c r="G110" s="34">
        <v>19.399999999999999</v>
      </c>
      <c r="H110" s="34">
        <v>1565</v>
      </c>
      <c r="K110" s="106">
        <v>103</v>
      </c>
      <c r="L110" s="104">
        <f>F110*103</f>
        <v>39792505</v>
      </c>
      <c r="M110" s="131">
        <v>290.39999999999998</v>
      </c>
      <c r="N110" s="132">
        <f t="shared" ref="N110" si="133">(L110*M110)*0.000062</f>
        <v>716456.09402399999</v>
      </c>
      <c r="O110" s="132">
        <f>'Price comparison poultry'!N26</f>
        <v>1592.9996877501394</v>
      </c>
      <c r="P110" s="35">
        <v>1.23</v>
      </c>
      <c r="Q110" s="58">
        <f t="shared" ref="Q110" si="134">(L110*P110)/1000</f>
        <v>48944.781149999995</v>
      </c>
      <c r="R110" s="58">
        <f>'Price comparison poultry'!N21</f>
        <v>137</v>
      </c>
      <c r="S110" s="127">
        <f t="shared" ref="S110" si="135">((N110*O110)+(Q110*R110))/1000000</f>
        <v>1148.0197690844664</v>
      </c>
      <c r="T110" s="125">
        <f>'[6]2019'!$G$1103</f>
        <v>8.6684409056460208</v>
      </c>
      <c r="U110" s="155">
        <f>'[6]2019'!$G$1420</f>
        <v>1491.7556950063151</v>
      </c>
      <c r="V110" s="123">
        <f>T110+U110</f>
        <v>1500.4241359119612</v>
      </c>
      <c r="W110" s="168">
        <f t="shared" ref="W110" si="136">(((N110*O110)+(N112*O112))/(U110*1000000))*100</f>
        <v>78.350207782246798</v>
      </c>
      <c r="X110" s="124">
        <f t="shared" ref="X110" si="137">(((Q110*R110)+(Q112*R112)+(N111*O111)+(N113*O113))/((T111*1000000)+(T110*1000000))*100)</f>
        <v>61.111221134180397</v>
      </c>
      <c r="Y110" s="113" t="s">
        <v>632</v>
      </c>
      <c r="AA110" s="73">
        <f t="shared" si="111"/>
        <v>50.215486559592065</v>
      </c>
      <c r="AB110" s="58">
        <f t="shared" ref="AB110:AB118" si="138">C110-F110</f>
        <v>2593566</v>
      </c>
      <c r="AC110" s="58">
        <f t="shared" ref="AC110:AC118" si="139">E110-H110</f>
        <v>8182</v>
      </c>
      <c r="AD110" s="133">
        <f t="shared" ref="AD110" si="140">(S110/V110)*100</f>
        <v>76.513016660232353</v>
      </c>
    </row>
    <row r="111" spans="1:30" ht="14.1" customHeight="1" x14ac:dyDescent="0.2">
      <c r="A111" s="32" t="s">
        <v>566</v>
      </c>
      <c r="B111" s="33" t="s">
        <v>763</v>
      </c>
      <c r="C111" s="75">
        <v>23257501</v>
      </c>
      <c r="D111" s="34">
        <v>1108.8</v>
      </c>
      <c r="E111" s="75">
        <v>74783</v>
      </c>
      <c r="F111" s="75">
        <v>4830273</v>
      </c>
      <c r="G111" s="34">
        <v>249.9</v>
      </c>
      <c r="H111" s="34">
        <v>32761</v>
      </c>
      <c r="K111" s="106">
        <v>125</v>
      </c>
      <c r="L111" s="104">
        <f>F111*125</f>
        <v>603784125</v>
      </c>
      <c r="M111" s="79">
        <v>1.67</v>
      </c>
      <c r="N111" s="58">
        <f>(L111*M111)/1000</f>
        <v>1008319.48875</v>
      </c>
      <c r="O111" s="58">
        <f>'Price comparison poultry'!N20</f>
        <v>838</v>
      </c>
      <c r="P111" s="35"/>
      <c r="Q111" s="58"/>
      <c r="S111" s="127">
        <f t="shared" ref="S111" si="141">(N111*O111)/1000000</f>
        <v>844.97173157249995</v>
      </c>
      <c r="T111" s="125">
        <f>'[6]2019'!$G$1131</f>
        <v>1595.3171372369461</v>
      </c>
      <c r="U111" s="123"/>
      <c r="V111" s="123"/>
      <c r="W111" s="124"/>
      <c r="X111" s="124"/>
      <c r="Y111" s="113"/>
      <c r="AA111" s="73">
        <f t="shared" si="111"/>
        <v>51.736206214431355</v>
      </c>
      <c r="AB111" s="58">
        <f t="shared" si="138"/>
        <v>18427228</v>
      </c>
      <c r="AC111" s="58">
        <f t="shared" si="139"/>
        <v>42022</v>
      </c>
      <c r="AD111" s="133">
        <f t="shared" ref="AD111" si="142">(S111/T111)*100</f>
        <v>52.96575281802415</v>
      </c>
    </row>
    <row r="112" spans="1:30" ht="14.1" customHeight="1" x14ac:dyDescent="0.2">
      <c r="A112" s="32" t="s">
        <v>567</v>
      </c>
      <c r="B112" s="33" t="s">
        <v>765</v>
      </c>
      <c r="C112" s="75">
        <v>9248101</v>
      </c>
      <c r="D112" s="34">
        <v>372.6</v>
      </c>
      <c r="E112" s="75">
        <v>6676</v>
      </c>
      <c r="F112" s="75">
        <v>987713</v>
      </c>
      <c r="G112" s="34">
        <v>40.200000000000003</v>
      </c>
      <c r="H112" s="34">
        <v>969</v>
      </c>
      <c r="K112" s="109">
        <v>0.96499999999999997</v>
      </c>
      <c r="L112" s="104">
        <f>F112*0.97</f>
        <v>958081.61</v>
      </c>
      <c r="M112" s="131">
        <v>290.39999999999998</v>
      </c>
      <c r="N112" s="132">
        <f t="shared" ref="N112" si="143">(L112*M112)*0.000062</f>
        <v>17250.067771727998</v>
      </c>
      <c r="O112" s="132">
        <f>'Price comparison poultry'!N26</f>
        <v>1592.9996877501394</v>
      </c>
      <c r="P112" s="35">
        <v>1.23</v>
      </c>
      <c r="Q112" s="58">
        <f t="shared" ref="Q112" si="144">(L112*P112)/1000</f>
        <v>1178.4403803</v>
      </c>
      <c r="R112" s="58">
        <f>'Price comparison poultry'!N21</f>
        <v>137</v>
      </c>
      <c r="S112" s="127">
        <f t="shared" ref="S112" si="145">((N112*O112)+(Q112*R112))/1000000</f>
        <v>27.640798906132542</v>
      </c>
      <c r="T112" s="125"/>
      <c r="U112" s="123"/>
      <c r="V112" s="123"/>
      <c r="W112" s="124"/>
      <c r="X112" s="124"/>
      <c r="Y112" s="113"/>
      <c r="AA112" s="73">
        <f t="shared" si="111"/>
        <v>40.700081906383737</v>
      </c>
      <c r="AB112" s="58">
        <f t="shared" si="138"/>
        <v>8260388</v>
      </c>
      <c r="AC112" s="58">
        <f t="shared" si="139"/>
        <v>5707</v>
      </c>
      <c r="AD112" s="133">
        <f t="shared" ref="AD112" si="146">(S112/V110)*100</f>
        <v>1.8421990318978974</v>
      </c>
    </row>
    <row r="113" spans="1:30" ht="14.1" customHeight="1" x14ac:dyDescent="0.2">
      <c r="A113" s="32" t="s">
        <v>568</v>
      </c>
      <c r="B113" s="33" t="s">
        <v>767</v>
      </c>
      <c r="C113" s="75">
        <v>50922998</v>
      </c>
      <c r="D113" s="34">
        <v>2268.4</v>
      </c>
      <c r="E113" s="75">
        <v>15352</v>
      </c>
      <c r="F113" s="75">
        <v>95060027</v>
      </c>
      <c r="G113" s="34">
        <v>3905.2</v>
      </c>
      <c r="H113" s="34">
        <v>33262</v>
      </c>
      <c r="I113" s="61">
        <f>(E110+E111+E112+E113)/(D110+D111+D112+D113)*1000</f>
        <v>27539.348202517249</v>
      </c>
      <c r="J113" s="61">
        <f>(H110+H111+H112+H113)/(G110+G111+G112+G113)*1000</f>
        <v>16266.163665266806</v>
      </c>
      <c r="K113" s="109">
        <v>0.96499999999999997</v>
      </c>
      <c r="L113" s="104">
        <f>F113*0.965</f>
        <v>91732926.054999992</v>
      </c>
      <c r="M113" s="79">
        <v>1.67</v>
      </c>
      <c r="N113" s="58">
        <f t="shared" ref="N113:N117" si="147">(L113*M113)/1000</f>
        <v>153193.98651184997</v>
      </c>
      <c r="O113" s="58">
        <f>'Price comparison poultry'!N20</f>
        <v>838</v>
      </c>
      <c r="P113" s="35"/>
      <c r="Q113" s="35"/>
      <c r="S113" s="127">
        <f t="shared" ref="S113:S116" si="148">(N113*O113)/1000000</f>
        <v>128.37656069693028</v>
      </c>
      <c r="T113" s="125"/>
      <c r="U113" s="123"/>
      <c r="V113" s="123"/>
      <c r="W113" s="124"/>
      <c r="X113" s="124"/>
      <c r="Y113" s="113"/>
      <c r="AA113" s="73">
        <f t="shared" si="111"/>
        <v>41.081410591225691</v>
      </c>
      <c r="AB113" s="58">
        <f t="shared" si="138"/>
        <v>-44137029</v>
      </c>
      <c r="AC113" s="58">
        <f t="shared" si="139"/>
        <v>-17910</v>
      </c>
      <c r="AD113" s="133">
        <f t="shared" ref="AD113" si="149">S113/T111*100</f>
        <v>8.0470871715999781</v>
      </c>
    </row>
    <row r="114" spans="1:30" ht="14.1" customHeight="1" x14ac:dyDescent="0.2">
      <c r="A114" s="32" t="s">
        <v>569</v>
      </c>
      <c r="B114" s="33" t="s">
        <v>570</v>
      </c>
      <c r="C114" s="75">
        <v>24623220</v>
      </c>
      <c r="D114" s="34">
        <v>1658.8</v>
      </c>
      <c r="E114" s="75">
        <v>40968</v>
      </c>
      <c r="F114" s="75">
        <v>548646</v>
      </c>
      <c r="G114" s="34">
        <v>31.3</v>
      </c>
      <c r="H114" s="34">
        <v>3398</v>
      </c>
      <c r="I114" s="36">
        <f>(E114/D114)*1000</f>
        <v>24697.371593923319</v>
      </c>
      <c r="J114" s="36">
        <f>(H114/G114)*1000</f>
        <v>108562.30031948882</v>
      </c>
      <c r="K114" s="109">
        <v>0.96499999999999997</v>
      </c>
      <c r="L114" s="104">
        <f>F114*0.965</f>
        <v>529443.39</v>
      </c>
      <c r="M114" s="79">
        <v>13.75</v>
      </c>
      <c r="N114" s="58">
        <f t="shared" si="147"/>
        <v>7279.8466124999995</v>
      </c>
      <c r="O114" s="58">
        <f>'Price comparison poultry'!N22</f>
        <v>1292.5</v>
      </c>
      <c r="P114" s="35"/>
      <c r="Q114" s="35"/>
      <c r="S114" s="127">
        <f t="shared" si="148"/>
        <v>9.409201746656251</v>
      </c>
      <c r="T114" s="125">
        <f>'[6]2019'!$G$1187</f>
        <v>841.4755149664004</v>
      </c>
      <c r="U114" s="123"/>
      <c r="V114" s="123"/>
      <c r="W114" s="124"/>
      <c r="X114" s="124">
        <f t="shared" ref="X114:X116" si="150">(S114/T114)*100</f>
        <v>1.118178910652196</v>
      </c>
      <c r="Y114" s="113"/>
      <c r="AA114" s="73">
        <f t="shared" si="111"/>
        <v>57.049536495299336</v>
      </c>
      <c r="AB114" s="58">
        <f t="shared" si="138"/>
        <v>24074574</v>
      </c>
      <c r="AC114" s="58">
        <f t="shared" si="139"/>
        <v>37570</v>
      </c>
      <c r="AD114" s="90"/>
    </row>
    <row r="115" spans="1:30" ht="14.1" customHeight="1" x14ac:dyDescent="0.2">
      <c r="A115" s="32" t="s">
        <v>571</v>
      </c>
      <c r="B115" s="33" t="s">
        <v>572</v>
      </c>
      <c r="C115" s="75">
        <v>1102262</v>
      </c>
      <c r="D115" s="34">
        <v>63.9</v>
      </c>
      <c r="E115" s="75">
        <v>3022</v>
      </c>
      <c r="F115" s="75">
        <v>1381462</v>
      </c>
      <c r="G115" s="34">
        <v>77.8</v>
      </c>
      <c r="H115" s="34">
        <v>2148</v>
      </c>
      <c r="I115" s="36">
        <f>(E115/D115)*1000</f>
        <v>47292.644757433496</v>
      </c>
      <c r="J115" s="36">
        <f>(H115/G115)*1000</f>
        <v>27609.254498714654</v>
      </c>
      <c r="K115" s="109">
        <v>0.96499999999999997</v>
      </c>
      <c r="L115" s="104">
        <f>F115*0.965</f>
        <v>1333110.8299999998</v>
      </c>
      <c r="M115" s="79">
        <v>2.1800000000000002</v>
      </c>
      <c r="N115" s="58">
        <f t="shared" si="147"/>
        <v>2906.1816094000001</v>
      </c>
      <c r="O115" s="58">
        <f>'Price comparison poultry'!N24</f>
        <v>8381.0341814077146</v>
      </c>
      <c r="P115" s="35"/>
      <c r="Q115" s="35"/>
      <c r="S115" s="127">
        <f t="shared" si="148"/>
        <v>24.356807405759884</v>
      </c>
      <c r="T115" s="125">
        <f>'[6]2019'!$G$1252</f>
        <v>421.37963693132133</v>
      </c>
      <c r="U115" s="123"/>
      <c r="V115" s="123"/>
      <c r="W115" s="124"/>
      <c r="X115" s="124">
        <f t="shared" si="150"/>
        <v>5.7802525967171228</v>
      </c>
      <c r="Y115" s="113"/>
      <c r="AA115" s="73">
        <f t="shared" si="111"/>
        <v>56.317148064876193</v>
      </c>
      <c r="AB115" s="58">
        <f t="shared" si="138"/>
        <v>-279200</v>
      </c>
      <c r="AC115" s="58">
        <f t="shared" si="139"/>
        <v>874</v>
      </c>
      <c r="AD115" s="90"/>
    </row>
    <row r="116" spans="1:30" ht="14.1" customHeight="1" x14ac:dyDescent="0.2">
      <c r="A116" s="32" t="s">
        <v>573</v>
      </c>
      <c r="B116" s="33" t="s">
        <v>574</v>
      </c>
      <c r="C116" s="75">
        <v>97004</v>
      </c>
      <c r="D116" s="34">
        <v>10.5</v>
      </c>
      <c r="E116" s="75">
        <v>848</v>
      </c>
      <c r="F116" s="75">
        <v>5046</v>
      </c>
      <c r="G116" s="34">
        <v>0.6</v>
      </c>
      <c r="H116" s="34">
        <v>15</v>
      </c>
      <c r="I116" s="36">
        <f>(E116/D116)*1000</f>
        <v>80761.904761904763</v>
      </c>
      <c r="J116" s="36">
        <f>(H116/G116)*1000</f>
        <v>25000</v>
      </c>
      <c r="K116" s="109">
        <v>0.96499999999999997</v>
      </c>
      <c r="L116" s="104">
        <f>F116*0.965</f>
        <v>4869.3899999999994</v>
      </c>
      <c r="M116" s="79">
        <v>4.83</v>
      </c>
      <c r="N116" s="58">
        <f t="shared" si="147"/>
        <v>23.5191537</v>
      </c>
      <c r="O116" s="58">
        <f>'Price comparison poultry'!N23</f>
        <v>7960.8456966838212</v>
      </c>
      <c r="P116" s="35"/>
      <c r="Q116" s="35"/>
      <c r="S116" s="127">
        <f t="shared" si="148"/>
        <v>0.1872323535222904</v>
      </c>
      <c r="T116" s="125">
        <f>'[6]2019'!$G$1215</f>
        <v>50.713695310909394</v>
      </c>
      <c r="U116" s="123"/>
      <c r="V116" s="123"/>
      <c r="W116" s="124"/>
      <c r="X116" s="124">
        <f t="shared" si="150"/>
        <v>0.36919485431781085</v>
      </c>
      <c r="Y116" s="113"/>
      <c r="AA116" s="73">
        <f t="shared" si="111"/>
        <v>118.90606420927467</v>
      </c>
      <c r="AB116" s="58">
        <f t="shared" si="138"/>
        <v>91958</v>
      </c>
      <c r="AC116" s="58">
        <f t="shared" si="139"/>
        <v>833</v>
      </c>
      <c r="AD116" s="90"/>
    </row>
    <row r="117" spans="1:30" ht="14.1" customHeight="1" x14ac:dyDescent="0.2">
      <c r="A117" s="161" t="s">
        <v>575</v>
      </c>
      <c r="B117" s="162" t="s">
        <v>576</v>
      </c>
      <c r="C117" s="163"/>
      <c r="D117" s="164"/>
      <c r="E117" s="163"/>
      <c r="F117" s="163">
        <v>22950</v>
      </c>
      <c r="G117" s="164">
        <v>0.9</v>
      </c>
      <c r="H117" s="164">
        <v>15</v>
      </c>
      <c r="I117" s="165">
        <v>0</v>
      </c>
      <c r="J117" s="166">
        <f>(H117/G117)*1000</f>
        <v>16666.666666666668</v>
      </c>
      <c r="K117" s="109">
        <v>0.96499999999999997</v>
      </c>
      <c r="L117" s="104">
        <f>F117*0.965</f>
        <v>22146.75</v>
      </c>
      <c r="M117" s="79">
        <v>1.66</v>
      </c>
      <c r="N117" s="58">
        <f t="shared" si="147"/>
        <v>36.763604999999998</v>
      </c>
      <c r="P117" s="35"/>
      <c r="Q117" s="35"/>
      <c r="S117" s="127"/>
      <c r="T117" s="125"/>
      <c r="U117" s="123"/>
      <c r="V117" s="123"/>
      <c r="W117" s="124"/>
      <c r="X117" s="124"/>
      <c r="Y117" s="113"/>
      <c r="AA117" s="73">
        <f t="shared" si="111"/>
        <v>39.215686274509807</v>
      </c>
      <c r="AB117" s="58">
        <f t="shared" si="138"/>
        <v>-22950</v>
      </c>
      <c r="AC117" s="58">
        <f t="shared" si="139"/>
        <v>-15</v>
      </c>
      <c r="AD117" s="90"/>
    </row>
    <row r="118" spans="1:30" ht="14.1" customHeight="1" x14ac:dyDescent="0.2">
      <c r="A118" s="32"/>
      <c r="B118" s="59" t="s">
        <v>817</v>
      </c>
      <c r="C118" s="60">
        <f>SUM(C110:C117)</f>
        <v>112230987</v>
      </c>
      <c r="D118" s="60">
        <f t="shared" ref="D118:H118" si="151">SUM(D110:D117)</f>
        <v>5602.5</v>
      </c>
      <c r="E118" s="60">
        <f t="shared" si="151"/>
        <v>151396</v>
      </c>
      <c r="F118" s="60">
        <f t="shared" si="151"/>
        <v>103222452</v>
      </c>
      <c r="G118" s="60">
        <f t="shared" si="151"/>
        <v>4325.3</v>
      </c>
      <c r="H118" s="60">
        <f t="shared" si="151"/>
        <v>74133</v>
      </c>
      <c r="I118" s="61">
        <f>(E118/D118)*1000</f>
        <v>27022.936189201249</v>
      </c>
      <c r="J118" s="61">
        <f>(H118/G118)*1000</f>
        <v>17139.389175317319</v>
      </c>
      <c r="K118" s="108"/>
      <c r="L118" s="103"/>
      <c r="M118" s="79">
        <v>2.25</v>
      </c>
      <c r="N118" s="79"/>
      <c r="P118" s="35"/>
      <c r="Q118" s="35"/>
      <c r="S118" s="127">
        <f t="shared" ref="S118" si="152">SUM(S110:S117)</f>
        <v>2182.9621017659674</v>
      </c>
      <c r="T118" s="125">
        <f>'[6]2019'!$G$1275</f>
        <v>2917.5544253512235</v>
      </c>
      <c r="U118" s="123"/>
      <c r="V118" s="123"/>
      <c r="W118" s="124"/>
      <c r="X118" s="173">
        <f t="shared" ref="X118" si="153">(((S111+S113+S114+S115+S116+((Q110*R110/1000000)+(Q112*R112/1000000))))/T118)*100</f>
        <v>34.76090818778578</v>
      </c>
      <c r="Y118" s="174" t="s">
        <v>633</v>
      </c>
      <c r="AA118" s="73">
        <f t="shared" si="111"/>
        <v>41.902705430791357</v>
      </c>
      <c r="AB118" s="58">
        <f t="shared" si="138"/>
        <v>9008535</v>
      </c>
      <c r="AC118" s="58">
        <f t="shared" si="139"/>
        <v>77263</v>
      </c>
      <c r="AD118" s="90"/>
    </row>
    <row r="119" spans="1:30" x14ac:dyDescent="0.2">
      <c r="A119" s="32"/>
      <c r="B119" s="38"/>
      <c r="C119" s="75"/>
      <c r="D119" s="34"/>
      <c r="E119" s="75"/>
      <c r="F119" s="75"/>
      <c r="G119" s="34"/>
      <c r="H119" s="34"/>
      <c r="I119" s="36"/>
      <c r="J119" s="36"/>
      <c r="K119" s="107"/>
      <c r="L119" s="103"/>
      <c r="N119" s="79"/>
      <c r="P119" s="35"/>
      <c r="Q119" s="35"/>
      <c r="S119" s="127"/>
      <c r="T119" s="126"/>
      <c r="U119" s="121"/>
      <c r="V119" s="121"/>
      <c r="W119" s="122"/>
      <c r="X119" s="122"/>
      <c r="Y119" s="113"/>
      <c r="AA119" s="73" t="e">
        <f t="shared" si="111"/>
        <v>#DIV/0!</v>
      </c>
      <c r="AB119" s="58">
        <f>F119-C119</f>
        <v>0</v>
      </c>
      <c r="AC119" s="58">
        <f>H119-E119</f>
        <v>0</v>
      </c>
      <c r="AD119" s="90"/>
    </row>
    <row r="120" spans="1:30" ht="33.75" customHeight="1" x14ac:dyDescent="0.2">
      <c r="A120" s="175" t="s">
        <v>634</v>
      </c>
      <c r="B120" s="176"/>
      <c r="C120" s="177"/>
      <c r="D120" s="176"/>
      <c r="E120" s="176"/>
      <c r="F120" s="177"/>
      <c r="G120" s="176"/>
      <c r="H120" s="176"/>
      <c r="K120" s="106"/>
      <c r="L120" s="103"/>
      <c r="M120" s="79"/>
      <c r="N120" s="79"/>
      <c r="P120" s="35"/>
      <c r="S120" s="127"/>
      <c r="T120" s="126" t="s">
        <v>635</v>
      </c>
      <c r="U120" s="121" t="s">
        <v>636</v>
      </c>
      <c r="V120" s="121" t="s">
        <v>637</v>
      </c>
      <c r="W120" s="122" t="s">
        <v>638</v>
      </c>
      <c r="X120" s="122" t="s">
        <v>639</v>
      </c>
      <c r="Y120" s="118"/>
      <c r="AA120" s="73" t="e">
        <f t="shared" si="111"/>
        <v>#DIV/0!</v>
      </c>
      <c r="AD120" s="130"/>
    </row>
    <row r="121" spans="1:30" ht="14.1" customHeight="1" x14ac:dyDescent="0.2">
      <c r="A121" s="32" t="s">
        <v>564</v>
      </c>
      <c r="B121" s="33" t="s">
        <v>669</v>
      </c>
      <c r="C121" s="75">
        <v>567030</v>
      </c>
      <c r="D121" s="34">
        <v>22.7</v>
      </c>
      <c r="E121" s="75">
        <v>2108</v>
      </c>
      <c r="F121" s="75">
        <v>358869</v>
      </c>
      <c r="G121" s="34">
        <v>20.9</v>
      </c>
      <c r="H121" s="34">
        <v>1486</v>
      </c>
      <c r="K121" s="106">
        <v>103</v>
      </c>
      <c r="L121" s="104">
        <f>F121*103</f>
        <v>36963507</v>
      </c>
      <c r="M121" s="131">
        <v>293.10000000000002</v>
      </c>
      <c r="N121" s="132">
        <f t="shared" ref="N121" si="154">(L121*M121)*0.000062</f>
        <v>671708.24190540006</v>
      </c>
      <c r="O121" s="153">
        <f>'Price comparison poultry'!O26</f>
        <v>1496.2390390044566</v>
      </c>
      <c r="P121" s="35">
        <v>1.23</v>
      </c>
      <c r="Q121" s="58">
        <f t="shared" ref="Q121" si="155">(L121*P121)/1000</f>
        <v>45465.11361</v>
      </c>
      <c r="R121" s="58">
        <f>'Price comparison poultry'!O21</f>
        <v>142.75000000000003</v>
      </c>
      <c r="S121" s="127">
        <f t="shared" ref="S121" si="156">((N121*O121)+(Q121*R121))/1000000</f>
        <v>1011.5262393277363</v>
      </c>
      <c r="T121" s="125">
        <f>'[6]2020'!$W$1103</f>
        <v>10.575770308908647</v>
      </c>
      <c r="U121" s="155">
        <f>'[6]2020'!$W$1420</f>
        <v>1446.0531987344336</v>
      </c>
      <c r="V121" s="123">
        <f>T121+U121</f>
        <v>1456.6289690433423</v>
      </c>
      <c r="W121" s="168">
        <f t="shared" ref="W121" si="157">(((N121*O121)+(N123*O123))/(U121*1000000))*100</f>
        <v>73.892626115811254</v>
      </c>
      <c r="X121" s="124">
        <f t="shared" ref="X121" si="158">(((Q121*R121)+(Q123*R123)+(N122*O122)+(N124*O124))/((T122*1000000)+(T121*1000000))*100)</f>
        <v>73.056407080875218</v>
      </c>
      <c r="Y121" s="113" t="s">
        <v>640</v>
      </c>
      <c r="AA121" s="73">
        <f t="shared" si="111"/>
        <v>58.23852157751157</v>
      </c>
      <c r="AB121" s="58">
        <f t="shared" ref="AB121:AB129" si="159">C121-F121</f>
        <v>208161</v>
      </c>
      <c r="AC121" s="58">
        <f t="shared" ref="AC121:AC129" si="160">E121-H121</f>
        <v>622</v>
      </c>
      <c r="AD121" s="133">
        <f t="shared" ref="AD121" si="161">(S121/V121)*100</f>
        <v>69.44295773494521</v>
      </c>
    </row>
    <row r="122" spans="1:30" ht="14.1" customHeight="1" x14ac:dyDescent="0.2">
      <c r="A122" s="32" t="s">
        <v>566</v>
      </c>
      <c r="B122" s="33" t="s">
        <v>763</v>
      </c>
      <c r="C122" s="75">
        <v>21703613</v>
      </c>
      <c r="D122" s="34">
        <v>1018.1</v>
      </c>
      <c r="E122" s="75">
        <v>73693</v>
      </c>
      <c r="F122" s="75">
        <v>5513520</v>
      </c>
      <c r="G122" s="34">
        <v>303.5</v>
      </c>
      <c r="H122" s="34">
        <v>36716</v>
      </c>
      <c r="K122" s="106">
        <v>125</v>
      </c>
      <c r="L122" s="104">
        <f>F122*125</f>
        <v>689190000</v>
      </c>
      <c r="M122" s="79">
        <v>1.71</v>
      </c>
      <c r="N122" s="58">
        <f>(L122*M122)/1000</f>
        <v>1178514.8999999999</v>
      </c>
      <c r="O122" s="58">
        <f>'Price comparison poultry'!O20</f>
        <v>796.75</v>
      </c>
      <c r="P122" s="35"/>
      <c r="Q122" s="58"/>
      <c r="S122" s="127">
        <f t="shared" ref="S122" si="162">(N122*O122)/1000000</f>
        <v>938.98174657499987</v>
      </c>
      <c r="T122" s="125">
        <f>'[6]2020'!$W$1131</f>
        <v>1465.5849277524485</v>
      </c>
      <c r="U122" s="123"/>
      <c r="V122" s="123"/>
      <c r="W122" s="124"/>
      <c r="X122" s="124"/>
      <c r="Y122" s="113"/>
      <c r="AA122" s="73">
        <f t="shared" si="111"/>
        <v>55.046503866858195</v>
      </c>
      <c r="AB122" s="58">
        <f t="shared" si="159"/>
        <v>16190093</v>
      </c>
      <c r="AC122" s="58">
        <f t="shared" si="160"/>
        <v>36977</v>
      </c>
      <c r="AD122" s="133">
        <f t="shared" ref="AD122" si="163">(S122/T122)*100</f>
        <v>64.068736570249655</v>
      </c>
    </row>
    <row r="123" spans="1:30" ht="14.1" customHeight="1" x14ac:dyDescent="0.2">
      <c r="A123" s="32" t="s">
        <v>567</v>
      </c>
      <c r="B123" s="33" t="s">
        <v>765</v>
      </c>
      <c r="C123" s="75">
        <v>9204444</v>
      </c>
      <c r="D123" s="34">
        <v>367.2</v>
      </c>
      <c r="E123" s="75">
        <v>6150</v>
      </c>
      <c r="F123" s="171">
        <v>2407294</v>
      </c>
      <c r="G123" s="34">
        <v>99.8</v>
      </c>
      <c r="H123" s="34">
        <v>2115</v>
      </c>
      <c r="K123" s="109">
        <v>0.96499999999999997</v>
      </c>
      <c r="L123" s="104">
        <f>F123*0.97</f>
        <v>2335075.1800000002</v>
      </c>
      <c r="M123" s="131">
        <v>293.10000000000002</v>
      </c>
      <c r="N123" s="132">
        <f t="shared" ref="N123" si="164">(L123*M123)*0.000062</f>
        <v>42433.453185996012</v>
      </c>
      <c r="O123" s="132">
        <f>'Price comparison poultry'!O26</f>
        <v>1496.2390390044566</v>
      </c>
      <c r="P123" s="35">
        <v>1.23</v>
      </c>
      <c r="Q123" s="58">
        <f t="shared" ref="Q123" si="165">(L123*P123)/1000</f>
        <v>2872.1424714</v>
      </c>
      <c r="R123" s="58">
        <f>'Price comparison poultry'!O21</f>
        <v>142.75000000000003</v>
      </c>
      <c r="S123" s="127">
        <f t="shared" ref="S123" si="166">((N123*O123)+(Q123*R123))/1000000</f>
        <v>63.900587554447618</v>
      </c>
      <c r="T123" s="125"/>
      <c r="U123" s="123"/>
      <c r="V123" s="123"/>
      <c r="W123" s="124"/>
      <c r="X123" s="124"/>
      <c r="Y123" s="113"/>
      <c r="AA123" s="73">
        <f t="shared" si="111"/>
        <v>41.457337574886992</v>
      </c>
      <c r="AB123" s="58">
        <f t="shared" si="159"/>
        <v>6797150</v>
      </c>
      <c r="AC123" s="58">
        <f t="shared" si="160"/>
        <v>4035</v>
      </c>
      <c r="AD123" s="133">
        <f t="shared" ref="AD123" si="167">(S123/V121)*100</f>
        <v>4.3868815540868349</v>
      </c>
    </row>
    <row r="124" spans="1:30" ht="14.1" customHeight="1" x14ac:dyDescent="0.2">
      <c r="A124" s="32" t="s">
        <v>568</v>
      </c>
      <c r="B124" s="33" t="s">
        <v>767</v>
      </c>
      <c r="C124" s="75">
        <v>45471315</v>
      </c>
      <c r="D124" s="34">
        <v>2010.8</v>
      </c>
      <c r="E124" s="75">
        <v>13132</v>
      </c>
      <c r="F124" s="75">
        <v>100815647</v>
      </c>
      <c r="G124" s="34">
        <v>4132.3</v>
      </c>
      <c r="H124" s="34">
        <v>34962</v>
      </c>
      <c r="I124" s="61">
        <f>(E121+E122+E123+E124)/(D121+D122+D123+D124)*1000</f>
        <v>27811.80531180531</v>
      </c>
      <c r="J124" s="61">
        <f>(H121+H122+H123+H124)/(G121+G122+G123+G124)*1000</f>
        <v>16521.233402831123</v>
      </c>
      <c r="K124" s="109">
        <v>0.96499999999999997</v>
      </c>
      <c r="L124" s="104">
        <f>F124*0.965</f>
        <v>97287099.355000004</v>
      </c>
      <c r="M124" s="79">
        <v>1.71</v>
      </c>
      <c r="N124" s="58">
        <f t="shared" ref="N124:N128" si="168">(L124*M124)/1000</f>
        <v>166360.93989705</v>
      </c>
      <c r="O124" s="58">
        <f>'Price comparison poultry'!O20</f>
        <v>796.75</v>
      </c>
      <c r="P124" s="35"/>
      <c r="Q124" s="35"/>
      <c r="S124" s="127">
        <f t="shared" ref="S124:S127" si="169">(N124*O124)/1000000</f>
        <v>132.54807886297459</v>
      </c>
      <c r="T124" s="125"/>
      <c r="U124" s="123"/>
      <c r="V124" s="123"/>
      <c r="W124" s="124"/>
      <c r="X124" s="124"/>
      <c r="Y124" s="113"/>
      <c r="AA124" s="73">
        <f t="shared" si="111"/>
        <v>40.988677085016377</v>
      </c>
      <c r="AB124" s="58">
        <f t="shared" si="159"/>
        <v>-55344332</v>
      </c>
      <c r="AC124" s="58">
        <f t="shared" si="160"/>
        <v>-21830</v>
      </c>
      <c r="AD124" s="133">
        <f t="shared" ref="AD124" si="170">S124/T122*100</f>
        <v>9.044039437976755</v>
      </c>
    </row>
    <row r="125" spans="1:30" ht="14.1" customHeight="1" x14ac:dyDescent="0.2">
      <c r="A125" s="32" t="s">
        <v>569</v>
      </c>
      <c r="B125" s="33" t="s">
        <v>570</v>
      </c>
      <c r="C125" s="75">
        <v>24980893</v>
      </c>
      <c r="D125" s="34">
        <v>1685.5</v>
      </c>
      <c r="E125" s="75">
        <v>39749</v>
      </c>
      <c r="F125" s="75">
        <v>577804</v>
      </c>
      <c r="G125" s="34">
        <v>33.700000000000003</v>
      </c>
      <c r="H125" s="34">
        <v>3102</v>
      </c>
      <c r="I125" s="36">
        <f>(E125/D125)*1000</f>
        <v>23582.913082171461</v>
      </c>
      <c r="J125" s="36">
        <f>(H125/G125)*1000</f>
        <v>92047.477744807111</v>
      </c>
      <c r="K125" s="109">
        <v>0.96499999999999997</v>
      </c>
      <c r="L125" s="104">
        <f>F125*0.965</f>
        <v>557580.86</v>
      </c>
      <c r="M125" s="79">
        <v>13.66</v>
      </c>
      <c r="N125" s="58">
        <f t="shared" si="168"/>
        <v>7616.5545475999998</v>
      </c>
      <c r="O125" s="58">
        <f>'Price comparison poultry'!O22</f>
        <v>1266.625</v>
      </c>
      <c r="P125" s="35"/>
      <c r="Q125" s="35"/>
      <c r="S125" s="127">
        <f t="shared" si="169"/>
        <v>9.6473184038538502</v>
      </c>
      <c r="T125" s="125">
        <f>'[6]2020'!$W$1187</f>
        <v>843.79264142975921</v>
      </c>
      <c r="U125" s="123"/>
      <c r="V125" s="123"/>
      <c r="W125" s="124"/>
      <c r="X125" s="124">
        <f t="shared" ref="X125:X127" si="171">(S125/T125)*100</f>
        <v>1.1433281033959968</v>
      </c>
      <c r="Y125" s="113"/>
      <c r="AA125" s="73">
        <f t="shared" si="111"/>
        <v>58.324276052086866</v>
      </c>
      <c r="AB125" s="58">
        <f t="shared" si="159"/>
        <v>24403089</v>
      </c>
      <c r="AC125" s="58">
        <f t="shared" si="160"/>
        <v>36647</v>
      </c>
      <c r="AD125" s="90"/>
    </row>
    <row r="126" spans="1:30" ht="14.1" customHeight="1" x14ac:dyDescent="0.2">
      <c r="A126" s="32" t="s">
        <v>571</v>
      </c>
      <c r="B126" s="33" t="s">
        <v>572</v>
      </c>
      <c r="C126" s="75">
        <v>1231879</v>
      </c>
      <c r="D126" s="34">
        <v>67.8</v>
      </c>
      <c r="E126" s="75">
        <v>2972</v>
      </c>
      <c r="F126" s="75">
        <v>650884</v>
      </c>
      <c r="G126" s="34">
        <v>37.6</v>
      </c>
      <c r="H126" s="34">
        <v>1134</v>
      </c>
      <c r="I126" s="36">
        <f>(E126/D126)*1000</f>
        <v>43834.808259587022</v>
      </c>
      <c r="J126" s="36">
        <f>(H126/G126)*1000</f>
        <v>30159.574468085106</v>
      </c>
      <c r="K126" s="109">
        <v>0.96499999999999997</v>
      </c>
      <c r="L126" s="104">
        <f>F126*0.965</f>
        <v>628103.05999999994</v>
      </c>
      <c r="M126" s="79">
        <v>2.2000000000000002</v>
      </c>
      <c r="N126" s="58">
        <f t="shared" si="168"/>
        <v>1381.826732</v>
      </c>
      <c r="O126" s="58">
        <f>'Price comparison poultry'!O24</f>
        <v>9336.6809508905335</v>
      </c>
      <c r="P126" s="35"/>
      <c r="Q126" s="35"/>
      <c r="S126" s="127">
        <f t="shared" si="169"/>
        <v>12.901675326095718</v>
      </c>
      <c r="T126" s="125">
        <f>'[6]2020'!$W$1252</f>
        <v>366.72548639931426</v>
      </c>
      <c r="U126" s="123"/>
      <c r="V126" s="123"/>
      <c r="W126" s="124"/>
      <c r="X126" s="124">
        <f t="shared" si="171"/>
        <v>3.5180743647709138</v>
      </c>
      <c r="Y126" s="113"/>
      <c r="AA126" s="73">
        <f t="shared" si="111"/>
        <v>57.7675899238574</v>
      </c>
      <c r="AB126" s="58">
        <f t="shared" si="159"/>
        <v>580995</v>
      </c>
      <c r="AC126" s="58">
        <f t="shared" si="160"/>
        <v>1838</v>
      </c>
      <c r="AD126" s="90"/>
    </row>
    <row r="127" spans="1:30" ht="14.1" customHeight="1" x14ac:dyDescent="0.2">
      <c r="A127" s="32" t="s">
        <v>573</v>
      </c>
      <c r="B127" s="33" t="s">
        <v>574</v>
      </c>
      <c r="C127" s="75">
        <v>1760</v>
      </c>
      <c r="D127" s="34">
        <v>0.2</v>
      </c>
      <c r="E127" s="75">
        <v>19</v>
      </c>
      <c r="F127" s="75">
        <v>3820</v>
      </c>
      <c r="G127" s="34">
        <v>0.5</v>
      </c>
      <c r="H127" s="34">
        <v>9</v>
      </c>
      <c r="I127" s="36">
        <f>(E127/D127)*1000</f>
        <v>95000</v>
      </c>
      <c r="J127" s="36">
        <f>(H127/G127)*1000</f>
        <v>18000</v>
      </c>
      <c r="K127" s="109">
        <v>0.96499999999999997</v>
      </c>
      <c r="L127" s="104">
        <f>F127*0.965</f>
        <v>3686.2999999999997</v>
      </c>
      <c r="M127" s="79">
        <v>4.8</v>
      </c>
      <c r="N127" s="58">
        <f t="shared" si="168"/>
        <v>17.694239999999997</v>
      </c>
      <c r="O127" s="58">
        <f>'Price comparison poultry'!O23</f>
        <v>8841.7851275692301</v>
      </c>
      <c r="P127" s="35"/>
      <c r="Q127" s="35"/>
      <c r="S127" s="127">
        <f t="shared" si="169"/>
        <v>0.15644866807564053</v>
      </c>
      <c r="T127" s="125">
        <f>'[6]2020'!$W$1215</f>
        <v>56.277219518659692</v>
      </c>
      <c r="U127" s="123"/>
      <c r="V127" s="123"/>
      <c r="W127" s="124"/>
      <c r="X127" s="124">
        <f t="shared" si="171"/>
        <v>0.27799644227939735</v>
      </c>
      <c r="Y127" s="113"/>
      <c r="AA127" s="73">
        <f t="shared" si="111"/>
        <v>130.89005235602093</v>
      </c>
      <c r="AB127" s="58">
        <f t="shared" si="159"/>
        <v>-2060</v>
      </c>
      <c r="AC127" s="58">
        <f t="shared" si="160"/>
        <v>10</v>
      </c>
      <c r="AD127" s="90"/>
    </row>
    <row r="128" spans="1:30" ht="14.1" customHeight="1" x14ac:dyDescent="0.2">
      <c r="A128" s="161" t="s">
        <v>575</v>
      </c>
      <c r="B128" s="162" t="s">
        <v>576</v>
      </c>
      <c r="C128" s="163"/>
      <c r="D128" s="164"/>
      <c r="E128" s="163"/>
      <c r="F128" s="163">
        <v>20340</v>
      </c>
      <c r="G128" s="164">
        <v>0.8</v>
      </c>
      <c r="H128" s="164">
        <v>13</v>
      </c>
      <c r="I128" s="165">
        <v>0</v>
      </c>
      <c r="J128" s="166">
        <f>(H128/G128)*1000</f>
        <v>16250</v>
      </c>
      <c r="K128" s="109">
        <v>0.96499999999999997</v>
      </c>
      <c r="L128" s="104">
        <f>F128*0.965</f>
        <v>19628.099999999999</v>
      </c>
      <c r="M128" s="79">
        <v>1.7</v>
      </c>
      <c r="N128" s="58">
        <f t="shared" si="168"/>
        <v>33.36777</v>
      </c>
      <c r="P128" s="35"/>
      <c r="Q128" s="35"/>
      <c r="S128" s="127"/>
      <c r="T128" s="125"/>
      <c r="U128" s="123"/>
      <c r="V128" s="123"/>
      <c r="W128" s="124"/>
      <c r="X128" s="124"/>
      <c r="Y128" s="113"/>
      <c r="AA128" s="73">
        <f t="shared" si="111"/>
        <v>39.331366764995082</v>
      </c>
      <c r="AB128" s="58">
        <f t="shared" si="159"/>
        <v>-20340</v>
      </c>
      <c r="AC128" s="58">
        <f t="shared" si="160"/>
        <v>-13</v>
      </c>
      <c r="AD128" s="90"/>
    </row>
    <row r="129" spans="1:30" ht="14.1" customHeight="1" x14ac:dyDescent="0.2">
      <c r="A129" s="32"/>
      <c r="B129" s="59" t="s">
        <v>817</v>
      </c>
      <c r="C129" s="60">
        <f>SUM(C121:C128)</f>
        <v>103160934</v>
      </c>
      <c r="D129" s="60">
        <f t="shared" ref="D129:H129" si="172">SUM(D121:D128)</f>
        <v>5172.3</v>
      </c>
      <c r="E129" s="60">
        <f t="shared" si="172"/>
        <v>137823</v>
      </c>
      <c r="F129" s="60">
        <f t="shared" si="172"/>
        <v>110348178</v>
      </c>
      <c r="G129" s="60">
        <f t="shared" si="172"/>
        <v>4629.1000000000004</v>
      </c>
      <c r="H129" s="60">
        <f t="shared" si="172"/>
        <v>79537</v>
      </c>
      <c r="I129" s="61">
        <f>(E129/D129)*1000</f>
        <v>26646.36622005684</v>
      </c>
      <c r="J129" s="61">
        <f>(H129/G129)*1000</f>
        <v>17181.957615951262</v>
      </c>
      <c r="K129" s="108"/>
      <c r="L129" s="103"/>
      <c r="M129" s="79">
        <v>2.29</v>
      </c>
      <c r="N129" s="79"/>
      <c r="P129" s="35"/>
      <c r="Q129" s="35"/>
      <c r="S129" s="127">
        <f t="shared" ref="S129" si="173">SUM(S121:S128)</f>
        <v>2169.6620947181832</v>
      </c>
      <c r="T129" s="125">
        <f>'[6]2020'!$W$1275</f>
        <v>2742.9560454090902</v>
      </c>
      <c r="U129" s="123"/>
      <c r="V129" s="123"/>
      <c r="W129" s="124"/>
      <c r="X129" s="173">
        <f t="shared" ref="X129" si="174">(((S122+S124+S125+S126+S127+((Q121*R121/1000000)+(Q123*R123/1000000))))/T129)*100</f>
        <v>40.144114339148807</v>
      </c>
      <c r="Y129" s="174" t="s">
        <v>641</v>
      </c>
      <c r="AA129" s="73">
        <f t="shared" ref="AA129:AA162" si="175">(G129*1000000)/F129</f>
        <v>41.949945018575654</v>
      </c>
      <c r="AB129" s="58">
        <f t="shared" si="159"/>
        <v>-7187244</v>
      </c>
      <c r="AC129" s="58">
        <f t="shared" si="160"/>
        <v>58286</v>
      </c>
      <c r="AD129" s="90"/>
    </row>
    <row r="130" spans="1:30" x14ac:dyDescent="0.2">
      <c r="A130" s="32"/>
      <c r="B130" s="38"/>
      <c r="C130" s="75"/>
      <c r="D130" s="34"/>
      <c r="E130" s="75"/>
      <c r="F130" s="75"/>
      <c r="G130" s="34"/>
      <c r="H130" s="34"/>
      <c r="I130" s="36"/>
      <c r="J130" s="36"/>
      <c r="K130" s="107"/>
      <c r="L130" s="103"/>
      <c r="N130" s="79"/>
      <c r="P130" s="35"/>
      <c r="Q130" s="35"/>
      <c r="S130" s="127"/>
      <c r="T130" s="126"/>
      <c r="U130" s="121"/>
      <c r="V130" s="121"/>
      <c r="W130" s="122"/>
      <c r="X130" s="122"/>
      <c r="Y130" s="113"/>
      <c r="AA130" s="73" t="e">
        <f t="shared" si="175"/>
        <v>#DIV/0!</v>
      </c>
      <c r="AB130" s="58">
        <f>F130-C130</f>
        <v>0</v>
      </c>
      <c r="AC130" s="58">
        <f>H130-E130</f>
        <v>0</v>
      </c>
      <c r="AD130" s="90"/>
    </row>
    <row r="131" spans="1:30" ht="33.75" customHeight="1" x14ac:dyDescent="0.2">
      <c r="A131" s="175" t="s">
        <v>642</v>
      </c>
      <c r="B131" s="176"/>
      <c r="C131" s="177"/>
      <c r="D131" s="176"/>
      <c r="E131" s="176"/>
      <c r="F131" s="177"/>
      <c r="G131" s="176"/>
      <c r="H131" s="176"/>
      <c r="K131" s="106"/>
      <c r="L131" s="103"/>
      <c r="M131" s="79"/>
      <c r="N131" s="79"/>
      <c r="P131" s="35"/>
      <c r="S131" s="127"/>
      <c r="T131" s="126" t="s">
        <v>643</v>
      </c>
      <c r="U131" s="121" t="s">
        <v>644</v>
      </c>
      <c r="V131" s="121" t="s">
        <v>645</v>
      </c>
      <c r="W131" s="122" t="s">
        <v>646</v>
      </c>
      <c r="X131" s="122" t="s">
        <v>647</v>
      </c>
      <c r="Y131" s="118"/>
      <c r="AA131" s="73" t="e">
        <f t="shared" si="175"/>
        <v>#DIV/0!</v>
      </c>
      <c r="AD131" s="130"/>
    </row>
    <row r="132" spans="1:30" ht="14.1" customHeight="1" x14ac:dyDescent="0.2">
      <c r="A132" s="32" t="s">
        <v>564</v>
      </c>
      <c r="B132" s="33" t="s">
        <v>669</v>
      </c>
      <c r="C132" s="75">
        <v>217092</v>
      </c>
      <c r="D132" s="34">
        <v>8.6999999999999993</v>
      </c>
      <c r="E132" s="75">
        <v>562</v>
      </c>
      <c r="F132" s="75">
        <v>924099</v>
      </c>
      <c r="G132" s="34">
        <v>45.5</v>
      </c>
      <c r="H132" s="34">
        <v>2400</v>
      </c>
      <c r="K132" s="106">
        <v>103</v>
      </c>
      <c r="L132" s="104">
        <f>F132*103</f>
        <v>95182197</v>
      </c>
      <c r="M132" s="131">
        <v>294</v>
      </c>
      <c r="N132" s="132">
        <f t="shared" ref="N132" si="176">(L132*M132)*0.000062</f>
        <v>1734981.0869160001</v>
      </c>
      <c r="O132" s="153">
        <f>'Price comparison poultry'!P26</f>
        <v>1247.8588755799883</v>
      </c>
      <c r="P132" s="35">
        <v>1.2</v>
      </c>
      <c r="Q132" s="58">
        <f t="shared" ref="Q132" si="177">(L132*P132)/1000</f>
        <v>114218.63639999999</v>
      </c>
      <c r="R132" s="58">
        <f>'Price comparison poultry'!P21</f>
        <v>197.50000000000003</v>
      </c>
      <c r="S132" s="158">
        <f t="shared" ref="S132" si="178">((N132*O132)+(Q132*R132))/1000000</f>
        <v>2187.5697289605459</v>
      </c>
      <c r="T132" s="125">
        <f>'[6]2021'!$W$1103</f>
        <v>14.665609496178446</v>
      </c>
      <c r="U132" s="155">
        <f>'[6]2021'!$W$1420</f>
        <v>1460.8469462539242</v>
      </c>
      <c r="V132" s="123">
        <f>U132+T132</f>
        <v>1475.5125557501026</v>
      </c>
      <c r="W132" s="159">
        <f t="shared" ref="W132" si="179">(((N132*O132)+(N134*O134))/(U132*1000000))*100</f>
        <v>150.78883438303177</v>
      </c>
      <c r="X132" s="124">
        <f t="shared" ref="X132" si="180">(((Q132*R132)+(Q134*R134)+(N133*O133)+(N135*O135))/((T133*1000000)+(T132*1000000))*100)</f>
        <v>76.718357023134985</v>
      </c>
      <c r="Y132" s="113" t="s">
        <v>648</v>
      </c>
      <c r="AA132" s="73">
        <f t="shared" si="175"/>
        <v>49.237148833620637</v>
      </c>
      <c r="AB132" s="58">
        <f t="shared" ref="AB132:AB140" si="181">C132-F132</f>
        <v>-707007</v>
      </c>
      <c r="AC132" s="58">
        <f t="shared" ref="AC132:AC140" si="182">E132-H132</f>
        <v>-1838</v>
      </c>
      <c r="AD132" s="133">
        <f t="shared" ref="AD132" si="183">(S132/V132)*100</f>
        <v>148.25829305454178</v>
      </c>
    </row>
    <row r="133" spans="1:30" ht="14.1" customHeight="1" x14ac:dyDescent="0.2">
      <c r="A133" s="32" t="s">
        <v>566</v>
      </c>
      <c r="B133" s="33" t="s">
        <v>763</v>
      </c>
      <c r="C133" s="75">
        <v>20811699</v>
      </c>
      <c r="D133" s="34">
        <v>982.5</v>
      </c>
      <c r="E133" s="75">
        <v>74552</v>
      </c>
      <c r="F133" s="75">
        <v>5447807</v>
      </c>
      <c r="G133" s="34">
        <v>285</v>
      </c>
      <c r="H133" s="34">
        <v>36109</v>
      </c>
      <c r="K133" s="106">
        <v>125</v>
      </c>
      <c r="L133" s="104">
        <f>F133*125</f>
        <v>680975875</v>
      </c>
      <c r="M133" s="79">
        <v>1.73</v>
      </c>
      <c r="N133" s="58">
        <f>(L133*M133)/1000</f>
        <v>1178088.2637499999</v>
      </c>
      <c r="O133" s="58">
        <f>'Price comparison poultry'!P20</f>
        <v>899.41923251678531</v>
      </c>
      <c r="P133" s="35"/>
      <c r="Q133" s="58"/>
      <c r="S133" s="127">
        <f t="shared" ref="S133" si="184">(N133*O133)/1000000</f>
        <v>1059.595242019057</v>
      </c>
      <c r="T133" s="125">
        <f>'[6]2021'!$W$1131</f>
        <v>1573.3561862899346</v>
      </c>
      <c r="U133" s="123"/>
      <c r="V133" s="123"/>
      <c r="W133" s="124"/>
      <c r="X133" s="124"/>
      <c r="Y133" s="113"/>
      <c r="AA133" s="73">
        <f t="shared" si="175"/>
        <v>52.314628620287024</v>
      </c>
      <c r="AB133" s="58">
        <f t="shared" si="181"/>
        <v>15363892</v>
      </c>
      <c r="AC133" s="58">
        <f t="shared" si="182"/>
        <v>38443</v>
      </c>
      <c r="AD133" s="133">
        <f t="shared" ref="AD133" si="185">(S133/T133)*100</f>
        <v>67.346176997444189</v>
      </c>
    </row>
    <row r="134" spans="1:30" ht="14.1" customHeight="1" x14ac:dyDescent="0.2">
      <c r="A134" s="32" t="s">
        <v>567</v>
      </c>
      <c r="B134" s="33" t="s">
        <v>765</v>
      </c>
      <c r="C134" s="75">
        <v>4560386</v>
      </c>
      <c r="D134" s="34">
        <v>182.8</v>
      </c>
      <c r="E134" s="75">
        <v>3224</v>
      </c>
      <c r="F134" s="75">
        <v>1712438</v>
      </c>
      <c r="G134" s="34">
        <v>70.599999999999994</v>
      </c>
      <c r="H134" s="34">
        <v>1161</v>
      </c>
      <c r="K134" s="109">
        <v>0.96499999999999997</v>
      </c>
      <c r="L134" s="104">
        <f>F134*0.97</f>
        <v>1661064.8599999999</v>
      </c>
      <c r="M134" s="131">
        <v>294</v>
      </c>
      <c r="N134" s="132">
        <f t="shared" ref="N134" si="186">(L134*M134)*0.000062</f>
        <v>30277.890268079998</v>
      </c>
      <c r="O134" s="153">
        <f>'Price comparison poultry'!P26</f>
        <v>1247.8588755799883</v>
      </c>
      <c r="P134" s="35">
        <v>1.2</v>
      </c>
      <c r="Q134" s="58">
        <f t="shared" ref="Q134" si="187">(L134*P134)/1000</f>
        <v>1993.2778319999998</v>
      </c>
      <c r="R134" s="58">
        <f>'Price comparison poultry'!P21</f>
        <v>197.50000000000003</v>
      </c>
      <c r="S134" s="127">
        <f t="shared" ref="S134" si="188">((N134*O134)+(Q134*R134))/1000000</f>
        <v>38.176206476680576</v>
      </c>
      <c r="T134" s="125"/>
      <c r="U134" s="121"/>
      <c r="V134" s="123"/>
      <c r="W134" s="124"/>
      <c r="X134" s="124"/>
      <c r="Y134" s="113"/>
      <c r="AA134" s="73">
        <f t="shared" si="175"/>
        <v>41.227769998096278</v>
      </c>
      <c r="AB134" s="58">
        <f t="shared" si="181"/>
        <v>2847948</v>
      </c>
      <c r="AC134" s="58">
        <f t="shared" si="182"/>
        <v>2063</v>
      </c>
      <c r="AD134" s="133">
        <f t="shared" ref="AD134" si="189">(S134/V132)*100</f>
        <v>2.587318306977946</v>
      </c>
    </row>
    <row r="135" spans="1:30" ht="14.1" customHeight="1" x14ac:dyDescent="0.2">
      <c r="A135" s="32" t="s">
        <v>568</v>
      </c>
      <c r="B135" s="33" t="s">
        <v>767</v>
      </c>
      <c r="C135" s="75">
        <v>69062326</v>
      </c>
      <c r="D135" s="34">
        <v>3131</v>
      </c>
      <c r="E135" s="75">
        <v>21296</v>
      </c>
      <c r="F135" s="75">
        <v>90412209</v>
      </c>
      <c r="G135" s="34">
        <v>3669.5</v>
      </c>
      <c r="H135" s="34">
        <v>31244</v>
      </c>
      <c r="I135" s="61">
        <f>(E132+E133+E134+E135)/(D132+D133+D134+D135)*1000</f>
        <v>23143.786295005808</v>
      </c>
      <c r="J135" s="61">
        <f>(H132+H133+H134+H135)/(G132+G133+G134+G135)*1000</f>
        <v>17421.019014395912</v>
      </c>
      <c r="K135" s="109">
        <v>0.96499999999999997</v>
      </c>
      <c r="L135" s="104">
        <f>F135*0.965</f>
        <v>87247781.685000002</v>
      </c>
      <c r="M135" s="79">
        <v>1.73</v>
      </c>
      <c r="N135" s="58">
        <f t="shared" ref="N135:N139" si="190">(L135*M135)/1000</f>
        <v>150938.66231504999</v>
      </c>
      <c r="O135" s="58">
        <f>'Price comparison poultry'!P20</f>
        <v>899.41923251678531</v>
      </c>
      <c r="P135" s="35"/>
      <c r="Q135" s="35"/>
      <c r="S135" s="127">
        <f t="shared" ref="S135:S138" si="191">(N135*O135)/1000000</f>
        <v>135.75713581651249</v>
      </c>
      <c r="T135" s="126"/>
      <c r="U135" s="123"/>
      <c r="V135" s="123"/>
      <c r="W135" s="124"/>
      <c r="X135" s="124"/>
      <c r="Y135" s="113"/>
      <c r="AA135" s="73">
        <f t="shared" si="175"/>
        <v>40.586332759550203</v>
      </c>
      <c r="AB135" s="58">
        <f t="shared" si="181"/>
        <v>-21349883</v>
      </c>
      <c r="AC135" s="58">
        <f t="shared" si="182"/>
        <v>-9948</v>
      </c>
      <c r="AD135" s="133">
        <f t="shared" ref="AD135" si="192">S135/T133*100</f>
        <v>8.6285061831190113</v>
      </c>
    </row>
    <row r="136" spans="1:30" ht="14.1" customHeight="1" x14ac:dyDescent="0.2">
      <c r="A136" s="32" t="s">
        <v>569</v>
      </c>
      <c r="B136" s="33" t="s">
        <v>570</v>
      </c>
      <c r="C136" s="75">
        <v>20063070</v>
      </c>
      <c r="D136" s="34">
        <v>1358.8</v>
      </c>
      <c r="E136" s="75">
        <v>31082</v>
      </c>
      <c r="F136" s="75">
        <v>315536</v>
      </c>
      <c r="G136" s="34">
        <v>18.399999999999999</v>
      </c>
      <c r="H136" s="34">
        <v>814</v>
      </c>
      <c r="I136" s="36">
        <f>(E136/D136)*1000</f>
        <v>22874.595231086252</v>
      </c>
      <c r="J136" s="36">
        <f>(H136/G136)*1000</f>
        <v>44239.130434782608</v>
      </c>
      <c r="K136" s="109">
        <v>0.96499999999999997</v>
      </c>
      <c r="L136" s="104">
        <f>F136*0.965</f>
        <v>304492.24</v>
      </c>
      <c r="M136" s="79">
        <v>13.31</v>
      </c>
      <c r="N136" s="58">
        <f t="shared" si="190"/>
        <v>4052.7917143999998</v>
      </c>
      <c r="O136" s="98">
        <f>'Price comparison poultry'!P26</f>
        <v>1247.8588755799883</v>
      </c>
      <c r="P136" s="35"/>
      <c r="Q136" s="35"/>
      <c r="S136" s="127">
        <f t="shared" si="191"/>
        <v>5.0573121116910773</v>
      </c>
      <c r="T136" s="125">
        <f>'[6]2021'!$W$1187</f>
        <v>762.65147883301404</v>
      </c>
      <c r="U136" s="123"/>
      <c r="V136" s="123"/>
      <c r="W136" s="124"/>
      <c r="X136" s="124">
        <f t="shared" ref="X136:X138" si="193">(S136/T136)*100</f>
        <v>0.66312231104955321</v>
      </c>
      <c r="Y136" s="113"/>
      <c r="AA136" s="73">
        <f t="shared" si="175"/>
        <v>58.313472947619289</v>
      </c>
      <c r="AB136" s="58">
        <f t="shared" si="181"/>
        <v>19747534</v>
      </c>
      <c r="AC136" s="58">
        <f t="shared" si="182"/>
        <v>30268</v>
      </c>
      <c r="AD136" s="90"/>
    </row>
    <row r="137" spans="1:30" ht="14.1" customHeight="1" x14ac:dyDescent="0.2">
      <c r="A137" s="32" t="s">
        <v>571</v>
      </c>
      <c r="B137" s="33" t="s">
        <v>572</v>
      </c>
      <c r="C137" s="75">
        <v>805935</v>
      </c>
      <c r="D137" s="34">
        <v>52.8</v>
      </c>
      <c r="E137" s="75">
        <v>2559</v>
      </c>
      <c r="F137" s="75">
        <v>2653822</v>
      </c>
      <c r="G137" s="34">
        <v>157.6</v>
      </c>
      <c r="H137" s="34">
        <v>1801</v>
      </c>
      <c r="I137" s="36">
        <f>(E137/D137)*1000</f>
        <v>48465.909090909096</v>
      </c>
      <c r="J137" s="36">
        <f>(H137/G137)*1000</f>
        <v>11427.664974619291</v>
      </c>
      <c r="K137" s="109">
        <v>0.96499999999999997</v>
      </c>
      <c r="L137" s="104">
        <f>F137*0.965</f>
        <v>2560938.23</v>
      </c>
      <c r="M137" s="79">
        <v>2.2599999999999998</v>
      </c>
      <c r="N137" s="58">
        <f t="shared" si="190"/>
        <v>5787.7203997999995</v>
      </c>
      <c r="O137" s="112">
        <f>'Price comparison poultry'!P24</f>
        <v>10344</v>
      </c>
      <c r="P137" s="111"/>
      <c r="Q137" s="35"/>
      <c r="S137" s="127">
        <f t="shared" si="191"/>
        <v>59.868179815531192</v>
      </c>
      <c r="T137" s="125">
        <f>'[6]2021'!$W$1252</f>
        <v>312.58714008353058</v>
      </c>
      <c r="U137" s="123"/>
      <c r="V137" s="123"/>
      <c r="W137" s="124"/>
      <c r="X137" s="124">
        <f t="shared" si="193"/>
        <v>19.152476905970289</v>
      </c>
      <c r="Y137" s="113"/>
      <c r="AA137" s="73">
        <f t="shared" si="175"/>
        <v>59.386047745478031</v>
      </c>
      <c r="AB137" s="58">
        <f t="shared" si="181"/>
        <v>-1847887</v>
      </c>
      <c r="AC137" s="58">
        <f t="shared" si="182"/>
        <v>758</v>
      </c>
      <c r="AD137" s="90"/>
    </row>
    <row r="138" spans="1:30" ht="14.1" customHeight="1" x14ac:dyDescent="0.2">
      <c r="A138" s="32" t="s">
        <v>573</v>
      </c>
      <c r="B138" s="33" t="s">
        <v>574</v>
      </c>
      <c r="C138" s="75">
        <v>75805</v>
      </c>
      <c r="D138" s="34">
        <v>9.1</v>
      </c>
      <c r="E138" s="75">
        <v>443</v>
      </c>
      <c r="F138" s="75">
        <v>28638</v>
      </c>
      <c r="G138" s="34">
        <v>3.7</v>
      </c>
      <c r="H138" s="34">
        <v>105</v>
      </c>
      <c r="I138" s="36">
        <f>(E138/D138)*1000</f>
        <v>48681.318681318684</v>
      </c>
      <c r="J138" s="36">
        <f>(H138/G138)*1000</f>
        <v>28378.378378378377</v>
      </c>
      <c r="K138" s="109">
        <v>0.96499999999999997</v>
      </c>
      <c r="L138" s="104">
        <f>F138*0.965</f>
        <v>27635.67</v>
      </c>
      <c r="M138" s="79">
        <v>4.71</v>
      </c>
      <c r="N138" s="58">
        <f t="shared" si="190"/>
        <v>130.16400569999999</v>
      </c>
      <c r="O138" s="58">
        <f>'Price comparison poultry'!P23</f>
        <v>8841.7851275692283</v>
      </c>
      <c r="P138" s="35"/>
      <c r="Q138" s="35"/>
      <c r="S138" s="127">
        <f t="shared" si="191"/>
        <v>1.1508821697430962</v>
      </c>
      <c r="T138" s="125">
        <f>'[6]2021'!$W$1215</f>
        <v>52.377355215977303</v>
      </c>
      <c r="U138" s="123"/>
      <c r="V138" s="123"/>
      <c r="W138" s="124"/>
      <c r="X138" s="124">
        <f t="shared" si="193"/>
        <v>2.1972895824874117</v>
      </c>
      <c r="Y138" s="113"/>
      <c r="AA138" s="73">
        <f t="shared" si="175"/>
        <v>129.19896640826875</v>
      </c>
      <c r="AB138" s="58">
        <f t="shared" si="181"/>
        <v>47167</v>
      </c>
      <c r="AC138" s="58">
        <f t="shared" si="182"/>
        <v>338</v>
      </c>
      <c r="AD138" s="90"/>
    </row>
    <row r="139" spans="1:30" ht="14.1" customHeight="1" x14ac:dyDescent="0.2">
      <c r="A139" s="161" t="s">
        <v>575</v>
      </c>
      <c r="B139" s="162" t="s">
        <v>576</v>
      </c>
      <c r="C139" s="163"/>
      <c r="D139" s="164"/>
      <c r="E139" s="163"/>
      <c r="F139" s="163">
        <v>15096</v>
      </c>
      <c r="G139" s="164">
        <v>0.6</v>
      </c>
      <c r="H139" s="164">
        <v>10</v>
      </c>
      <c r="I139" s="165">
        <v>0</v>
      </c>
      <c r="J139" s="166">
        <f>(H139/G139)*1000</f>
        <v>16666.666666666668</v>
      </c>
      <c r="K139" s="109">
        <v>0.96499999999999997</v>
      </c>
      <c r="L139" s="104">
        <f>F139*0.965</f>
        <v>14567.64</v>
      </c>
      <c r="M139" s="79">
        <v>1.93</v>
      </c>
      <c r="N139" s="58">
        <f t="shared" si="190"/>
        <v>28.115545199999996</v>
      </c>
      <c r="P139" s="35"/>
      <c r="Q139" s="35"/>
      <c r="S139" s="127"/>
      <c r="T139" s="125"/>
      <c r="U139" s="123"/>
      <c r="V139" s="123"/>
      <c r="W139" s="124"/>
      <c r="X139" s="124"/>
      <c r="Y139" s="113"/>
      <c r="AA139" s="73">
        <f t="shared" si="175"/>
        <v>39.745627980922102</v>
      </c>
      <c r="AB139" s="58">
        <f t="shared" si="181"/>
        <v>-15096</v>
      </c>
      <c r="AC139" s="58">
        <f t="shared" si="182"/>
        <v>-10</v>
      </c>
      <c r="AD139" s="90"/>
    </row>
    <row r="140" spans="1:30" ht="14.1" customHeight="1" x14ac:dyDescent="0.2">
      <c r="A140" s="32"/>
      <c r="B140" s="59" t="s">
        <v>817</v>
      </c>
      <c r="C140" s="60">
        <f>SUM(C132:C139)</f>
        <v>115596313</v>
      </c>
      <c r="D140" s="60">
        <f t="shared" ref="D140:H140" si="194">SUM(D132:D139)</f>
        <v>5725.7000000000007</v>
      </c>
      <c r="E140" s="60">
        <f t="shared" si="194"/>
        <v>133718</v>
      </c>
      <c r="F140" s="60">
        <f t="shared" si="194"/>
        <v>101509645</v>
      </c>
      <c r="G140" s="60">
        <f t="shared" si="194"/>
        <v>4250.9000000000005</v>
      </c>
      <c r="H140" s="60">
        <f t="shared" si="194"/>
        <v>73644</v>
      </c>
      <c r="I140" s="61">
        <f>(E140/D140)*1000</f>
        <v>23354.000384232491</v>
      </c>
      <c r="J140" s="61">
        <f>(H140/G140)*1000</f>
        <v>17324.331318073819</v>
      </c>
      <c r="K140" s="108"/>
      <c r="L140" s="103"/>
      <c r="M140" s="79">
        <v>2.2599999999999998</v>
      </c>
      <c r="N140" s="79"/>
      <c r="P140" s="35"/>
      <c r="Q140" s="35"/>
      <c r="S140" s="127">
        <f t="shared" ref="S140" si="195">SUM(S132:S139)</f>
        <v>3487.1746873697607</v>
      </c>
      <c r="T140" s="125">
        <f>'[6]2021'!$W$1275</f>
        <v>2715.6377699186351</v>
      </c>
      <c r="U140" s="123"/>
      <c r="V140" s="123"/>
      <c r="W140" s="124"/>
      <c r="X140" s="173">
        <f t="shared" ref="X140" si="196">(((S133+S135+S136+S137+S138+((Q132*R132/1000000)+(Q134*R134/1000000))))/T140)*100</f>
        <v>47.295726227575521</v>
      </c>
      <c r="Y140" s="174" t="s">
        <v>649</v>
      </c>
      <c r="AA140" s="73">
        <f t="shared" si="175"/>
        <v>41.876808849050754</v>
      </c>
      <c r="AB140" s="58">
        <f t="shared" si="181"/>
        <v>14086668</v>
      </c>
      <c r="AC140" s="58">
        <f t="shared" si="182"/>
        <v>60074</v>
      </c>
      <c r="AD140" s="90"/>
    </row>
    <row r="141" spans="1:30" x14ac:dyDescent="0.2">
      <c r="A141" s="32"/>
      <c r="B141" s="38"/>
      <c r="C141" s="75"/>
      <c r="D141" s="34"/>
      <c r="E141" s="75"/>
      <c r="F141" s="75"/>
      <c r="G141" s="34"/>
      <c r="H141" s="34"/>
      <c r="I141" s="36"/>
      <c r="J141" s="36"/>
      <c r="K141" s="107"/>
      <c r="L141" s="103"/>
      <c r="M141" s="79"/>
      <c r="N141" s="79"/>
      <c r="P141" s="35"/>
      <c r="Q141" s="35"/>
      <c r="S141" s="127"/>
      <c r="T141" s="126"/>
      <c r="U141" s="121"/>
      <c r="V141" s="121"/>
      <c r="W141" s="122"/>
      <c r="X141" s="122"/>
      <c r="Y141" s="113"/>
      <c r="AA141" s="73" t="e">
        <f t="shared" si="175"/>
        <v>#DIV/0!</v>
      </c>
      <c r="AB141" s="58">
        <f>F141-C141</f>
        <v>0</v>
      </c>
      <c r="AC141" s="58">
        <f>H141-E141</f>
        <v>0</v>
      </c>
      <c r="AD141" s="90"/>
    </row>
    <row r="142" spans="1:30" ht="33.75" customHeight="1" x14ac:dyDescent="0.2">
      <c r="A142" s="175" t="s">
        <v>650</v>
      </c>
      <c r="B142" s="176"/>
      <c r="C142" s="177"/>
      <c r="D142" s="176"/>
      <c r="E142" s="176"/>
      <c r="F142" s="177"/>
      <c r="G142" s="176"/>
      <c r="H142" s="176"/>
      <c r="K142" s="106"/>
      <c r="L142" s="103"/>
      <c r="M142" s="79"/>
      <c r="N142" s="79"/>
      <c r="P142" s="35"/>
      <c r="S142" s="127"/>
      <c r="T142" s="126" t="s">
        <v>651</v>
      </c>
      <c r="U142" s="121" t="s">
        <v>652</v>
      </c>
      <c r="V142" s="121" t="s">
        <v>653</v>
      </c>
      <c r="W142" s="122" t="s">
        <v>654</v>
      </c>
      <c r="X142" s="122" t="s">
        <v>655</v>
      </c>
      <c r="Y142" s="118"/>
      <c r="AA142" s="73" t="e">
        <f t="shared" si="175"/>
        <v>#DIV/0!</v>
      </c>
      <c r="AD142" s="130"/>
    </row>
    <row r="143" spans="1:30" ht="14.1" customHeight="1" x14ac:dyDescent="0.2">
      <c r="A143" s="32" t="s">
        <v>564</v>
      </c>
      <c r="B143" s="33" t="s">
        <v>669</v>
      </c>
      <c r="C143" s="75">
        <v>1500347</v>
      </c>
      <c r="D143" s="34">
        <v>63.5</v>
      </c>
      <c r="E143" s="75">
        <v>8564</v>
      </c>
      <c r="F143" s="75">
        <v>246498</v>
      </c>
      <c r="G143" s="34">
        <v>12.6</v>
      </c>
      <c r="H143" s="34">
        <v>660</v>
      </c>
      <c r="K143" s="106">
        <v>103</v>
      </c>
      <c r="L143" s="104">
        <f>F143*103</f>
        <v>25389294</v>
      </c>
      <c r="M143" s="131">
        <v>294</v>
      </c>
      <c r="N143" s="132">
        <f t="shared" ref="N143" si="197">(L143*M143)*0.000062</f>
        <v>462796.05103200005</v>
      </c>
      <c r="O143" s="153">
        <f>'Price comparison poultry'!Q26</f>
        <v>2165.882446406632</v>
      </c>
      <c r="P143" s="35">
        <v>1.24</v>
      </c>
      <c r="Q143" s="58">
        <f t="shared" ref="Q143" si="198">(L143*P143)/1000</f>
        <v>31482.724559999999</v>
      </c>
      <c r="R143" s="58">
        <f>'Price comparison poultry'!Q21</f>
        <v>294.10514283003437</v>
      </c>
      <c r="S143" s="127">
        <f t="shared" ref="S143" si="199">((N143*O143)+(Q143*R143))/1000000</f>
        <v>1011.6210743999142</v>
      </c>
      <c r="T143" s="125">
        <f>'[6]2022'!$W$273</f>
        <v>20.234104446935902</v>
      </c>
      <c r="U143" s="155">
        <f>'[6]2022'!$W$590</f>
        <v>2142.2701513343081</v>
      </c>
      <c r="V143" s="123">
        <f>U143+T143</f>
        <v>2162.504255781244</v>
      </c>
      <c r="W143" s="168">
        <f t="shared" ref="W143" si="200">(((N143*O143)+(N145*O145))/(U143*1000000))*100</f>
        <v>53.0347792738877</v>
      </c>
      <c r="X143" s="124">
        <f t="shared" ref="X143" si="201">(((Q143*R143)+(Q145*R145)+(N144*O144)+(N146*O146))/((T144*1000000)+(T143*1000000))*100)</f>
        <v>91.778641229303602</v>
      </c>
      <c r="Y143" s="113" t="s">
        <v>656</v>
      </c>
      <c r="AA143" s="73">
        <f t="shared" si="175"/>
        <v>51.116033395808486</v>
      </c>
      <c r="AB143" s="58">
        <f t="shared" ref="AB143:AB151" si="202">C143-F143</f>
        <v>1253849</v>
      </c>
      <c r="AC143" s="58">
        <f t="shared" ref="AC143:AC151" si="203">E143-H143</f>
        <v>7904</v>
      </c>
      <c r="AD143" s="133">
        <f t="shared" ref="AD143" si="204">(S143/V143)*100</f>
        <v>46.780073227391064</v>
      </c>
    </row>
    <row r="144" spans="1:30" ht="14.1" customHeight="1" x14ac:dyDescent="0.2">
      <c r="A144" s="32" t="s">
        <v>566</v>
      </c>
      <c r="B144" s="33" t="s">
        <v>763</v>
      </c>
      <c r="C144" s="75">
        <v>20494855</v>
      </c>
      <c r="D144" s="34">
        <v>954.1</v>
      </c>
      <c r="E144" s="75">
        <v>74780</v>
      </c>
      <c r="F144" s="75">
        <v>6977770</v>
      </c>
      <c r="G144" s="34">
        <v>351.4</v>
      </c>
      <c r="H144" s="34">
        <v>45050</v>
      </c>
      <c r="K144" s="106">
        <v>125</v>
      </c>
      <c r="L144" s="156">
        <f>F144*125</f>
        <v>872221250</v>
      </c>
      <c r="M144" s="79">
        <v>1.7</v>
      </c>
      <c r="N144" s="157">
        <f>(L144*M144)/1000</f>
        <v>1482776.125</v>
      </c>
      <c r="O144" s="58">
        <f>'Price comparison poultry'!Q20</f>
        <v>1253.75</v>
      </c>
      <c r="P144" s="35"/>
      <c r="Q144" s="58"/>
      <c r="S144" s="127">
        <f t="shared" ref="S144" si="205">(N144*O144)/1000000</f>
        <v>1859.0305667187499</v>
      </c>
      <c r="T144" s="125">
        <f>'[6]2022'!$W$301</f>
        <v>2201.1835815400477</v>
      </c>
      <c r="U144" s="123"/>
      <c r="V144" s="123"/>
      <c r="W144" s="124"/>
      <c r="X144" s="124"/>
      <c r="Y144" s="113"/>
      <c r="AA144" s="73">
        <f t="shared" si="175"/>
        <v>50.359928745143506</v>
      </c>
      <c r="AB144" s="58">
        <f t="shared" si="202"/>
        <v>13517085</v>
      </c>
      <c r="AC144" s="58">
        <f t="shared" si="203"/>
        <v>29730</v>
      </c>
      <c r="AD144" s="133">
        <f t="shared" ref="AD144" si="206">(S144/T144)*100</f>
        <v>84.455952802359533</v>
      </c>
    </row>
    <row r="145" spans="1:31" ht="14.1" customHeight="1" x14ac:dyDescent="0.2">
      <c r="A145" s="32" t="s">
        <v>567</v>
      </c>
      <c r="B145" s="33" t="s">
        <v>765</v>
      </c>
      <c r="C145" s="75">
        <v>1316117</v>
      </c>
      <c r="D145" s="34">
        <v>52.6</v>
      </c>
      <c r="E145" s="75">
        <v>2180</v>
      </c>
      <c r="F145" s="96">
        <v>3493545</v>
      </c>
      <c r="G145" s="34">
        <v>141.6</v>
      </c>
      <c r="H145" s="34">
        <v>3195</v>
      </c>
      <c r="K145" s="109">
        <v>0.96499999999999997</v>
      </c>
      <c r="L145" s="104">
        <f>F145*0.97</f>
        <v>3388738.65</v>
      </c>
      <c r="M145" s="131">
        <v>294</v>
      </c>
      <c r="N145" s="132">
        <f t="shared" ref="N145" si="207">(L145*M145)*0.000062</f>
        <v>61769.928112200003</v>
      </c>
      <c r="O145" s="153">
        <f>'Price comparison poultry'!Q26</f>
        <v>2165.882446406632</v>
      </c>
      <c r="P145" s="35">
        <v>1.24</v>
      </c>
      <c r="Q145" s="58">
        <f t="shared" ref="Q145" si="208">(L145*P145)/1000</f>
        <v>4202.0359259999996</v>
      </c>
      <c r="R145" s="58">
        <f>'Price comparison poultry'!Q21</f>
        <v>294.10514283003437</v>
      </c>
      <c r="S145" s="127">
        <f t="shared" ref="S145" si="209">((N145*O145)+(Q145*R145))/1000000</f>
        <v>135.02224339020668</v>
      </c>
      <c r="T145" s="125"/>
      <c r="U145" s="121"/>
      <c r="V145" s="123"/>
      <c r="W145" s="124"/>
      <c r="X145" s="124"/>
      <c r="Y145" s="113"/>
      <c r="AA145" s="73">
        <f t="shared" si="175"/>
        <v>40.53189525253002</v>
      </c>
      <c r="AB145" s="58">
        <f t="shared" si="202"/>
        <v>-2177428</v>
      </c>
      <c r="AC145" s="58">
        <f t="shared" si="203"/>
        <v>-1015</v>
      </c>
      <c r="AD145" s="133">
        <f t="shared" ref="AD145" si="210">(S145/V143)*100</f>
        <v>6.2437908748266224</v>
      </c>
    </row>
    <row r="146" spans="1:31" ht="14.1" customHeight="1" x14ac:dyDescent="0.2">
      <c r="A146" s="32" t="s">
        <v>568</v>
      </c>
      <c r="B146" s="33" t="s">
        <v>767</v>
      </c>
      <c r="C146" s="75">
        <v>66302325</v>
      </c>
      <c r="D146" s="34">
        <v>2975.1</v>
      </c>
      <c r="E146" s="75">
        <v>22049</v>
      </c>
      <c r="F146" s="75">
        <v>82294454</v>
      </c>
      <c r="G146" s="34">
        <v>3329.3</v>
      </c>
      <c r="H146" s="34">
        <v>32549</v>
      </c>
      <c r="I146" s="61">
        <f>(E143+E144+E145+E146)/(D143+D144+D145+D146)*1000</f>
        <v>26592.094529453934</v>
      </c>
      <c r="J146" s="61">
        <f>(H143+H144+H145+H146)/(G143+G144+G145+G146)*1000</f>
        <v>21240.188792406581</v>
      </c>
      <c r="K146" s="109">
        <v>0.96499999999999997</v>
      </c>
      <c r="L146" s="104">
        <f>F146*0.965</f>
        <v>79414148.109999999</v>
      </c>
      <c r="M146" s="79">
        <v>1.7</v>
      </c>
      <c r="N146" s="58">
        <f t="shared" ref="N146:N150" si="211">(L146*M146)/1000</f>
        <v>135004.051787</v>
      </c>
      <c r="O146" s="58">
        <f>'Price comparison poultry'!Q20</f>
        <v>1253.75</v>
      </c>
      <c r="P146" s="35"/>
      <c r="Q146" s="35"/>
      <c r="S146" s="127">
        <f t="shared" ref="S146:S149" si="212">(N146*O146)/1000000</f>
        <v>169.26132992795124</v>
      </c>
      <c r="T146" s="126"/>
      <c r="U146" s="123"/>
      <c r="V146" s="123"/>
      <c r="W146" s="124"/>
      <c r="X146" s="124"/>
      <c r="Y146" s="113"/>
      <c r="AA146" s="73">
        <f t="shared" si="175"/>
        <v>40.455946156468819</v>
      </c>
      <c r="AB146" s="58">
        <f t="shared" si="202"/>
        <v>-15992129</v>
      </c>
      <c r="AC146" s="58">
        <f t="shared" si="203"/>
        <v>-10500</v>
      </c>
      <c r="AD146" s="133">
        <f t="shared" ref="AD146" si="213">S146/T144*100</f>
        <v>7.6895598962049476</v>
      </c>
    </row>
    <row r="147" spans="1:31" ht="14.1" customHeight="1" x14ac:dyDescent="0.2">
      <c r="A147" s="32" t="s">
        <v>569</v>
      </c>
      <c r="B147" s="33" t="s">
        <v>570</v>
      </c>
      <c r="C147" s="75">
        <v>17877275</v>
      </c>
      <c r="D147" s="34">
        <v>1214.9000000000001</v>
      </c>
      <c r="E147" s="75">
        <v>27689</v>
      </c>
      <c r="F147" s="75">
        <v>165399</v>
      </c>
      <c r="G147" s="34">
        <v>9.6999999999999993</v>
      </c>
      <c r="H147" s="34">
        <v>1224</v>
      </c>
      <c r="I147" s="36">
        <f>(E147/D147)*1000</f>
        <v>22791.17622849617</v>
      </c>
      <c r="J147" s="36">
        <f>(H147/G147)*1000</f>
        <v>126185.56701030929</v>
      </c>
      <c r="K147" s="109">
        <v>0.96499999999999997</v>
      </c>
      <c r="L147" s="104">
        <f>F147*0.965</f>
        <v>159610.035</v>
      </c>
      <c r="M147" s="79">
        <v>13.3</v>
      </c>
      <c r="N147" s="58">
        <f t="shared" si="211"/>
        <v>2122.8134654999999</v>
      </c>
      <c r="O147" s="58">
        <f>'Price comparison poultry'!Q22</f>
        <v>1654.875</v>
      </c>
      <c r="P147" s="35"/>
      <c r="Q147" s="35"/>
      <c r="S147" s="127">
        <f t="shared" si="212"/>
        <v>3.5129909337193124</v>
      </c>
      <c r="T147" s="125">
        <f>'[6]2022'!$W$357</f>
        <v>910.24102358872665</v>
      </c>
      <c r="U147" s="123"/>
      <c r="V147" s="123"/>
      <c r="W147" s="124"/>
      <c r="X147" s="124">
        <f t="shared" ref="X147:X149" si="214">(S147/T147)*100</f>
        <v>0.38594073906589643</v>
      </c>
      <c r="Y147" s="113"/>
      <c r="AA147" s="73">
        <f t="shared" si="175"/>
        <v>58.646061947170175</v>
      </c>
      <c r="AB147" s="58">
        <f t="shared" si="202"/>
        <v>17711876</v>
      </c>
      <c r="AC147" s="58">
        <f t="shared" si="203"/>
        <v>26465</v>
      </c>
      <c r="AD147" s="90"/>
    </row>
    <row r="148" spans="1:31" ht="14.1" customHeight="1" x14ac:dyDescent="0.2">
      <c r="A148" s="32" t="s">
        <v>571</v>
      </c>
      <c r="B148" s="33" t="s">
        <v>572</v>
      </c>
      <c r="C148" s="75">
        <v>1018275</v>
      </c>
      <c r="D148" s="34">
        <v>71.900000000000006</v>
      </c>
      <c r="E148" s="75">
        <v>3104</v>
      </c>
      <c r="F148" s="75">
        <v>3633675</v>
      </c>
      <c r="G148" s="34">
        <v>200.4</v>
      </c>
      <c r="H148" s="34">
        <v>2589</v>
      </c>
      <c r="I148" s="36">
        <f>(E148/D148)*1000</f>
        <v>43171.07093184979</v>
      </c>
      <c r="J148" s="36">
        <f>(H148/G148)*1000</f>
        <v>12919.161676646705</v>
      </c>
      <c r="K148" s="109">
        <v>0.96499999999999997</v>
      </c>
      <c r="L148" s="104">
        <f>F148*0.965</f>
        <v>3506496.375</v>
      </c>
      <c r="M148" s="79">
        <v>2.2799999999999998</v>
      </c>
      <c r="N148" s="58">
        <f t="shared" si="211"/>
        <v>7994.8117349999993</v>
      </c>
      <c r="O148" s="58">
        <f>'Price comparison poultry'!Q24</f>
        <v>10641.419720288251</v>
      </c>
      <c r="P148" s="35"/>
      <c r="Q148" s="35"/>
      <c r="S148" s="127">
        <f t="shared" si="212"/>
        <v>85.076147256820917</v>
      </c>
      <c r="T148" s="125">
        <f>'[6]2022'!$W$422</f>
        <v>360.80697620396916</v>
      </c>
      <c r="U148" s="123"/>
      <c r="V148" s="123"/>
      <c r="W148" s="124"/>
      <c r="X148" s="124">
        <f t="shared" si="214"/>
        <v>23.579407513652452</v>
      </c>
      <c r="Y148" s="113"/>
      <c r="AA148" s="73">
        <f t="shared" si="175"/>
        <v>55.15077710582262</v>
      </c>
      <c r="AB148" s="58">
        <f t="shared" si="202"/>
        <v>-2615400</v>
      </c>
      <c r="AC148" s="58">
        <f t="shared" si="203"/>
        <v>515</v>
      </c>
      <c r="AD148" s="90"/>
    </row>
    <row r="149" spans="1:31" ht="14.1" customHeight="1" x14ac:dyDescent="0.2">
      <c r="A149" s="32" t="s">
        <v>573</v>
      </c>
      <c r="B149" s="33" t="s">
        <v>574</v>
      </c>
      <c r="C149" s="75">
        <v>91447</v>
      </c>
      <c r="D149" s="34">
        <v>12</v>
      </c>
      <c r="E149" s="75">
        <v>593</v>
      </c>
      <c r="F149" s="75">
        <v>13500</v>
      </c>
      <c r="G149" s="34">
        <v>1.8</v>
      </c>
      <c r="H149" s="34">
        <v>53</v>
      </c>
      <c r="I149" s="36">
        <f>(E149/D149)*1000</f>
        <v>49416.666666666664</v>
      </c>
      <c r="J149" s="36">
        <f>(H149/G149)*1000</f>
        <v>29444.444444444442</v>
      </c>
      <c r="K149" s="109">
        <v>0.96499999999999997</v>
      </c>
      <c r="L149" s="104">
        <f>F149*0.965</f>
        <v>13027.5</v>
      </c>
      <c r="M149" s="79">
        <v>4.68</v>
      </c>
      <c r="N149" s="58">
        <f t="shared" si="211"/>
        <v>60.968699999999998</v>
      </c>
      <c r="O149" s="58">
        <f>'Price comparison poultry'!Q23</f>
        <v>10121.035001827307</v>
      </c>
      <c r="P149" s="35"/>
      <c r="Q149" s="35"/>
      <c r="S149" s="127">
        <f t="shared" si="212"/>
        <v>0.61706634671590854</v>
      </c>
      <c r="T149" s="125">
        <f>'[6]2022'!$W$385</f>
        <v>55.019038103831221</v>
      </c>
      <c r="U149" s="123"/>
      <c r="V149" s="123"/>
      <c r="W149" s="124"/>
      <c r="X149" s="124">
        <f t="shared" si="214"/>
        <v>1.1215505904545058</v>
      </c>
      <c r="Y149" s="113"/>
      <c r="AA149" s="73">
        <f t="shared" si="175"/>
        <v>133.33333333333334</v>
      </c>
      <c r="AB149" s="58">
        <f t="shared" si="202"/>
        <v>77947</v>
      </c>
      <c r="AC149" s="58">
        <f t="shared" si="203"/>
        <v>540</v>
      </c>
      <c r="AD149" s="90"/>
    </row>
    <row r="150" spans="1:31" ht="14.1" customHeight="1" x14ac:dyDescent="0.2">
      <c r="A150" s="161" t="s">
        <v>575</v>
      </c>
      <c r="B150" s="162" t="s">
        <v>576</v>
      </c>
      <c r="C150" s="163"/>
      <c r="D150" s="164"/>
      <c r="E150" s="163"/>
      <c r="F150" s="163">
        <v>5100</v>
      </c>
      <c r="G150" s="164">
        <v>0.2</v>
      </c>
      <c r="H150" s="164">
        <v>5</v>
      </c>
      <c r="I150" s="165">
        <v>0</v>
      </c>
      <c r="J150" s="166">
        <f>(H150/G150)*1000</f>
        <v>25000</v>
      </c>
      <c r="K150" s="109">
        <v>0.96499999999999997</v>
      </c>
      <c r="L150" s="104">
        <f>F150*0.965</f>
        <v>4921.5</v>
      </c>
      <c r="M150" s="79">
        <v>1.63</v>
      </c>
      <c r="N150" s="58">
        <f t="shared" si="211"/>
        <v>8.0220449999999985</v>
      </c>
      <c r="P150" s="35"/>
      <c r="Q150" s="35"/>
      <c r="S150" s="127"/>
      <c r="T150" s="125"/>
      <c r="U150" s="123"/>
      <c r="V150" s="123"/>
      <c r="W150" s="124"/>
      <c r="X150" s="124"/>
      <c r="Y150" s="113"/>
      <c r="AA150" s="73">
        <f t="shared" si="175"/>
        <v>39.215686274509807</v>
      </c>
      <c r="AB150" s="58">
        <f t="shared" si="202"/>
        <v>-5100</v>
      </c>
      <c r="AC150" s="58">
        <f t="shared" si="203"/>
        <v>-5</v>
      </c>
      <c r="AD150" s="90"/>
    </row>
    <row r="151" spans="1:31" ht="14.1" customHeight="1" x14ac:dyDescent="0.2">
      <c r="A151" s="32"/>
      <c r="B151" s="59" t="s">
        <v>817</v>
      </c>
      <c r="C151" s="60">
        <f>SUM(C143:C150)</f>
        <v>108600641</v>
      </c>
      <c r="D151" s="60">
        <f t="shared" ref="D151:H151" si="215">SUM(D143:D150)</f>
        <v>5344.1</v>
      </c>
      <c r="E151" s="60">
        <f t="shared" si="215"/>
        <v>138959</v>
      </c>
      <c r="F151" s="60">
        <f t="shared" si="215"/>
        <v>96829941</v>
      </c>
      <c r="G151" s="60">
        <f t="shared" si="215"/>
        <v>4047</v>
      </c>
      <c r="H151" s="60">
        <f t="shared" si="215"/>
        <v>85325</v>
      </c>
      <c r="I151" s="61">
        <f>(E151/D151)*1000</f>
        <v>26002.320315862351</v>
      </c>
      <c r="J151" s="61">
        <f>(H151/G151)*1000</f>
        <v>21083.518655794414</v>
      </c>
      <c r="K151" s="108"/>
      <c r="L151" s="103"/>
      <c r="M151" s="79">
        <v>2.2000000000000002</v>
      </c>
      <c r="N151" s="79"/>
      <c r="P151" s="35"/>
      <c r="Q151" s="35"/>
      <c r="S151" s="127">
        <f t="shared" ref="S151" si="216">SUM(S143:S150)</f>
        <v>3264.1414189740785</v>
      </c>
      <c r="T151" s="125">
        <f>'[6]2022'!$W$445</f>
        <v>3547.4847238835109</v>
      </c>
      <c r="U151" s="123"/>
      <c r="V151" s="123"/>
      <c r="W151" s="124"/>
      <c r="X151" s="173">
        <f t="shared" ref="X151" si="217">(((S144+S146+S147+S148+S149+((Q143*R143/1000000)+(Q145*R145/1000000))))/T151)*100</f>
        <v>59.985971424677096</v>
      </c>
      <c r="Y151" s="174" t="s">
        <v>657</v>
      </c>
      <c r="AA151" s="73">
        <f t="shared" si="175"/>
        <v>41.794923741614177</v>
      </c>
      <c r="AB151" s="58">
        <f t="shared" si="202"/>
        <v>11770700</v>
      </c>
      <c r="AC151" s="58">
        <f t="shared" si="203"/>
        <v>53634</v>
      </c>
      <c r="AD151" s="90"/>
    </row>
    <row r="152" spans="1:31" x14ac:dyDescent="0.2">
      <c r="A152" s="32"/>
      <c r="B152" s="38"/>
      <c r="C152" s="75"/>
      <c r="D152" s="34"/>
      <c r="E152" s="75"/>
      <c r="F152" s="75"/>
      <c r="G152" s="34"/>
      <c r="H152" s="34"/>
      <c r="I152" s="36"/>
      <c r="J152" s="36"/>
      <c r="K152" s="107"/>
      <c r="L152" s="103"/>
      <c r="M152" s="79"/>
      <c r="N152" s="79"/>
      <c r="P152" s="35"/>
      <c r="Q152" s="35"/>
      <c r="S152" s="127"/>
      <c r="T152" s="126"/>
      <c r="U152" s="121"/>
      <c r="V152" s="121"/>
      <c r="W152" s="122"/>
      <c r="X152" s="122"/>
      <c r="Y152" s="113"/>
      <c r="AA152" s="73" t="e">
        <f t="shared" si="175"/>
        <v>#DIV/0!</v>
      </c>
      <c r="AB152" s="58">
        <f>F152-C152</f>
        <v>0</v>
      </c>
      <c r="AC152" s="58">
        <f>H152-E152</f>
        <v>0</v>
      </c>
      <c r="AD152" s="90"/>
    </row>
    <row r="153" spans="1:31" ht="33.75" customHeight="1" x14ac:dyDescent="0.2">
      <c r="A153" s="175" t="s">
        <v>658</v>
      </c>
      <c r="B153" s="176"/>
      <c r="C153" s="177"/>
      <c r="D153" s="176"/>
      <c r="E153" s="176"/>
      <c r="F153" s="177"/>
      <c r="G153" s="176"/>
      <c r="H153" s="176"/>
      <c r="K153" s="106"/>
      <c r="L153" s="103"/>
      <c r="M153" s="79"/>
      <c r="N153" s="79"/>
      <c r="P153" s="35"/>
      <c r="S153" s="127"/>
      <c r="T153" s="126" t="s">
        <v>659</v>
      </c>
      <c r="U153" s="121" t="s">
        <v>660</v>
      </c>
      <c r="V153" s="121" t="s">
        <v>661</v>
      </c>
      <c r="W153" s="122" t="s">
        <v>662</v>
      </c>
      <c r="X153" s="122" t="s">
        <v>663</v>
      </c>
      <c r="Y153" s="118"/>
      <c r="AA153" s="73" t="e">
        <f t="shared" si="175"/>
        <v>#DIV/0!</v>
      </c>
      <c r="AD153" s="130"/>
    </row>
    <row r="154" spans="1:31" ht="14.1" customHeight="1" x14ac:dyDescent="0.2">
      <c r="A154" s="32" t="s">
        <v>564</v>
      </c>
      <c r="B154" s="33" t="s">
        <v>669</v>
      </c>
      <c r="C154" s="75">
        <v>1531490</v>
      </c>
      <c r="D154" s="34">
        <v>66</v>
      </c>
      <c r="E154" s="75">
        <v>5988</v>
      </c>
      <c r="F154" s="96">
        <v>1153271</v>
      </c>
      <c r="G154" s="34">
        <v>48.7</v>
      </c>
      <c r="H154" s="34">
        <v>1400</v>
      </c>
      <c r="K154" s="106">
        <v>103</v>
      </c>
      <c r="L154" s="104">
        <f>F154*103</f>
        <v>118786913</v>
      </c>
      <c r="M154" s="154">
        <v>291.39999999999998</v>
      </c>
      <c r="N154" s="132">
        <f t="shared" ref="N154" si="218">(L154*M154)*0.000062</f>
        <v>2146099.3997883997</v>
      </c>
      <c r="O154" s="153">
        <f>'Price comparison poultry'!R26</f>
        <v>2662.8158411843078</v>
      </c>
      <c r="P154" s="35">
        <v>1.26</v>
      </c>
      <c r="Q154" s="58">
        <f t="shared" ref="Q154" si="219">(L154*P154)/1000</f>
        <v>149671.51037999999</v>
      </c>
      <c r="R154" s="58">
        <f>'Price comparison poultry'!R21</f>
        <v>243.25293803418808</v>
      </c>
      <c r="S154" s="158">
        <f t="shared" ref="S154" si="220">((N154*O154)+(Q154*R154))/1000000</f>
        <v>5751.0755131526357</v>
      </c>
      <c r="T154" s="125">
        <f>('[6]2023'!$W$1103)</f>
        <v>16.251236650994322</v>
      </c>
      <c r="U154" s="155">
        <f>'[6]2023'!$W$1420</f>
        <v>2551.485907398649</v>
      </c>
      <c r="V154" s="123">
        <f>U154+T154</f>
        <v>2567.7371440496436</v>
      </c>
      <c r="W154" s="159">
        <f t="shared" ref="W154" si="221">(((N154*O154)+(N156*O156))/(U154*1000000))*100</f>
        <v>231.02429151248</v>
      </c>
      <c r="X154" s="124">
        <f t="shared" ref="X154" si="222">(((Q154*R154)+(Q156*R156)+(N155*O155)+(N157*O157))/((T155*1000000)+(T154*1000000))*100)</f>
        <v>90.851959701114012</v>
      </c>
      <c r="Y154" s="113" t="s">
        <v>664</v>
      </c>
      <c r="AA154" s="73">
        <f t="shared" si="175"/>
        <v>42.227715775390173</v>
      </c>
      <c r="AB154" s="58">
        <f t="shared" ref="AB154:AB162" si="223">C154-F154</f>
        <v>378219</v>
      </c>
      <c r="AC154" s="58">
        <f t="shared" ref="AC154:AC162" si="224">E154-H154</f>
        <v>4588</v>
      </c>
      <c r="AD154" s="133">
        <f t="shared" ref="AD154" si="225">(S154/V154)*100</f>
        <v>223.97446430527032</v>
      </c>
      <c r="AE154" s="73">
        <f t="shared" ref="AE154:AE156" si="226">AVERAGE(AD154,AD143,AD132,AD121,AD110,AD99,AD88,AD77,AD66,AD55,AD44,AD33)</f>
        <v>53.70093735101625</v>
      </c>
    </row>
    <row r="155" spans="1:31" ht="14.1" customHeight="1" x14ac:dyDescent="0.2">
      <c r="A155" s="32" t="s">
        <v>566</v>
      </c>
      <c r="B155" s="33" t="s">
        <v>763</v>
      </c>
      <c r="C155" s="75">
        <v>20467104</v>
      </c>
      <c r="D155" s="34">
        <v>955.6</v>
      </c>
      <c r="E155" s="75">
        <v>89311</v>
      </c>
      <c r="F155" s="75">
        <v>6931973</v>
      </c>
      <c r="G155" s="34">
        <v>327.5</v>
      </c>
      <c r="H155" s="34">
        <v>44135</v>
      </c>
      <c r="K155" s="106">
        <v>125</v>
      </c>
      <c r="L155" s="156">
        <f>F155*125</f>
        <v>866496625</v>
      </c>
      <c r="M155" s="79">
        <v>1.72</v>
      </c>
      <c r="N155" s="157">
        <f>(L155*M155)/1000</f>
        <v>1490374.1950000001</v>
      </c>
      <c r="O155" s="58">
        <f>'Price comparison poultry'!R20</f>
        <v>1239.6602564102564</v>
      </c>
      <c r="P155" s="35"/>
      <c r="Q155" s="58"/>
      <c r="S155" s="127">
        <f t="shared" ref="S155" si="227">(N155*O155)/1000000</f>
        <v>1847.5576567209293</v>
      </c>
      <c r="T155" s="125">
        <f>'[6]2023'!$W$1131</f>
        <v>2210.0609299759935</v>
      </c>
      <c r="U155" s="123"/>
      <c r="V155" s="123"/>
      <c r="W155" s="124"/>
      <c r="X155" s="124"/>
      <c r="Y155" s="113"/>
      <c r="AA155" s="73">
        <f t="shared" si="175"/>
        <v>47.244846452806435</v>
      </c>
      <c r="AB155" s="58">
        <f t="shared" si="223"/>
        <v>13535131</v>
      </c>
      <c r="AC155" s="58">
        <f t="shared" si="224"/>
        <v>45176</v>
      </c>
      <c r="AD155" s="133">
        <f t="shared" ref="AD155" si="228">(S155/T155)*100</f>
        <v>83.597589173299312</v>
      </c>
      <c r="AE155" s="73">
        <f t="shared" si="226"/>
        <v>55.148444025135284</v>
      </c>
    </row>
    <row r="156" spans="1:31" ht="14.1" customHeight="1" x14ac:dyDescent="0.2">
      <c r="A156" s="32" t="s">
        <v>567</v>
      </c>
      <c r="B156" s="33" t="s">
        <v>765</v>
      </c>
      <c r="C156" s="75">
        <v>3831609</v>
      </c>
      <c r="D156" s="34">
        <v>153.30000000000001</v>
      </c>
      <c r="E156" s="75">
        <v>5268</v>
      </c>
      <c r="F156" s="75">
        <v>3854786</v>
      </c>
      <c r="G156" s="34">
        <v>154</v>
      </c>
      <c r="H156" s="34">
        <v>3009</v>
      </c>
      <c r="K156" s="109">
        <v>0.96499999999999997</v>
      </c>
      <c r="L156" s="104">
        <f>F156*0.97</f>
        <v>3739142.42</v>
      </c>
      <c r="M156" s="154">
        <v>291.39999999999998</v>
      </c>
      <c r="N156" s="132">
        <f t="shared" ref="N156" si="229">(L156*M156)*0.000062</f>
        <v>67554.338273656002</v>
      </c>
      <c r="O156" s="153">
        <f>'Price comparison poultry'!R26</f>
        <v>2662.8158411843078</v>
      </c>
      <c r="P156" s="35">
        <v>1.26</v>
      </c>
      <c r="Q156" s="58">
        <f t="shared" ref="Q156" si="230">(L156*P156)/1000</f>
        <v>4711.3194491999993</v>
      </c>
      <c r="R156" s="58">
        <f>'Price comparison poultry'!R21</f>
        <v>243.25293803418808</v>
      </c>
      <c r="S156" s="127">
        <f t="shared" ref="S156" si="231">((N156*O156)+(Q156*R156))/1000000</f>
        <v>181.03080439385008</v>
      </c>
      <c r="T156" s="125"/>
      <c r="U156" s="121"/>
      <c r="V156" s="123"/>
      <c r="W156" s="124"/>
      <c r="X156" s="124"/>
      <c r="Y156" s="113"/>
      <c r="AA156" s="73">
        <f t="shared" si="175"/>
        <v>39.95033706151262</v>
      </c>
      <c r="AB156" s="58">
        <f t="shared" si="223"/>
        <v>-23177</v>
      </c>
      <c r="AC156" s="58">
        <f t="shared" si="224"/>
        <v>2259</v>
      </c>
      <c r="AD156" s="133">
        <f t="shared" ref="AD156" si="232">(S156/V154)*100</f>
        <v>7.0502077992431023</v>
      </c>
      <c r="AE156" s="73">
        <f t="shared" si="226"/>
        <v>2.6923168702161919</v>
      </c>
    </row>
    <row r="157" spans="1:31" ht="14.1" customHeight="1" x14ac:dyDescent="0.2">
      <c r="A157" s="32" t="s">
        <v>568</v>
      </c>
      <c r="B157" s="33" t="s">
        <v>767</v>
      </c>
      <c r="C157" s="75">
        <v>67786100</v>
      </c>
      <c r="D157" s="34">
        <v>2955.3</v>
      </c>
      <c r="E157" s="75">
        <v>24424</v>
      </c>
      <c r="F157" s="75">
        <v>66843553</v>
      </c>
      <c r="G157" s="34">
        <v>2717.4</v>
      </c>
      <c r="H157" s="34">
        <v>27038</v>
      </c>
      <c r="I157" s="61">
        <f>(E154+E155+E156+E157)/(D154+D155+D156+D157)*1000</f>
        <v>30262.699142898644</v>
      </c>
      <c r="J157" s="61">
        <f>(H154+H155+H156+H157)/(G154+G155+G156+G157)*1000</f>
        <v>23273.186352999135</v>
      </c>
      <c r="K157" s="109">
        <v>0.96499999999999997</v>
      </c>
      <c r="L157" s="104">
        <f>F157*0.965</f>
        <v>64504028.644999996</v>
      </c>
      <c r="M157" s="79">
        <v>1.72</v>
      </c>
      <c r="N157" s="58">
        <f t="shared" ref="N157:N161" si="233">(L157*M157)/1000</f>
        <v>110946.92926939999</v>
      </c>
      <c r="O157" s="58">
        <f>'Price comparison poultry'!R20</f>
        <v>1239.6602564102564</v>
      </c>
      <c r="P157" s="35"/>
      <c r="Q157" s="35"/>
      <c r="S157" s="127">
        <f t="shared" ref="S157:S160" si="234">(N157*O157)/1000000</f>
        <v>137.53649878603497</v>
      </c>
      <c r="T157" s="126"/>
      <c r="U157" s="123"/>
      <c r="V157" s="123"/>
      <c r="W157" s="124"/>
      <c r="X157" s="124"/>
      <c r="Y157" s="113"/>
      <c r="AA157" s="73">
        <f t="shared" si="175"/>
        <v>40.65313523953462</v>
      </c>
      <c r="AB157" s="58">
        <f t="shared" si="223"/>
        <v>942547</v>
      </c>
      <c r="AC157" s="58">
        <f t="shared" si="224"/>
        <v>-2614</v>
      </c>
      <c r="AD157" s="133">
        <f t="shared" ref="AD157" si="235">S157/T155*100</f>
        <v>6.223199411408487</v>
      </c>
      <c r="AE157" s="73">
        <f>AVERAGE(AD157,AD146,AD135,AD124,AD113,AD102,AD91,AD80,AD69,AD58,AD47,AD36)</f>
        <v>10.438741127255973</v>
      </c>
    </row>
    <row r="158" spans="1:31" ht="14.1" customHeight="1" x14ac:dyDescent="0.2">
      <c r="A158" s="32" t="s">
        <v>569</v>
      </c>
      <c r="B158" s="33" t="s">
        <v>570</v>
      </c>
      <c r="C158" s="75">
        <v>18409377</v>
      </c>
      <c r="D158" s="34">
        <v>1212.8</v>
      </c>
      <c r="E158" s="75">
        <v>30619</v>
      </c>
      <c r="F158" s="75">
        <v>251407</v>
      </c>
      <c r="G158" s="34">
        <v>14.3</v>
      </c>
      <c r="H158" s="34">
        <v>4381</v>
      </c>
      <c r="I158" s="36">
        <f>(E158/D158)*1000</f>
        <v>25246.536939313984</v>
      </c>
      <c r="J158" s="36">
        <f>(H158/G158)*1000</f>
        <v>306363.63636363635</v>
      </c>
      <c r="K158" s="109">
        <v>0.96499999999999997</v>
      </c>
      <c r="L158" s="104">
        <f>F158*0.965</f>
        <v>242607.755</v>
      </c>
      <c r="M158" s="79">
        <v>13.4</v>
      </c>
      <c r="N158" s="58">
        <f t="shared" si="233"/>
        <v>3250.9439170000005</v>
      </c>
      <c r="O158" s="58">
        <f>'Price comparison poultry'!R22</f>
        <v>1783.875</v>
      </c>
      <c r="P158" s="35"/>
      <c r="Q158" s="35"/>
      <c r="S158" s="127">
        <f t="shared" si="234"/>
        <v>5.7992775799383764</v>
      </c>
      <c r="T158" s="125">
        <f>'[6]2023'!$W$1187</f>
        <v>1020.865064663082</v>
      </c>
      <c r="U158" s="123"/>
      <c r="V158" s="123"/>
      <c r="W158" s="124"/>
      <c r="X158" s="124">
        <f t="shared" ref="X158:X160" si="236">(S158/T158)*100</f>
        <v>0.56807483972941353</v>
      </c>
      <c r="Y158" s="113"/>
      <c r="AA158" s="73">
        <f t="shared" si="175"/>
        <v>56.87988003516211</v>
      </c>
      <c r="AB158" s="58">
        <f t="shared" si="223"/>
        <v>18157970</v>
      </c>
      <c r="AC158" s="58">
        <f t="shared" si="224"/>
        <v>26238</v>
      </c>
      <c r="AD158" s="90"/>
    </row>
    <row r="159" spans="1:31" ht="14.1" customHeight="1" x14ac:dyDescent="0.2">
      <c r="A159" s="32" t="s">
        <v>571</v>
      </c>
      <c r="B159" s="33" t="s">
        <v>572</v>
      </c>
      <c r="C159" s="75">
        <v>864560</v>
      </c>
      <c r="D159" s="34">
        <v>53.1</v>
      </c>
      <c r="E159" s="75">
        <v>3807</v>
      </c>
      <c r="F159" s="75">
        <v>9163215</v>
      </c>
      <c r="G159" s="34">
        <v>508.6</v>
      </c>
      <c r="H159" s="34">
        <v>7022</v>
      </c>
      <c r="I159" s="36">
        <f>(E159/D159)*1000</f>
        <v>71694.91525423729</v>
      </c>
      <c r="J159" s="36">
        <f>(H159/G159)*1000</f>
        <v>13806.52772316162</v>
      </c>
      <c r="K159" s="109">
        <v>0.96499999999999997</v>
      </c>
      <c r="L159" s="104">
        <f>F159*0.965</f>
        <v>8842502.4749999996</v>
      </c>
      <c r="M159" s="79">
        <v>2.17</v>
      </c>
      <c r="N159" s="58">
        <f t="shared" si="233"/>
        <v>19188.23037075</v>
      </c>
      <c r="O159" s="58">
        <f>'Price comparison poultry'!R24</f>
        <v>13516.133763636406</v>
      </c>
      <c r="P159" s="35"/>
      <c r="Q159" s="35"/>
      <c r="S159" s="127">
        <f t="shared" si="234"/>
        <v>259.35068837852759</v>
      </c>
      <c r="T159" s="125">
        <f>'[6]2023'!$W$1252</f>
        <v>425.60554959500973</v>
      </c>
      <c r="U159" s="123"/>
      <c r="V159" s="123"/>
      <c r="W159" s="124"/>
      <c r="X159" s="124">
        <f t="shared" si="236"/>
        <v>60.936867159113874</v>
      </c>
      <c r="Y159" s="113"/>
      <c r="AA159" s="73">
        <f t="shared" si="175"/>
        <v>55.504536344503542</v>
      </c>
      <c r="AB159" s="58">
        <f t="shared" si="223"/>
        <v>-8298655</v>
      </c>
      <c r="AC159" s="58">
        <f t="shared" si="224"/>
        <v>-3215</v>
      </c>
      <c r="AD159" s="90"/>
    </row>
    <row r="160" spans="1:31" ht="14.1" customHeight="1" x14ac:dyDescent="0.2">
      <c r="A160" s="32" t="s">
        <v>573</v>
      </c>
      <c r="B160" s="33" t="s">
        <v>574</v>
      </c>
      <c r="C160" s="75">
        <v>24189</v>
      </c>
      <c r="D160" s="34">
        <v>3</v>
      </c>
      <c r="E160" s="75">
        <v>165</v>
      </c>
      <c r="F160" s="75">
        <v>13901</v>
      </c>
      <c r="G160" s="34">
        <v>1.8</v>
      </c>
      <c r="H160" s="34">
        <v>62</v>
      </c>
      <c r="I160" s="36">
        <f>(E160/D160)*1000</f>
        <v>55000</v>
      </c>
      <c r="J160" s="36">
        <f>(H160/G160)*1000</f>
        <v>34444.444444444445</v>
      </c>
      <c r="K160" s="109">
        <v>0.96499999999999997</v>
      </c>
      <c r="L160" s="104">
        <f>F160*0.965</f>
        <v>13414.465</v>
      </c>
      <c r="M160" s="79">
        <v>4.72</v>
      </c>
      <c r="N160" s="58">
        <f t="shared" si="233"/>
        <v>63.316274800000002</v>
      </c>
      <c r="O160" s="58">
        <f>'Price comparison poultry'!R23</f>
        <v>11347.703255700222</v>
      </c>
      <c r="P160" s="35"/>
      <c r="Q160" s="35"/>
      <c r="S160" s="127">
        <f t="shared" si="234"/>
        <v>0.71849429768676998</v>
      </c>
      <c r="T160" s="125">
        <f>'[6]2023'!$W$1215</f>
        <v>49.652923419222589</v>
      </c>
      <c r="U160" s="123"/>
      <c r="V160" s="123"/>
      <c r="W160" s="124"/>
      <c r="X160" s="124">
        <f t="shared" si="236"/>
        <v>1.4470332222344289</v>
      </c>
      <c r="Y160" s="113"/>
      <c r="AA160" s="73">
        <f t="shared" si="175"/>
        <v>129.48708725990937</v>
      </c>
      <c r="AB160" s="58">
        <f t="shared" si="223"/>
        <v>10288</v>
      </c>
      <c r="AC160" s="58">
        <f t="shared" si="224"/>
        <v>103</v>
      </c>
      <c r="AD160" s="90"/>
    </row>
    <row r="161" spans="1:30" ht="14.1" customHeight="1" x14ac:dyDescent="0.2">
      <c r="A161" s="161" t="s">
        <v>575</v>
      </c>
      <c r="B161" s="162" t="s">
        <v>576</v>
      </c>
      <c r="C161" s="163"/>
      <c r="D161" s="164"/>
      <c r="E161" s="163"/>
      <c r="F161" s="163">
        <v>11937</v>
      </c>
      <c r="G161" s="164">
        <v>0.5</v>
      </c>
      <c r="H161" s="164">
        <v>12</v>
      </c>
      <c r="I161" s="165">
        <v>0</v>
      </c>
      <c r="J161" s="166">
        <f>(H161/G161)*1000</f>
        <v>24000</v>
      </c>
      <c r="K161" s="109">
        <v>0.96499999999999997</v>
      </c>
      <c r="L161" s="104">
        <f>F161*0.965</f>
        <v>11519.205</v>
      </c>
      <c r="M161" s="79">
        <v>1.55</v>
      </c>
      <c r="N161" s="58">
        <f t="shared" si="233"/>
        <v>17.854767750000001</v>
      </c>
      <c r="P161" s="35"/>
      <c r="Q161" s="35"/>
      <c r="S161" s="127"/>
      <c r="T161" s="125"/>
      <c r="U161" s="123"/>
      <c r="V161" s="123"/>
      <c r="W161" s="124"/>
      <c r="X161" s="124"/>
      <c r="Y161" s="113"/>
      <c r="AA161" s="73">
        <f t="shared" si="175"/>
        <v>41.886571165284408</v>
      </c>
      <c r="AB161" s="58">
        <f t="shared" si="223"/>
        <v>-11937</v>
      </c>
      <c r="AC161" s="58">
        <f t="shared" si="224"/>
        <v>-12</v>
      </c>
      <c r="AD161" s="90"/>
    </row>
    <row r="162" spans="1:30" ht="14.1" customHeight="1" x14ac:dyDescent="0.2">
      <c r="A162" s="32"/>
      <c r="B162" s="59" t="s">
        <v>817</v>
      </c>
      <c r="C162" s="60">
        <f>SUM(C154:C161)</f>
        <v>112914429</v>
      </c>
      <c r="D162" s="60">
        <f t="shared" ref="D162:H162" si="237">SUM(D154:D161)</f>
        <v>5399.1000000000013</v>
      </c>
      <c r="E162" s="60">
        <f t="shared" si="237"/>
        <v>159582</v>
      </c>
      <c r="F162" s="60">
        <f t="shared" si="237"/>
        <v>88224043</v>
      </c>
      <c r="G162" s="60">
        <f t="shared" si="237"/>
        <v>3772.8000000000006</v>
      </c>
      <c r="H162" s="60">
        <f t="shared" si="237"/>
        <v>87059</v>
      </c>
      <c r="I162" s="61">
        <f>(E162/D162)*1000</f>
        <v>29557.148413624487</v>
      </c>
      <c r="J162" s="61">
        <f>(H162/G162)*1000</f>
        <v>23075.434690415601</v>
      </c>
      <c r="K162" s="108"/>
      <c r="L162" s="79"/>
      <c r="M162" s="92">
        <v>2.23</v>
      </c>
      <c r="P162" s="35"/>
      <c r="Q162" s="35"/>
      <c r="S162" s="127">
        <f t="shared" ref="S162" si="238">SUM(S154:S161)</f>
        <v>8183.0689333096025</v>
      </c>
      <c r="T162" s="125">
        <f>'[6]2023'!$W$1275</f>
        <v>3722.4357043043028</v>
      </c>
      <c r="U162" s="123"/>
      <c r="V162" s="123"/>
      <c r="W162" s="124"/>
      <c r="X162" s="173">
        <f t="shared" ref="X162" si="239">(((S155+S157+S158+S159+S160+((Q154*R154/1000000)+(Q156*R156/1000000))))/T162)*100</f>
        <v>61.479011982795548</v>
      </c>
      <c r="Y162" s="174" t="s">
        <v>665</v>
      </c>
      <c r="AA162" s="73">
        <f t="shared" si="175"/>
        <v>42.763852932924422</v>
      </c>
      <c r="AB162" s="58">
        <f t="shared" si="223"/>
        <v>24690386</v>
      </c>
      <c r="AC162" s="58">
        <f t="shared" si="224"/>
        <v>72523</v>
      </c>
      <c r="AD162" s="90"/>
    </row>
    <row r="163" spans="1:30" x14ac:dyDescent="0.2">
      <c r="A163" s="32" t="s">
        <v>666</v>
      </c>
      <c r="K163" s="58"/>
    </row>
    <row r="164" spans="1:30" x14ac:dyDescent="0.2">
      <c r="F164" s="172" t="s">
        <v>823</v>
      </c>
      <c r="M164" s="54" t="s">
        <v>667</v>
      </c>
    </row>
    <row r="165" spans="1:30" x14ac:dyDescent="0.2">
      <c r="A165" s="40"/>
      <c r="M165" s="54" t="s">
        <v>819</v>
      </c>
    </row>
    <row r="166" spans="1:30" ht="15" x14ac:dyDescent="0.25">
      <c r="A166" t="s">
        <v>761</v>
      </c>
      <c r="B166" t="s">
        <v>669</v>
      </c>
      <c r="C166" s="150"/>
      <c r="E166"/>
      <c r="F166"/>
      <c r="M166" s="54" t="s">
        <v>668</v>
      </c>
    </row>
    <row r="167" spans="1:30" ht="15" x14ac:dyDescent="0.25">
      <c r="A167" t="s">
        <v>762</v>
      </c>
      <c r="B167" t="s">
        <v>763</v>
      </c>
      <c r="C167" s="150"/>
      <c r="E167"/>
      <c r="F167"/>
      <c r="M167" s="169"/>
      <c r="N167" s="54" t="s">
        <v>794</v>
      </c>
    </row>
    <row r="168" spans="1:30" s="134" customFormat="1" ht="15" x14ac:dyDescent="0.25">
      <c r="A168" t="s">
        <v>764</v>
      </c>
      <c r="B168" t="s">
        <v>765</v>
      </c>
      <c r="C168" s="150"/>
      <c r="E168"/>
      <c r="F168"/>
      <c r="M168" s="170"/>
      <c r="N168" t="s">
        <v>822</v>
      </c>
    </row>
    <row r="169" spans="1:30" s="134" customFormat="1" ht="15" x14ac:dyDescent="0.25">
      <c r="A169" t="s">
        <v>766</v>
      </c>
      <c r="B169" t="s">
        <v>767</v>
      </c>
      <c r="C169" s="150"/>
      <c r="E169"/>
      <c r="F169"/>
    </row>
    <row r="170" spans="1:30" s="134" customFormat="1" ht="15" x14ac:dyDescent="0.25">
      <c r="A170" t="s">
        <v>768</v>
      </c>
      <c r="B170" t="s">
        <v>769</v>
      </c>
      <c r="C170" s="150"/>
      <c r="E170"/>
      <c r="F170"/>
    </row>
    <row r="171" spans="1:30" s="134" customFormat="1" ht="15" x14ac:dyDescent="0.25">
      <c r="A171" t="s">
        <v>770</v>
      </c>
      <c r="B171" t="s">
        <v>771</v>
      </c>
      <c r="C171" s="150"/>
      <c r="E171"/>
      <c r="F171"/>
    </row>
    <row r="172" spans="1:30" s="134" customFormat="1" ht="15" x14ac:dyDescent="0.25">
      <c r="A172" t="s">
        <v>772</v>
      </c>
      <c r="B172" t="s">
        <v>773</v>
      </c>
      <c r="C172" s="150"/>
      <c r="E172"/>
      <c r="F172"/>
    </row>
    <row r="173" spans="1:30" s="134" customFormat="1" ht="15" x14ac:dyDescent="0.25">
      <c r="A173" t="s">
        <v>774</v>
      </c>
      <c r="B173" t="s">
        <v>775</v>
      </c>
      <c r="C173" s="150"/>
      <c r="E173"/>
      <c r="F173"/>
    </row>
    <row r="174" spans="1:30" s="134" customFormat="1" ht="15" x14ac:dyDescent="0.25">
      <c r="A174" t="s">
        <v>776</v>
      </c>
      <c r="B174" t="s">
        <v>777</v>
      </c>
      <c r="C174" s="150"/>
      <c r="E174"/>
      <c r="F174"/>
    </row>
    <row r="175" spans="1:30" s="134" customFormat="1" ht="15" x14ac:dyDescent="0.25">
      <c r="A175" t="s">
        <v>778</v>
      </c>
      <c r="B175" t="s">
        <v>779</v>
      </c>
      <c r="C175" s="150"/>
      <c r="E175"/>
      <c r="F175"/>
    </row>
    <row r="176" spans="1:30" s="134" customFormat="1" ht="15" x14ac:dyDescent="0.25">
      <c r="A176" t="s">
        <v>780</v>
      </c>
      <c r="B176" t="s">
        <v>781</v>
      </c>
      <c r="C176" s="150"/>
      <c r="E176"/>
      <c r="F176"/>
    </row>
    <row r="177" spans="1:38" s="134" customFormat="1" ht="15" x14ac:dyDescent="0.25">
      <c r="A177" t="s">
        <v>782</v>
      </c>
      <c r="B177" t="s">
        <v>783</v>
      </c>
      <c r="C177" s="150"/>
      <c r="E177"/>
      <c r="F177"/>
    </row>
    <row r="178" spans="1:38" s="134" customFormat="1" ht="15" x14ac:dyDescent="0.25">
      <c r="A178" t="s">
        <v>784</v>
      </c>
      <c r="B178" t="s">
        <v>785</v>
      </c>
      <c r="C178" s="150"/>
      <c r="E178"/>
      <c r="F178"/>
    </row>
    <row r="179" spans="1:38" ht="15" x14ac:dyDescent="0.25">
      <c r="A179"/>
      <c r="C179" s="58"/>
      <c r="F179" s="58"/>
      <c r="K179" s="81" t="s">
        <v>670</v>
      </c>
      <c r="S179" s="82"/>
      <c r="T179" s="82"/>
      <c r="U179" s="82"/>
      <c r="V179" s="82"/>
      <c r="W179" s="82"/>
      <c r="X179" s="82"/>
      <c r="Y179" s="82"/>
      <c r="Z179" s="82"/>
      <c r="AA179" s="82"/>
      <c r="AB179" s="82"/>
      <c r="AC179" s="82"/>
      <c r="AD179" s="82"/>
      <c r="AE179" s="82"/>
      <c r="AF179" s="82"/>
      <c r="AG179" s="82"/>
      <c r="AH179" s="82"/>
      <c r="AI179" s="82"/>
      <c r="AJ179" s="82"/>
      <c r="AK179" s="82"/>
      <c r="AL179" s="82"/>
    </row>
    <row r="180" spans="1:38" s="79" customFormat="1" ht="15" x14ac:dyDescent="0.25">
      <c r="A180"/>
      <c r="C180" s="58"/>
      <c r="E180" s="58"/>
      <c r="F180" s="58"/>
      <c r="K180" s="81"/>
      <c r="M180"/>
      <c r="N180" s="54"/>
      <c r="O180" s="54"/>
      <c r="P180" s="81"/>
      <c r="Q180" s="81"/>
      <c r="R180" s="54"/>
      <c r="S180" s="54"/>
      <c r="T180" s="54"/>
      <c r="U180" s="81"/>
      <c r="V180" s="82"/>
      <c r="W180" s="82"/>
      <c r="X180" s="82"/>
      <c r="Y180" s="82"/>
      <c r="Z180" s="82"/>
      <c r="AA180" s="82"/>
      <c r="AB180" s="82"/>
      <c r="AC180" s="82"/>
      <c r="AD180" s="82"/>
      <c r="AE180" s="82"/>
      <c r="AF180" s="82"/>
      <c r="AG180" s="82"/>
      <c r="AH180" s="82"/>
      <c r="AI180" s="82"/>
      <c r="AJ180" s="82"/>
      <c r="AK180" s="82"/>
      <c r="AL180" s="82"/>
    </row>
    <row r="181" spans="1:38" ht="15" x14ac:dyDescent="0.25">
      <c r="A181"/>
      <c r="C181" s="58"/>
      <c r="F181" s="58"/>
      <c r="M181"/>
    </row>
    <row r="182" spans="1:38" s="79" customFormat="1" ht="15" x14ac:dyDescent="0.25">
      <c r="A182"/>
      <c r="C182" s="58"/>
      <c r="E182" s="58"/>
      <c r="F182" s="58"/>
      <c r="K182" s="81"/>
      <c r="M182"/>
      <c r="N182" s="54"/>
      <c r="O182" s="54"/>
      <c r="P182" s="81"/>
      <c r="Q182" s="81"/>
      <c r="R182" s="54"/>
      <c r="S182" s="54"/>
      <c r="T182" s="54"/>
      <c r="U182" s="81"/>
      <c r="V182" s="81"/>
      <c r="W182" s="81"/>
      <c r="X182" s="81"/>
      <c r="Z182" s="99"/>
    </row>
    <row r="183" spans="1:38" ht="15" x14ac:dyDescent="0.25">
      <c r="A183"/>
      <c r="C183" s="58"/>
      <c r="F183" s="58"/>
      <c r="M183"/>
    </row>
    <row r="184" spans="1:38" ht="15" x14ac:dyDescent="0.25">
      <c r="C184" s="58"/>
      <c r="F184" s="58"/>
      <c r="M184"/>
    </row>
    <row r="185" spans="1:38" ht="15" x14ac:dyDescent="0.25">
      <c r="M185"/>
    </row>
    <row r="187" spans="1:38" ht="15" x14ac:dyDescent="0.25">
      <c r="M187"/>
    </row>
    <row r="188" spans="1:38" x14ac:dyDescent="0.2">
      <c r="B188" s="54" t="s">
        <v>671</v>
      </c>
    </row>
    <row r="190" spans="1:38" ht="15" x14ac:dyDescent="0.25">
      <c r="B190" t="s">
        <v>672</v>
      </c>
      <c r="C190" s="52"/>
      <c r="D190"/>
      <c r="E190" s="52"/>
      <c r="F190" s="58"/>
    </row>
    <row r="191" spans="1:38" ht="15.75" x14ac:dyDescent="0.25">
      <c r="B191" s="62" t="s">
        <v>673</v>
      </c>
      <c r="C191" s="52"/>
      <c r="D191"/>
      <c r="E191" s="52"/>
      <c r="F191" s="58"/>
    </row>
    <row r="192" spans="1:38" ht="15" x14ac:dyDescent="0.25">
      <c r="B192" s="63"/>
      <c r="C192" s="52"/>
      <c r="D192"/>
      <c r="E192" s="52"/>
      <c r="F192" s="58"/>
    </row>
    <row r="193" spans="1:18" ht="90" x14ac:dyDescent="0.25">
      <c r="B193" s="64"/>
      <c r="C193" s="95" t="s">
        <v>674</v>
      </c>
      <c r="D193" s="65" t="s">
        <v>675</v>
      </c>
      <c r="E193" s="95" t="s">
        <v>676</v>
      </c>
      <c r="F193" s="58"/>
      <c r="R193"/>
    </row>
    <row r="194" spans="1:18" ht="15" x14ac:dyDescent="0.25">
      <c r="B194" s="66" t="s">
        <v>677</v>
      </c>
      <c r="C194" s="95">
        <v>289</v>
      </c>
      <c r="D194" s="65">
        <v>262</v>
      </c>
      <c r="E194" s="95">
        <v>108</v>
      </c>
      <c r="F194" s="58" t="s">
        <v>678</v>
      </c>
      <c r="R194"/>
    </row>
    <row r="195" spans="1:18" ht="15" x14ac:dyDescent="0.25">
      <c r="B195" s="66" t="s">
        <v>679</v>
      </c>
      <c r="C195" s="95">
        <v>310</v>
      </c>
      <c r="D195" s="65">
        <v>280</v>
      </c>
      <c r="E195" s="95">
        <v>114</v>
      </c>
      <c r="F195" s="58"/>
      <c r="R195" t="s">
        <v>680</v>
      </c>
    </row>
    <row r="196" spans="1:18" ht="15" x14ac:dyDescent="0.25">
      <c r="D196" s="64"/>
      <c r="E196" s="95"/>
      <c r="F196" s="95"/>
      <c r="G196" s="65"/>
      <c r="R196">
        <v>1051199</v>
      </c>
    </row>
    <row r="197" spans="1:18" ht="15" x14ac:dyDescent="0.25">
      <c r="D197" s="67"/>
      <c r="E197" s="95"/>
      <c r="F197" s="95"/>
      <c r="G197" s="65"/>
      <c r="R197" t="s">
        <v>681</v>
      </c>
    </row>
    <row r="198" spans="1:18" ht="38.25" x14ac:dyDescent="0.2">
      <c r="B198" s="29" t="s">
        <v>682</v>
      </c>
      <c r="D198" s="67"/>
      <c r="E198" s="95"/>
      <c r="F198" s="95"/>
      <c r="G198" s="65"/>
    </row>
    <row r="199" spans="1:18" ht="23.25" x14ac:dyDescent="0.2">
      <c r="D199" s="64"/>
      <c r="E199" s="97"/>
      <c r="F199" s="97"/>
      <c r="G199" s="68"/>
      <c r="R199" s="69" t="s">
        <v>683</v>
      </c>
    </row>
    <row r="200" spans="1:18" ht="15" x14ac:dyDescent="0.25">
      <c r="D200" s="64"/>
      <c r="E200" s="95"/>
      <c r="F200" s="95"/>
      <c r="G200" s="65"/>
      <c r="R200"/>
    </row>
    <row r="201" spans="1:18" ht="33.75" customHeight="1" x14ac:dyDescent="0.25">
      <c r="R201" t="s">
        <v>684</v>
      </c>
    </row>
    <row r="202" spans="1:18" ht="15" x14ac:dyDescent="0.25">
      <c r="A202" s="77">
        <v>1051111</v>
      </c>
      <c r="B202" s="183" t="s">
        <v>685</v>
      </c>
      <c r="C202" s="182"/>
      <c r="D202" s="182"/>
      <c r="E202" s="182"/>
      <c r="F202" s="182"/>
      <c r="G202" s="182"/>
      <c r="H202" s="182"/>
      <c r="I202" s="182"/>
      <c r="J202" s="182"/>
      <c r="K202" s="182"/>
      <c r="L202" s="182"/>
      <c r="R202"/>
    </row>
    <row r="203" spans="1:18" ht="15" x14ac:dyDescent="0.25">
      <c r="A203" s="77">
        <v>1051119</v>
      </c>
      <c r="B203" s="184" t="s">
        <v>686</v>
      </c>
      <c r="C203" s="182"/>
      <c r="D203" s="182"/>
      <c r="E203" s="182"/>
      <c r="F203" s="182"/>
      <c r="G203" s="182"/>
      <c r="H203" s="182"/>
      <c r="I203" s="182"/>
      <c r="J203" s="182"/>
      <c r="K203" s="182"/>
      <c r="R203" t="s">
        <v>687</v>
      </c>
    </row>
    <row r="204" spans="1:18" ht="15" x14ac:dyDescent="0.25">
      <c r="A204" s="77"/>
      <c r="B204" s="101"/>
      <c r="C204" s="101"/>
      <c r="D204" s="101"/>
      <c r="E204" s="101"/>
      <c r="F204" s="101"/>
      <c r="R204"/>
    </row>
    <row r="205" spans="1:18" ht="15" x14ac:dyDescent="0.25">
      <c r="A205" s="77">
        <v>1051191</v>
      </c>
      <c r="B205" s="78" t="s">
        <v>688</v>
      </c>
      <c r="D205" s="99"/>
      <c r="R205" t="s">
        <v>689</v>
      </c>
    </row>
    <row r="206" spans="1:18" ht="15" x14ac:dyDescent="0.25">
      <c r="A206" s="77">
        <v>1051199</v>
      </c>
      <c r="B206" s="78" t="s">
        <v>690</v>
      </c>
      <c r="D206" s="99"/>
      <c r="R206"/>
    </row>
    <row r="207" spans="1:18" ht="15" x14ac:dyDescent="0.25">
      <c r="A207" s="77" t="s">
        <v>691</v>
      </c>
      <c r="B207" s="78" t="s">
        <v>692</v>
      </c>
      <c r="D207" s="99"/>
      <c r="R207" t="s">
        <v>693</v>
      </c>
    </row>
    <row r="215" spans="18:18" x14ac:dyDescent="0.2">
      <c r="R215" s="70" t="s">
        <v>694</v>
      </c>
    </row>
    <row r="219" spans="18:18" ht="18" x14ac:dyDescent="0.2">
      <c r="R219" s="71" t="s">
        <v>695</v>
      </c>
    </row>
    <row r="220" spans="18:18" ht="15" x14ac:dyDescent="0.25">
      <c r="R220"/>
    </row>
    <row r="221" spans="18:18" ht="15" x14ac:dyDescent="0.25">
      <c r="R221" t="s">
        <v>696</v>
      </c>
    </row>
    <row r="222" spans="18:18" ht="15" x14ac:dyDescent="0.25">
      <c r="R222"/>
    </row>
    <row r="223" spans="18:18" ht="15" x14ac:dyDescent="0.25">
      <c r="R223"/>
    </row>
    <row r="224" spans="18:18" ht="15" x14ac:dyDescent="0.25">
      <c r="R224" t="s">
        <v>697</v>
      </c>
    </row>
    <row r="225" spans="7:26" ht="15" x14ac:dyDescent="0.25">
      <c r="R225"/>
    </row>
    <row r="226" spans="7:26" ht="15" x14ac:dyDescent="0.25">
      <c r="R226" s="72" t="s">
        <v>698</v>
      </c>
    </row>
    <row r="229" spans="7:26" s="79" customFormat="1" ht="30" customHeight="1" x14ac:dyDescent="0.2">
      <c r="G229" s="100"/>
      <c r="H229" s="100"/>
      <c r="I229" s="100"/>
      <c r="J229" s="100"/>
      <c r="K229" s="100"/>
      <c r="L229" s="100"/>
      <c r="M229" s="100"/>
      <c r="N229" s="100"/>
      <c r="O229" s="100"/>
      <c r="P229" s="100"/>
      <c r="Q229" s="100"/>
      <c r="R229" s="100"/>
      <c r="U229" s="81"/>
      <c r="V229" s="81"/>
      <c r="W229" s="81"/>
      <c r="X229" s="81"/>
      <c r="Z229" s="99"/>
    </row>
    <row r="230" spans="7:26" s="79" customFormat="1" ht="30" customHeight="1" x14ac:dyDescent="0.2">
      <c r="G230" s="101"/>
      <c r="H230" s="101"/>
      <c r="I230" s="101"/>
      <c r="J230" s="101"/>
      <c r="K230" s="101"/>
      <c r="L230" s="101"/>
      <c r="M230" s="101"/>
      <c r="N230" s="101"/>
      <c r="O230" s="101"/>
      <c r="P230" s="101"/>
      <c r="Q230" s="101"/>
      <c r="R230" s="101"/>
      <c r="S230" s="181"/>
      <c r="U230" s="81"/>
      <c r="V230" s="81"/>
      <c r="W230" s="81"/>
      <c r="X230" s="81"/>
      <c r="Z230" s="99"/>
    </row>
    <row r="231" spans="7:26" s="79" customFormat="1" ht="30" customHeight="1" x14ac:dyDescent="0.2">
      <c r="G231" s="101"/>
      <c r="H231" s="101"/>
      <c r="I231" s="101"/>
      <c r="J231" s="101"/>
      <c r="K231" s="101"/>
      <c r="L231" s="101"/>
      <c r="M231" s="101"/>
      <c r="N231" s="101"/>
      <c r="O231" s="101"/>
      <c r="P231" s="101"/>
      <c r="Q231" s="101"/>
      <c r="R231" s="101"/>
      <c r="S231" s="182"/>
      <c r="U231" s="81"/>
      <c r="V231" s="81"/>
      <c r="W231" s="81"/>
      <c r="X231" s="81"/>
      <c r="Z231" s="99"/>
    </row>
    <row r="232" spans="7:26" s="79" customFormat="1" ht="30" customHeight="1" x14ac:dyDescent="0.2">
      <c r="G232" s="99"/>
      <c r="H232" s="99"/>
      <c r="I232" s="99"/>
      <c r="J232" s="99"/>
      <c r="K232" s="99"/>
      <c r="L232" s="99"/>
      <c r="M232" s="99"/>
      <c r="N232" s="99"/>
      <c r="O232" s="99"/>
      <c r="P232" s="99"/>
      <c r="Q232" s="99"/>
      <c r="R232" s="99"/>
      <c r="U232" s="36"/>
      <c r="V232" s="115"/>
      <c r="W232" s="81"/>
      <c r="X232" s="81"/>
      <c r="Z232" s="99"/>
    </row>
    <row r="233" spans="7:26" s="79" customFormat="1" ht="34.5" customHeight="1" x14ac:dyDescent="0.2">
      <c r="G233" s="99"/>
      <c r="H233" s="99"/>
      <c r="I233" s="99"/>
      <c r="J233" s="99"/>
      <c r="K233" s="99"/>
      <c r="L233" s="99"/>
      <c r="M233" s="99"/>
      <c r="N233" s="99"/>
      <c r="O233" s="99"/>
      <c r="P233" s="99"/>
      <c r="Q233" s="99"/>
      <c r="R233" s="99"/>
      <c r="T233" s="36"/>
      <c r="U233" s="58"/>
      <c r="V233" s="81"/>
      <c r="W233" s="81"/>
      <c r="X233" s="81"/>
      <c r="Z233" s="99"/>
    </row>
    <row r="234" spans="7:26" s="79" customFormat="1" ht="34.5" customHeight="1" x14ac:dyDescent="0.2">
      <c r="G234" s="99"/>
      <c r="H234" s="99"/>
      <c r="I234" s="99"/>
      <c r="J234" s="99"/>
      <c r="K234" s="99"/>
      <c r="L234" s="99"/>
      <c r="M234" s="99"/>
      <c r="N234" s="99"/>
      <c r="O234" s="99"/>
      <c r="P234" s="99"/>
      <c r="Q234" s="99"/>
      <c r="R234" s="99"/>
      <c r="U234" s="58"/>
      <c r="V234" s="81"/>
      <c r="W234" s="81"/>
      <c r="X234" s="81"/>
      <c r="Z234" s="99"/>
    </row>
  </sheetData>
  <mergeCells count="17">
    <mergeCell ref="S230:S231"/>
    <mergeCell ref="A109:H109"/>
    <mergeCell ref="A120:H120"/>
    <mergeCell ref="A131:H131"/>
    <mergeCell ref="A142:H142"/>
    <mergeCell ref="B202:L202"/>
    <mergeCell ref="B203:K203"/>
    <mergeCell ref="A153:H153"/>
    <mergeCell ref="A98:H98"/>
    <mergeCell ref="A29:H29"/>
    <mergeCell ref="A30:B31"/>
    <mergeCell ref="A32:H32"/>
    <mergeCell ref="A43:H43"/>
    <mergeCell ref="A54:H54"/>
    <mergeCell ref="A65:H65"/>
    <mergeCell ref="A76:H76"/>
    <mergeCell ref="A87:H87"/>
  </mergeCells>
  <hyperlinks>
    <hyperlink ref="R226" r:id="rId1" location="Aussenscharrraum" display="https://www.landschafftleben.at/service-aktuelles/support/glossar?letter=A - Aussenscharrraum"/>
  </hyperlinks>
  <pageMargins left="0.7" right="0.7" top="0.75" bottom="0.75" header="0.3" footer="0.3"/>
  <pageSetup paperSize="9" orientation="portrait" r:id="rId2"/>
  <headerFooter>
    <oddFooter>&amp;CAbgerufen am 08.08.24 / 14:54:45&amp;RSeite &amp;P von &amp;N</oddFooter>
  </headerFooter>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29"/>
  <sheetViews>
    <sheetView workbookViewId="0">
      <selection activeCell="B1" sqref="B1"/>
    </sheetView>
  </sheetViews>
  <sheetFormatPr baseColWidth="10" defaultRowHeight="15" x14ac:dyDescent="0.25"/>
  <cols>
    <col min="6" max="6" width="23" customWidth="1"/>
    <col min="19" max="19" width="18.7109375" customWidth="1"/>
    <col min="22" max="22" width="10.85546875" customWidth="1"/>
  </cols>
  <sheetData>
    <row r="1" spans="2:21" ht="14.25" customHeight="1" x14ac:dyDescent="0.35">
      <c r="B1" s="147" t="s">
        <v>803</v>
      </c>
    </row>
    <row r="2" spans="2:21" ht="14.25" customHeight="1" x14ac:dyDescent="0.25">
      <c r="B2" s="185" t="s">
        <v>801</v>
      </c>
      <c r="C2" s="185"/>
      <c r="D2" s="185"/>
      <c r="E2" s="185"/>
      <c r="F2" s="185"/>
      <c r="G2" s="185"/>
      <c r="H2" s="185"/>
      <c r="I2" s="185"/>
      <c r="J2" s="185"/>
      <c r="K2" s="185"/>
      <c r="L2" s="185"/>
      <c r="M2" s="185"/>
      <c r="N2" s="185"/>
      <c r="O2" s="185"/>
      <c r="P2" s="185"/>
      <c r="Q2" s="185"/>
      <c r="R2" s="185"/>
      <c r="S2" s="185"/>
      <c r="T2" s="185"/>
      <c r="U2" s="185"/>
    </row>
    <row r="3" spans="2:21" ht="14.25" customHeight="1" x14ac:dyDescent="0.25">
      <c r="B3" s="185"/>
      <c r="C3" s="185"/>
      <c r="D3" s="185"/>
      <c r="E3" s="185"/>
      <c r="F3" s="185"/>
      <c r="G3" s="185"/>
      <c r="H3" s="185"/>
      <c r="I3" s="185"/>
      <c r="J3" s="185"/>
      <c r="K3" s="185"/>
      <c r="L3" s="185"/>
      <c r="M3" s="185"/>
      <c r="N3" s="185"/>
      <c r="O3" s="185"/>
      <c r="P3" s="185"/>
      <c r="Q3" s="185"/>
      <c r="R3" s="185"/>
      <c r="S3" s="185"/>
      <c r="T3" s="185"/>
      <c r="U3" s="185"/>
    </row>
    <row r="4" spans="2:21" ht="14.25" customHeight="1" x14ac:dyDescent="0.25">
      <c r="B4" s="182"/>
      <c r="C4" s="182"/>
      <c r="D4" s="182"/>
      <c r="E4" s="182"/>
      <c r="F4" s="182"/>
      <c r="G4" s="182"/>
      <c r="H4" s="182"/>
      <c r="I4" s="182"/>
      <c r="J4" s="182"/>
      <c r="K4" s="182"/>
      <c r="L4" s="182"/>
      <c r="M4" s="182"/>
      <c r="N4" s="182"/>
      <c r="O4" s="182"/>
      <c r="P4" s="182"/>
      <c r="Q4" s="182"/>
      <c r="R4" s="182"/>
      <c r="S4" s="182"/>
      <c r="T4" s="182"/>
      <c r="U4" s="182"/>
    </row>
    <row r="5" spans="2:21" ht="14.25" customHeight="1" x14ac:dyDescent="0.25"/>
    <row r="6" spans="2:21" ht="14.25" customHeight="1" x14ac:dyDescent="0.25">
      <c r="B6" s="185" t="s">
        <v>802</v>
      </c>
      <c r="C6" s="186"/>
      <c r="D6" s="186"/>
      <c r="E6" s="186"/>
      <c r="F6" s="186"/>
      <c r="G6" s="186"/>
      <c r="H6" s="186"/>
      <c r="I6" s="186"/>
      <c r="J6" s="186"/>
      <c r="K6" s="186"/>
      <c r="L6" s="186"/>
      <c r="M6" s="186"/>
      <c r="N6" s="186"/>
      <c r="O6" s="186"/>
      <c r="P6" s="186"/>
      <c r="Q6" s="186"/>
      <c r="R6" s="186"/>
      <c r="S6" s="186"/>
      <c r="T6" s="186"/>
      <c r="U6" s="186"/>
    </row>
    <row r="7" spans="2:21" ht="14.25" customHeight="1" x14ac:dyDescent="0.25">
      <c r="B7" s="186"/>
      <c r="C7" s="186"/>
      <c r="D7" s="186"/>
      <c r="E7" s="186"/>
      <c r="F7" s="186"/>
      <c r="G7" s="186"/>
      <c r="H7" s="186"/>
      <c r="I7" s="186"/>
      <c r="J7" s="186"/>
      <c r="K7" s="186"/>
      <c r="L7" s="186"/>
      <c r="M7" s="186"/>
      <c r="N7" s="186"/>
      <c r="O7" s="186"/>
      <c r="P7" s="186"/>
      <c r="Q7" s="186"/>
      <c r="R7" s="186"/>
      <c r="S7" s="186"/>
      <c r="T7" s="186"/>
      <c r="U7" s="186"/>
    </row>
    <row r="8" spans="2:21" ht="14.25" customHeight="1" x14ac:dyDescent="0.25">
      <c r="B8" s="186"/>
      <c r="C8" s="186"/>
      <c r="D8" s="186"/>
      <c r="E8" s="186"/>
      <c r="F8" s="186"/>
      <c r="G8" s="186"/>
      <c r="H8" s="186"/>
      <c r="I8" s="186"/>
      <c r="J8" s="186"/>
      <c r="K8" s="186"/>
      <c r="L8" s="186"/>
      <c r="M8" s="186"/>
      <c r="N8" s="186"/>
      <c r="O8" s="186"/>
      <c r="P8" s="186"/>
      <c r="Q8" s="186"/>
      <c r="R8" s="186"/>
      <c r="S8" s="186"/>
      <c r="T8" s="186"/>
      <c r="U8" s="186"/>
    </row>
    <row r="10" spans="2:21" x14ac:dyDescent="0.25">
      <c r="C10" s="26" t="s">
        <v>699</v>
      </c>
    </row>
    <row r="11" spans="2:21" x14ac:dyDescent="0.25">
      <c r="B11" s="3">
        <v>11</v>
      </c>
      <c r="C11" s="4">
        <v>11000</v>
      </c>
      <c r="D11" s="5" t="s">
        <v>700</v>
      </c>
      <c r="E11" s="6" t="s">
        <v>701</v>
      </c>
    </row>
    <row r="12" spans="2:21" ht="33.75" x14ac:dyDescent="0.25">
      <c r="B12" s="3" t="s">
        <v>702</v>
      </c>
      <c r="C12" s="4">
        <v>11100</v>
      </c>
      <c r="D12" s="7" t="s">
        <v>703</v>
      </c>
      <c r="E12" s="8" t="s">
        <v>704</v>
      </c>
      <c r="F12" t="s">
        <v>705</v>
      </c>
      <c r="G12">
        <v>2012</v>
      </c>
      <c r="H12">
        <v>2013</v>
      </c>
      <c r="I12">
        <v>2014</v>
      </c>
      <c r="J12">
        <v>2015</v>
      </c>
      <c r="K12">
        <v>2016</v>
      </c>
      <c r="L12">
        <v>2017</v>
      </c>
      <c r="M12">
        <v>2018</v>
      </c>
      <c r="N12">
        <v>2019</v>
      </c>
      <c r="O12">
        <v>2020</v>
      </c>
      <c r="P12">
        <v>2021</v>
      </c>
      <c r="Q12">
        <v>2022</v>
      </c>
      <c r="R12">
        <v>2023</v>
      </c>
    </row>
    <row r="13" spans="2:21" ht="22.5" x14ac:dyDescent="0.25">
      <c r="B13" s="9" t="s">
        <v>706</v>
      </c>
      <c r="C13" s="10" t="s">
        <v>707</v>
      </c>
      <c r="D13" s="11" t="s">
        <v>708</v>
      </c>
      <c r="E13" s="12" t="s">
        <v>804</v>
      </c>
      <c r="F13" s="13" t="s">
        <v>810</v>
      </c>
      <c r="G13" s="14">
        <f>'[1]2012'!$G$887</f>
        <v>3542.7138551977018</v>
      </c>
      <c r="H13" s="14">
        <f>'[1]2013'!$G$887</f>
        <v>3421.459630355228</v>
      </c>
      <c r="I13" s="14">
        <f>'[1]2014'!$G$887</f>
        <v>3221.3834595822295</v>
      </c>
      <c r="J13" s="14">
        <f>'[1]2015'!$G$887</f>
        <v>3253.911932966942</v>
      </c>
      <c r="K13" s="14">
        <f>'[1]2016'!$G$887</f>
        <v>3117.6171548859406</v>
      </c>
      <c r="L13" s="14">
        <f>'[1]2017'!$G$887</f>
        <v>3438.3985297822528</v>
      </c>
      <c r="M13" s="14">
        <f>'[1]2018'!$G$887</f>
        <v>3377.1233526597507</v>
      </c>
      <c r="N13" s="14">
        <f>'[1]2019'!$G$887</f>
        <v>3196.3874441764942</v>
      </c>
      <c r="O13" s="14">
        <f>'[1]2020'!$W$887</f>
        <v>3071.3664077960234</v>
      </c>
      <c r="P13" s="14">
        <f>'[1]2021'!$W$887</f>
        <v>3601.1883249003822</v>
      </c>
      <c r="Q13" s="14">
        <f>'[1]2022'!$W$887</f>
        <v>4692.0503747350549</v>
      </c>
      <c r="R13" s="14">
        <f>'[1]2023'!$W$887</f>
        <v>4371.5550792094364</v>
      </c>
      <c r="S13" s="63" t="s">
        <v>787</v>
      </c>
      <c r="T13" s="63" t="s">
        <v>788</v>
      </c>
    </row>
    <row r="14" spans="2:21" x14ac:dyDescent="0.25">
      <c r="B14" s="15"/>
      <c r="C14" s="16"/>
      <c r="D14" s="17"/>
      <c r="E14" s="18"/>
      <c r="F14" t="s">
        <v>709</v>
      </c>
      <c r="G14" s="19">
        <f>'[2]51000-0102'!J7</f>
        <v>3042.7679179931479</v>
      </c>
      <c r="H14" s="19">
        <f>'[2]51000-0102'!J28</f>
        <v>2795.5921938088827</v>
      </c>
      <c r="I14" s="19">
        <f>'[2]51000-0102'!J49</f>
        <v>2717.4630914762392</v>
      </c>
      <c r="J14" s="19">
        <f>'[2]51000-0102'!J70</f>
        <v>2722.983870967742</v>
      </c>
      <c r="K14" s="19">
        <f>'[2]51000-0102'!J91</f>
        <v>2752.791332395997</v>
      </c>
      <c r="L14" s="19">
        <f>'[2]51000-0102'!J112</f>
        <v>2715.0823371653773</v>
      </c>
      <c r="M14" s="19">
        <f>'[2]51000-0102'!J133</f>
        <v>2823.0671736375157</v>
      </c>
      <c r="N14" s="19">
        <f>'[2]51000-0102'!J154</f>
        <v>2980.9054060653416</v>
      </c>
      <c r="O14" s="19">
        <f>'[2]51000-0102'!J175</f>
        <v>2584.2455462545608</v>
      </c>
      <c r="P14" s="19">
        <f>'[2]51000-0102'!J196</f>
        <v>3193.50363176365</v>
      </c>
      <c r="Q14" s="19">
        <f>'[2]51000-0102'!J217</f>
        <v>3698.9306279133534</v>
      </c>
      <c r="R14" s="19">
        <f>'[2]51000-0102'!J238</f>
        <v>3551.3545835058185</v>
      </c>
      <c r="S14" t="s">
        <v>808</v>
      </c>
      <c r="T14" s="2">
        <f>CORREL(G13:R13,G14:R14)</f>
        <v>0.94030530471791907</v>
      </c>
    </row>
    <row r="15" spans="2:21" x14ac:dyDescent="0.25">
      <c r="B15" s="15"/>
      <c r="C15" s="16"/>
      <c r="D15" s="17"/>
      <c r="E15" s="18"/>
      <c r="F15" t="s">
        <v>805</v>
      </c>
      <c r="G15" s="19">
        <f>G13-G14</f>
        <v>499.94593720455396</v>
      </c>
      <c r="H15" s="19">
        <f t="shared" ref="H15:R15" si="0">H13-H14</f>
        <v>625.86743654634529</v>
      </c>
      <c r="I15" s="19">
        <f t="shared" si="0"/>
        <v>503.92036810599029</v>
      </c>
      <c r="J15" s="19">
        <f t="shared" si="0"/>
        <v>530.92806199920005</v>
      </c>
      <c r="K15" s="19">
        <f t="shared" si="0"/>
        <v>364.82582248994368</v>
      </c>
      <c r="L15" s="19">
        <f t="shared" si="0"/>
        <v>723.31619261687547</v>
      </c>
      <c r="M15" s="19">
        <f t="shared" si="0"/>
        <v>554.05617902223503</v>
      </c>
      <c r="N15" s="19">
        <f t="shared" si="0"/>
        <v>215.48203811115263</v>
      </c>
      <c r="O15" s="19">
        <f t="shared" si="0"/>
        <v>487.12086154146255</v>
      </c>
      <c r="P15" s="19">
        <f t="shared" si="0"/>
        <v>407.68469313673222</v>
      </c>
      <c r="Q15" s="19">
        <f t="shared" si="0"/>
        <v>993.11974682170148</v>
      </c>
      <c r="R15" s="19">
        <f t="shared" si="0"/>
        <v>820.20049570361789</v>
      </c>
      <c r="T15" s="2"/>
    </row>
    <row r="16" spans="2:21" x14ac:dyDescent="0.25">
      <c r="B16" s="15"/>
      <c r="C16" s="16"/>
      <c r="D16" s="17"/>
      <c r="E16" s="18"/>
      <c r="F16" t="s">
        <v>806</v>
      </c>
      <c r="G16" s="2">
        <f t="shared" ref="G16:R16" si="1">(G13/G14)*100</f>
        <v>116.43062996188985</v>
      </c>
      <c r="H16" s="2">
        <f t="shared" si="1"/>
        <v>122.3876514583347</v>
      </c>
      <c r="I16" s="2">
        <f t="shared" si="1"/>
        <v>118.5437796629738</v>
      </c>
      <c r="J16" s="2">
        <f t="shared" si="1"/>
        <v>119.49802448923465</v>
      </c>
      <c r="K16" s="2">
        <f t="shared" si="1"/>
        <v>113.25294141246818</v>
      </c>
      <c r="L16" s="2">
        <f t="shared" si="1"/>
        <v>126.6406724656475</v>
      </c>
      <c r="M16" s="2">
        <f t="shared" si="1"/>
        <v>119.62603597236883</v>
      </c>
      <c r="N16" s="2">
        <f t="shared" si="1"/>
        <v>107.22874458453813</v>
      </c>
      <c r="O16" s="2">
        <f t="shared" si="1"/>
        <v>118.84963533157537</v>
      </c>
      <c r="P16" s="2">
        <f t="shared" si="1"/>
        <v>112.76606323793605</v>
      </c>
      <c r="Q16" s="2">
        <f t="shared" si="1"/>
        <v>126.84883407456446</v>
      </c>
      <c r="R16" s="2">
        <f t="shared" si="1"/>
        <v>123.09542672852267</v>
      </c>
      <c r="T16" s="2"/>
    </row>
    <row r="17" spans="2:20" x14ac:dyDescent="0.25">
      <c r="B17" s="15"/>
      <c r="C17" s="16"/>
      <c r="D17" s="17"/>
      <c r="E17" s="18"/>
      <c r="T17" s="2"/>
    </row>
    <row r="18" spans="2:20" x14ac:dyDescent="0.25">
      <c r="B18" s="15"/>
      <c r="C18" s="16"/>
      <c r="D18" s="17"/>
      <c r="E18" s="18"/>
      <c r="F18" t="s">
        <v>710</v>
      </c>
      <c r="G18" s="19">
        <f>'[2]51000-0102'!I7</f>
        <v>3234.6083956631542</v>
      </c>
      <c r="H18" s="19">
        <f>'[2]51000-0102'!I28</f>
        <v>3128.9891312421087</v>
      </c>
      <c r="I18" s="19">
        <f>'[2]51000-0102'!I49</f>
        <v>3122.9425297374246</v>
      </c>
      <c r="J18" s="19">
        <f>'[2]51000-0102'!I70</f>
        <v>3205.1693845258906</v>
      </c>
      <c r="K18" s="19">
        <f>'[2]51000-0102'!I91</f>
        <v>3054.2351364694273</v>
      </c>
      <c r="L18" s="19">
        <f>'[2]51000-0102'!I112</f>
        <v>3433.0831913816128</v>
      </c>
      <c r="M18" s="19">
        <f>'[2]51000-0102'!I133</f>
        <v>3372.0262223181321</v>
      </c>
      <c r="N18" s="19">
        <f>'[2]51000-0102'!I154</f>
        <v>3100.3322744367765</v>
      </c>
      <c r="O18" s="19">
        <f>'[2]51000-0102'!I175</f>
        <v>2901.3162853032827</v>
      </c>
      <c r="P18" s="19">
        <f>'[2]51000-0102'!I196</f>
        <v>2920.7568702173403</v>
      </c>
      <c r="Q18" s="19">
        <f>'[2]51000-0102'!I217</f>
        <v>3485.2120840513226</v>
      </c>
      <c r="R18" s="19">
        <f>'[2]51000-0102'!I238</f>
        <v>3415.9933864140062</v>
      </c>
      <c r="S18" t="s">
        <v>809</v>
      </c>
      <c r="T18" s="2">
        <f>CORREL(G13:R13,G18:R18)</f>
        <v>0.65299607150941208</v>
      </c>
    </row>
    <row r="19" spans="2:20" x14ac:dyDescent="0.25">
      <c r="B19" s="15"/>
      <c r="C19" s="16"/>
      <c r="D19" s="17"/>
      <c r="E19" s="18"/>
      <c r="F19" t="s">
        <v>805</v>
      </c>
      <c r="G19" s="19">
        <f>G13-G18</f>
        <v>308.10545953454766</v>
      </c>
      <c r="H19" s="19">
        <f>H13-H18</f>
        <v>292.47049911311933</v>
      </c>
      <c r="I19" s="19">
        <f>I13-I18</f>
        <v>98.440929844804941</v>
      </c>
      <c r="J19" s="19">
        <f>J13-J18</f>
        <v>48.74254844105144</v>
      </c>
      <c r="K19" s="19">
        <f t="shared" ref="K19:R19" si="2">K13-K18</f>
        <v>63.382018416513347</v>
      </c>
      <c r="L19" s="19">
        <f t="shared" si="2"/>
        <v>5.3153384006400302</v>
      </c>
      <c r="M19" s="19">
        <f t="shared" si="2"/>
        <v>5.0971303416185947</v>
      </c>
      <c r="N19" s="19">
        <f t="shared" si="2"/>
        <v>96.055169739717712</v>
      </c>
      <c r="O19" s="19">
        <f t="shared" si="2"/>
        <v>170.05012249274068</v>
      </c>
      <c r="P19" s="19">
        <f t="shared" si="2"/>
        <v>680.43145468304192</v>
      </c>
      <c r="Q19" s="19">
        <f t="shared" si="2"/>
        <v>1206.8382906837323</v>
      </c>
      <c r="R19" s="19">
        <f t="shared" si="2"/>
        <v>955.56169279543019</v>
      </c>
      <c r="T19" s="2"/>
    </row>
    <row r="20" spans="2:20" x14ac:dyDescent="0.25">
      <c r="B20" s="15"/>
      <c r="C20" s="16"/>
      <c r="D20" s="17"/>
      <c r="E20" s="18"/>
      <c r="F20" t="s">
        <v>807</v>
      </c>
      <c r="G20" s="2">
        <f>(G13/G18)*100</f>
        <v>109.52527854523733</v>
      </c>
      <c r="H20" s="2">
        <f>(H13/H18)*100</f>
        <v>109.34712416201388</v>
      </c>
      <c r="I20" s="2">
        <f>(I13/I18)*100</f>
        <v>103.1521851237231</v>
      </c>
      <c r="J20" s="2">
        <f>(J13/J18)*100</f>
        <v>101.52074797283331</v>
      </c>
      <c r="K20" s="2">
        <f t="shared" ref="K20:R20" si="3">(K13/K18)*100</f>
        <v>102.07521738125835</v>
      </c>
      <c r="L20" s="2">
        <f t="shared" si="3"/>
        <v>100.15482696178128</v>
      </c>
      <c r="M20" s="2">
        <f t="shared" si="3"/>
        <v>100.1511592735514</v>
      </c>
      <c r="N20" s="2">
        <f t="shared" si="3"/>
        <v>103.09822177873396</v>
      </c>
      <c r="O20" s="2">
        <f t="shared" si="3"/>
        <v>105.86113700716243</v>
      </c>
      <c r="P20" s="2">
        <f t="shared" si="3"/>
        <v>123.29640859947406</v>
      </c>
      <c r="Q20" s="2">
        <f t="shared" si="3"/>
        <v>134.62739889507282</v>
      </c>
      <c r="R20" s="2">
        <f t="shared" si="3"/>
        <v>127.9731716283721</v>
      </c>
      <c r="T20" s="2"/>
    </row>
    <row r="21" spans="2:20" x14ac:dyDescent="0.25">
      <c r="B21" s="15"/>
      <c r="C21" s="16"/>
      <c r="D21" s="17"/>
      <c r="E21" s="18"/>
      <c r="G21" s="2"/>
      <c r="H21" s="2"/>
      <c r="I21" s="2"/>
      <c r="J21" s="2"/>
      <c r="K21" s="2"/>
      <c r="L21" s="2"/>
      <c r="M21" s="2"/>
      <c r="N21" s="2"/>
      <c r="O21" s="2"/>
      <c r="P21" s="2"/>
      <c r="Q21" s="2"/>
      <c r="R21" s="2"/>
      <c r="T21" s="2"/>
    </row>
    <row r="22" spans="2:20" x14ac:dyDescent="0.25">
      <c r="B22" s="9" t="s">
        <v>711</v>
      </c>
      <c r="C22" s="10" t="s">
        <v>712</v>
      </c>
      <c r="D22" s="11" t="s">
        <v>713</v>
      </c>
      <c r="E22" s="12" t="s">
        <v>714</v>
      </c>
      <c r="F22" s="13" t="s">
        <v>810</v>
      </c>
      <c r="G22" s="14">
        <f>'[3]2012'!$G$915</f>
        <v>5060.717741938186</v>
      </c>
      <c r="H22" s="14">
        <f>'[3]2013'!$G$915</f>
        <v>4863.3887956479148</v>
      </c>
      <c r="I22" s="14">
        <f>'[3]2014'!$G$915</f>
        <v>4449.0529797059926</v>
      </c>
      <c r="J22" s="14">
        <f>'[3]2015'!$G$915</f>
        <v>4068.5897880091461</v>
      </c>
      <c r="K22" s="14">
        <f>'[3]2016'!$G$915</f>
        <v>3813.0915826145324</v>
      </c>
      <c r="L22" s="14">
        <f>'[3]2017'!$G$915</f>
        <v>5279.3845558380617</v>
      </c>
      <c r="M22" s="14">
        <f>'[3]2018'!$G$915</f>
        <v>4240.2527566842145</v>
      </c>
      <c r="N22" s="14">
        <f>'[3]2019'!$G$915</f>
        <v>3771.7600191805509</v>
      </c>
      <c r="O22" s="14">
        <f>'[3]2020'!$W$915</f>
        <v>3475.2662751266298</v>
      </c>
      <c r="P22" s="14">
        <f>'[3]2021'!$W$915</f>
        <v>3890.2868291041068</v>
      </c>
      <c r="Q22" s="14">
        <f>'[3]2022'!$W$915</f>
        <v>4837.7995506245234</v>
      </c>
      <c r="R22" s="14">
        <f>'[3]2023'!$W$915</f>
        <v>5061.212109706099</v>
      </c>
      <c r="T22" s="2"/>
    </row>
    <row r="23" spans="2:20" x14ac:dyDescent="0.25">
      <c r="B23" s="15"/>
      <c r="C23" s="16"/>
      <c r="D23" s="17"/>
      <c r="E23" s="18"/>
      <c r="F23" t="s">
        <v>715</v>
      </c>
      <c r="G23" s="19">
        <f>'[2]51000-0102'!J14</f>
        <v>3559.2030193978758</v>
      </c>
      <c r="H23" s="19">
        <f>'[2]51000-0102'!J35</f>
        <v>2987.2631916943169</v>
      </c>
      <c r="I23" s="19">
        <f>'[2]51000-0102'!J56</f>
        <v>2652.9928840519042</v>
      </c>
      <c r="J23" s="19">
        <f>'[2]51000-0102'!J77</f>
        <v>2593.6199722607494</v>
      </c>
      <c r="K23" s="19">
        <f>'[2]51000-0102'!J98</f>
        <v>2796.4285714285711</v>
      </c>
      <c r="L23" s="19">
        <f>'[2]51000-0102'!J119</f>
        <v>2828.4304768865341</v>
      </c>
      <c r="M23" s="19">
        <f>'[2]51000-0102'!J140</f>
        <v>1651.7857142857144</v>
      </c>
      <c r="N23" s="19">
        <f>'[2]51000-0102'!J161</f>
        <v>1295.3367875647668</v>
      </c>
      <c r="O23" s="19">
        <f>'[2]51000-0102'!J182</f>
        <v>4301.0752688172042</v>
      </c>
      <c r="P23" s="19">
        <f>'[2]51000-0102'!J203</f>
        <v>9214.2857142857138</v>
      </c>
      <c r="Q23" s="19">
        <f>'[2]51000-0102'!J224</f>
        <v>3569.0607734806631</v>
      </c>
      <c r="R23" s="19">
        <f>'[2]51000-0102'!J245</f>
        <v>3636.363636363636</v>
      </c>
      <c r="S23" t="s">
        <v>808</v>
      </c>
      <c r="T23" s="2">
        <f>CORREL(G22:R22,G23:R23)</f>
        <v>-0.14713789110213635</v>
      </c>
    </row>
    <row r="24" spans="2:20" x14ac:dyDescent="0.25">
      <c r="B24" s="15"/>
      <c r="C24" s="16"/>
      <c r="D24" s="17"/>
      <c r="E24" s="18"/>
      <c r="F24" t="s">
        <v>716</v>
      </c>
      <c r="G24" s="19">
        <f>G22-G23</f>
        <v>1501.5147225403102</v>
      </c>
      <c r="H24" s="19">
        <f t="shared" ref="H24:R24" si="4">H22-H23</f>
        <v>1876.1256039535979</v>
      </c>
      <c r="I24" s="19">
        <f t="shared" si="4"/>
        <v>1796.0600956540884</v>
      </c>
      <c r="J24" s="19">
        <f t="shared" si="4"/>
        <v>1474.9698157483967</v>
      </c>
      <c r="K24" s="19">
        <f t="shared" si="4"/>
        <v>1016.6630111859613</v>
      </c>
      <c r="L24" s="19">
        <f t="shared" si="4"/>
        <v>2450.9540789515277</v>
      </c>
      <c r="M24" s="19">
        <f t="shared" si="4"/>
        <v>2588.4670423984999</v>
      </c>
      <c r="N24" s="19">
        <f t="shared" si="4"/>
        <v>2476.4232316157841</v>
      </c>
      <c r="O24" s="19">
        <f t="shared" si="4"/>
        <v>-825.80899369057443</v>
      </c>
      <c r="P24" s="19">
        <f t="shared" si="4"/>
        <v>-5323.998885181607</v>
      </c>
      <c r="Q24" s="19">
        <f t="shared" si="4"/>
        <v>1268.7387771438603</v>
      </c>
      <c r="R24" s="19">
        <f t="shared" si="4"/>
        <v>1424.848473342463</v>
      </c>
      <c r="T24" s="2"/>
    </row>
    <row r="25" spans="2:20" x14ac:dyDescent="0.25">
      <c r="B25" s="15"/>
      <c r="C25" s="16"/>
      <c r="D25" s="17"/>
      <c r="E25" s="18"/>
      <c r="F25" t="s">
        <v>717</v>
      </c>
      <c r="G25" s="2">
        <f t="shared" ref="G25:R25" si="5">(G22/G23)*100</f>
        <v>142.18682425129902</v>
      </c>
      <c r="H25" s="2">
        <f t="shared" si="5"/>
        <v>162.80416165438362</v>
      </c>
      <c r="I25" s="2">
        <f t="shared" si="5"/>
        <v>167.69939363391634</v>
      </c>
      <c r="J25" s="2">
        <f t="shared" si="5"/>
        <v>156.86915706709058</v>
      </c>
      <c r="K25" s="2">
        <f t="shared" si="5"/>
        <v>136.35576540639454</v>
      </c>
      <c r="L25" s="2">
        <f t="shared" si="5"/>
        <v>186.65420978101881</v>
      </c>
      <c r="M25" s="2">
        <f t="shared" si="5"/>
        <v>256.70719391817943</v>
      </c>
      <c r="N25" s="2">
        <f t="shared" si="5"/>
        <v>291.17987348073854</v>
      </c>
      <c r="O25" s="2">
        <f t="shared" si="5"/>
        <v>80.799940896694139</v>
      </c>
      <c r="P25" s="2">
        <f t="shared" si="5"/>
        <v>42.220167137563955</v>
      </c>
      <c r="Q25" s="2">
        <f t="shared" si="5"/>
        <v>135.54825366300909</v>
      </c>
      <c r="R25" s="2">
        <f t="shared" si="5"/>
        <v>139.18333301691774</v>
      </c>
      <c r="T25" s="2"/>
    </row>
    <row r="26" spans="2:20" x14ac:dyDescent="0.25">
      <c r="B26" s="15"/>
      <c r="C26" s="16"/>
      <c r="D26" s="17"/>
      <c r="E26" s="18"/>
      <c r="T26" s="2"/>
    </row>
    <row r="27" spans="2:20" x14ac:dyDescent="0.25">
      <c r="B27" s="15"/>
      <c r="C27" s="16"/>
      <c r="D27" s="17"/>
      <c r="E27" s="18"/>
      <c r="F27" t="s">
        <v>718</v>
      </c>
      <c r="G27" s="19">
        <f>'[2]51000-0102'!I14</f>
        <v>3309.1191307722156</v>
      </c>
      <c r="H27" s="19">
        <f>'[2]51000-0102'!I35</f>
        <v>2603.9516581939652</v>
      </c>
      <c r="I27" s="19">
        <f>'[2]51000-0102'!I56</f>
        <v>2292.4187134885701</v>
      </c>
      <c r="J27" s="19">
        <f>'[2]51000-0102'!I77</f>
        <v>2752.0265928525532</v>
      </c>
      <c r="K27" s="19">
        <f>'[2]51000-0102'!I98</f>
        <v>2610.2305039627322</v>
      </c>
      <c r="L27" s="19">
        <f>'[2]51000-0102'!I119</f>
        <v>2951.7607289568714</v>
      </c>
      <c r="M27" s="19">
        <f>'[2]51000-0102'!I140</f>
        <v>2958.445142092125</v>
      </c>
      <c r="N27" s="19">
        <f>'[2]51000-0102'!I161</f>
        <v>2537.1330564312589</v>
      </c>
      <c r="O27" s="19">
        <f>'[2]51000-0102'!I182</f>
        <v>2149.1834077196049</v>
      </c>
      <c r="P27" s="19">
        <f>'[2]51000-0102'!I203</f>
        <v>2712.5418905509896</v>
      </c>
      <c r="Q27" s="19">
        <f>'[2]51000-0102'!I224</f>
        <v>3355.9045142361806</v>
      </c>
      <c r="R27" s="19">
        <f>'[2]51000-0102'!I245</f>
        <v>3860.0677180666562</v>
      </c>
      <c r="S27" t="s">
        <v>809</v>
      </c>
      <c r="T27" s="2">
        <f>CORREL(G22:R22,G27:R27)</f>
        <v>0.68793513936132944</v>
      </c>
    </row>
    <row r="28" spans="2:20" x14ac:dyDescent="0.25">
      <c r="B28" s="15"/>
      <c r="C28" s="16"/>
      <c r="D28" s="17"/>
      <c r="E28" s="18"/>
      <c r="F28" t="s">
        <v>719</v>
      </c>
      <c r="G28" s="19">
        <f>G13-G27</f>
        <v>233.59472442548622</v>
      </c>
      <c r="H28" s="19">
        <f t="shared" ref="H28:R28" si="6">H13-H27</f>
        <v>817.50797216126284</v>
      </c>
      <c r="I28" s="19">
        <f t="shared" si="6"/>
        <v>928.96474609365941</v>
      </c>
      <c r="J28" s="19">
        <f t="shared" si="6"/>
        <v>501.88534011438878</v>
      </c>
      <c r="K28" s="19">
        <f t="shared" si="6"/>
        <v>507.38665092320844</v>
      </c>
      <c r="L28" s="19">
        <f t="shared" si="6"/>
        <v>486.63780082538142</v>
      </c>
      <c r="M28" s="19">
        <f t="shared" si="6"/>
        <v>418.67821056762568</v>
      </c>
      <c r="N28" s="19">
        <f t="shared" si="6"/>
        <v>659.25438774523536</v>
      </c>
      <c r="O28" s="19">
        <f t="shared" si="6"/>
        <v>922.18300007641847</v>
      </c>
      <c r="P28" s="19">
        <f t="shared" si="6"/>
        <v>888.64643434939262</v>
      </c>
      <c r="Q28" s="19">
        <f t="shared" si="6"/>
        <v>1336.1458604988743</v>
      </c>
      <c r="R28" s="19">
        <f t="shared" si="6"/>
        <v>511.48736114278017</v>
      </c>
    </row>
    <row r="29" spans="2:20" x14ac:dyDescent="0.25">
      <c r="B29" s="15"/>
      <c r="C29" s="16"/>
      <c r="D29" s="17"/>
      <c r="E29" s="18"/>
      <c r="F29" t="s">
        <v>720</v>
      </c>
      <c r="G29" s="2">
        <f>(G22/G27)*100</f>
        <v>152.93247362651513</v>
      </c>
      <c r="H29" s="2">
        <f>(H22/H27)*100</f>
        <v>186.76955005459041</v>
      </c>
      <c r="I29" s="2">
        <f>(I22/I27)*100</f>
        <v>194.07680427348663</v>
      </c>
      <c r="J29" s="2">
        <f>(J22/J27)*100</f>
        <v>147.83977010163764</v>
      </c>
      <c r="K29" s="2">
        <f t="shared" ref="K29:R29" si="7">(K22/K27)*100</f>
        <v>146.08256155253997</v>
      </c>
      <c r="L29" s="2">
        <f t="shared" si="7"/>
        <v>178.85543716491389</v>
      </c>
      <c r="M29" s="2">
        <f t="shared" si="7"/>
        <v>143.32707057348486</v>
      </c>
      <c r="N29" s="2">
        <f t="shared" si="7"/>
        <v>148.66228673422131</v>
      </c>
      <c r="O29" s="2">
        <f t="shared" si="7"/>
        <v>161.70170785070724</v>
      </c>
      <c r="P29" s="2">
        <f t="shared" si="7"/>
        <v>143.41849770710402</v>
      </c>
      <c r="Q29" s="2">
        <f t="shared" si="7"/>
        <v>144.15784269492627</v>
      </c>
      <c r="R29" s="2">
        <f t="shared" si="7"/>
        <v>131.11718444776523</v>
      </c>
    </row>
  </sheetData>
  <mergeCells count="2">
    <mergeCell ref="B2:U4"/>
    <mergeCell ref="B6:U8"/>
  </mergeCells>
  <pageMargins left="0.7" right="0.7" top="0.78740157499999996" bottom="0.78740157499999996"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V77"/>
  <sheetViews>
    <sheetView workbookViewId="0">
      <selection activeCell="B3" sqref="B3:R4"/>
    </sheetView>
  </sheetViews>
  <sheetFormatPr baseColWidth="10" defaultRowHeight="15" x14ac:dyDescent="0.25"/>
  <cols>
    <col min="6" max="6" width="25.5703125" customWidth="1"/>
    <col min="7" max="7" width="14.28515625" customWidth="1"/>
    <col min="19" max="19" width="21.42578125" customWidth="1"/>
  </cols>
  <sheetData>
    <row r="3" spans="2:22" x14ac:dyDescent="0.25">
      <c r="B3" s="187" t="s">
        <v>811</v>
      </c>
      <c r="C3" s="188"/>
      <c r="D3" s="188"/>
      <c r="E3" s="188"/>
      <c r="F3" s="188"/>
      <c r="G3" s="188"/>
      <c r="H3" s="188"/>
      <c r="I3" s="188"/>
      <c r="J3" s="188"/>
      <c r="K3" s="188"/>
      <c r="L3" s="188"/>
      <c r="M3" s="188"/>
      <c r="N3" s="188"/>
      <c r="O3" s="188"/>
      <c r="P3" s="188"/>
      <c r="Q3" s="188"/>
      <c r="R3" s="188"/>
    </row>
    <row r="4" spans="2:22" x14ac:dyDescent="0.25">
      <c r="B4" s="188"/>
      <c r="C4" s="188"/>
      <c r="D4" s="188"/>
      <c r="E4" s="188"/>
      <c r="F4" s="188"/>
      <c r="G4" s="188"/>
      <c r="H4" s="188"/>
      <c r="I4" s="188"/>
      <c r="J4" s="188"/>
      <c r="K4" s="188"/>
      <c r="L4" s="188"/>
      <c r="M4" s="188"/>
      <c r="N4" s="188"/>
      <c r="O4" s="188"/>
      <c r="P4" s="188"/>
      <c r="Q4" s="188"/>
      <c r="R4" s="188"/>
    </row>
    <row r="7" spans="2:22" ht="15.75" x14ac:dyDescent="0.25">
      <c r="B7" s="1" t="s">
        <v>721</v>
      </c>
      <c r="C7" s="1"/>
      <c r="D7" s="1"/>
      <c r="E7" s="1"/>
      <c r="F7" s="1"/>
      <c r="G7" s="1"/>
      <c r="H7" s="1"/>
      <c r="I7" s="1"/>
      <c r="J7" s="1"/>
      <c r="K7" s="1"/>
      <c r="L7" s="1"/>
      <c r="M7" s="1"/>
    </row>
    <row r="8" spans="2:22" x14ac:dyDescent="0.25">
      <c r="G8">
        <v>2012</v>
      </c>
      <c r="H8">
        <v>2013</v>
      </c>
      <c r="I8">
        <v>2014</v>
      </c>
      <c r="J8">
        <v>2015</v>
      </c>
      <c r="K8">
        <v>2016</v>
      </c>
      <c r="L8">
        <v>2017</v>
      </c>
      <c r="M8">
        <v>2018</v>
      </c>
      <c r="N8">
        <v>2019</v>
      </c>
      <c r="O8">
        <v>2020</v>
      </c>
      <c r="P8">
        <v>2021</v>
      </c>
      <c r="Q8">
        <v>2022</v>
      </c>
      <c r="R8">
        <v>2023</v>
      </c>
      <c r="S8" s="2"/>
      <c r="T8" s="2"/>
      <c r="U8" s="2"/>
      <c r="V8" s="2"/>
    </row>
    <row r="9" spans="2:22" ht="22.5" x14ac:dyDescent="0.25">
      <c r="B9" s="9" t="s">
        <v>722</v>
      </c>
      <c r="C9" s="10">
        <v>11400</v>
      </c>
      <c r="D9" s="11" t="s">
        <v>723</v>
      </c>
      <c r="E9" s="20" t="s">
        <v>724</v>
      </c>
      <c r="F9" s="13" t="s">
        <v>810</v>
      </c>
      <c r="G9" s="14">
        <f>'[4]2012'!$H$1053</f>
        <v>3985.3065983670253</v>
      </c>
      <c r="H9" s="14">
        <f>'[4]2013'!$H$1053</f>
        <v>4633.8504864807683</v>
      </c>
      <c r="I9" s="14">
        <f>'[4]2014'!$H$1053</f>
        <v>4291.569193544181</v>
      </c>
      <c r="J9" s="14">
        <f>'[4]2015'!$H$1053</f>
        <v>4822.3115648524499</v>
      </c>
      <c r="K9" s="14">
        <f>'[4]2016'!$H$1053</f>
        <v>4747.8017776881679</v>
      </c>
      <c r="L9" s="14">
        <f>'[4]2017'!$H$1053</f>
        <v>5835.4189662590716</v>
      </c>
      <c r="M9" s="14">
        <f>'[4]2018'!$H$1053</f>
        <v>4462.5583710876253</v>
      </c>
      <c r="N9" s="14">
        <f>'[4]2019'!$H$1053</f>
        <v>5461.1770478339567</v>
      </c>
      <c r="O9" s="14">
        <f>'[4]2020'!$X$1053</f>
        <v>5224.2233861079549</v>
      </c>
      <c r="P9" s="14">
        <f>'[4]2021'!$X$1053</f>
        <v>4037.5513920931921</v>
      </c>
      <c r="Q9" s="14">
        <f>'[4]2022'!$X$1053</f>
        <v>7222.7623579620267</v>
      </c>
      <c r="R9" s="14">
        <f>'[4]2023'!$X$1053</f>
        <v>7435.7590628778507</v>
      </c>
      <c r="S9" s="63" t="s">
        <v>787</v>
      </c>
      <c r="T9" s="63" t="s">
        <v>788</v>
      </c>
    </row>
    <row r="10" spans="2:22" ht="17.25" x14ac:dyDescent="0.25">
      <c r="B10" s="15"/>
      <c r="C10" s="16"/>
      <c r="D10" s="17"/>
      <c r="E10" s="21"/>
      <c r="F10" t="s">
        <v>725</v>
      </c>
      <c r="G10" s="19">
        <f>'[2]51000-0104'!R7</f>
        <v>5200</v>
      </c>
      <c r="H10" s="19">
        <f>'[2]51000-0104'!R13</f>
        <v>4473.6842105263158</v>
      </c>
      <c r="I10" s="19">
        <f>'[2]51000-0104'!R19</f>
        <v>5696.2025316455702</v>
      </c>
      <c r="J10" s="19">
        <f>'[2]51000-0104'!R25</f>
        <v>0</v>
      </c>
      <c r="K10" s="19">
        <f>'[2]51000-0104'!R31</f>
        <v>0</v>
      </c>
      <c r="L10" s="19">
        <f>'[2]51000-0104'!R37</f>
        <v>12000</v>
      </c>
      <c r="M10" s="19">
        <f>'[2]51000-0104'!R43</f>
        <v>0</v>
      </c>
      <c r="N10" s="19">
        <f>'[2]51000-0104'!R49</f>
        <v>0</v>
      </c>
      <c r="O10" s="19">
        <f>'[2]51000-0104'!R55</f>
        <v>2645.4839522343491</v>
      </c>
      <c r="P10" s="19">
        <f>'[2]51000-0104'!R61</f>
        <v>2994.9335665111598</v>
      </c>
      <c r="Q10" s="19">
        <f>'[2]51000-0104'!R67</f>
        <v>3571.708828204306</v>
      </c>
      <c r="R10" s="19">
        <f>'[2]51000-0104'!R73</f>
        <v>3491.3751017919571</v>
      </c>
      <c r="S10" t="s">
        <v>808</v>
      </c>
      <c r="T10" s="2">
        <f>CORREL(G9:R9,G10:R10)</f>
        <v>0.13860184936951095</v>
      </c>
    </row>
    <row r="11" spans="2:22" x14ac:dyDescent="0.25">
      <c r="B11" s="15"/>
      <c r="C11" s="16"/>
      <c r="D11" s="17"/>
      <c r="E11" s="21"/>
      <c r="F11" t="s">
        <v>805</v>
      </c>
      <c r="G11" s="19">
        <f>G9-G10</f>
        <v>-1214.6934016329747</v>
      </c>
      <c r="H11" s="19">
        <f t="shared" ref="H11:R11" si="0">H9-H10</f>
        <v>160.16627595445243</v>
      </c>
      <c r="I11" s="19">
        <f t="shared" si="0"/>
        <v>-1404.6333381013892</v>
      </c>
      <c r="J11" s="19">
        <f t="shared" si="0"/>
        <v>4822.3115648524499</v>
      </c>
      <c r="K11" s="19">
        <f t="shared" si="0"/>
        <v>4747.8017776881679</v>
      </c>
      <c r="L11" s="19">
        <f t="shared" si="0"/>
        <v>-6164.5810337409284</v>
      </c>
      <c r="M11" s="19">
        <f t="shared" si="0"/>
        <v>4462.5583710876253</v>
      </c>
      <c r="N11" s="19">
        <f t="shared" si="0"/>
        <v>5461.1770478339567</v>
      </c>
      <c r="O11" s="19">
        <f t="shared" si="0"/>
        <v>2578.7394338736058</v>
      </c>
      <c r="P11" s="19">
        <f t="shared" si="0"/>
        <v>1042.6178255820323</v>
      </c>
      <c r="Q11" s="19">
        <f t="shared" si="0"/>
        <v>3651.0535297577208</v>
      </c>
      <c r="R11" s="19">
        <f t="shared" si="0"/>
        <v>3944.3839610858936</v>
      </c>
      <c r="U11" s="52"/>
    </row>
    <row r="12" spans="2:22" x14ac:dyDescent="0.25">
      <c r="B12" s="15"/>
      <c r="C12" s="16"/>
      <c r="D12" s="17"/>
      <c r="E12" s="21"/>
      <c r="F12" t="s">
        <v>806</v>
      </c>
      <c r="G12" s="2">
        <f t="shared" ref="G12:R12" si="1">(G9/G10)*100</f>
        <v>76.640511507058179</v>
      </c>
      <c r="H12" s="2">
        <f t="shared" si="1"/>
        <v>103.58018734486423</v>
      </c>
      <c r="I12" s="2">
        <f t="shared" si="1"/>
        <v>75.340881397775618</v>
      </c>
      <c r="J12" s="2" t="e">
        <f t="shared" si="1"/>
        <v>#DIV/0!</v>
      </c>
      <c r="K12" s="2" t="e">
        <f t="shared" si="1"/>
        <v>#DIV/0!</v>
      </c>
      <c r="L12" s="2">
        <f t="shared" si="1"/>
        <v>48.628491385492261</v>
      </c>
      <c r="M12" s="2" t="e">
        <f t="shared" si="1"/>
        <v>#DIV/0!</v>
      </c>
      <c r="N12" s="2" t="e">
        <f t="shared" si="1"/>
        <v>#DIV/0!</v>
      </c>
      <c r="O12" s="2">
        <f t="shared" si="1"/>
        <v>197.47703937858435</v>
      </c>
      <c r="P12" s="2">
        <f t="shared" si="1"/>
        <v>134.81271962892293</v>
      </c>
      <c r="Q12" s="2">
        <f t="shared" si="1"/>
        <v>202.22147731995571</v>
      </c>
      <c r="R12" s="2">
        <f t="shared" si="1"/>
        <v>212.97508420282392</v>
      </c>
    </row>
    <row r="13" spans="2:22" x14ac:dyDescent="0.25">
      <c r="B13" s="15"/>
      <c r="C13" s="16"/>
      <c r="D13" s="17"/>
      <c r="E13" s="21"/>
    </row>
    <row r="14" spans="2:22" x14ac:dyDescent="0.25">
      <c r="B14" s="15"/>
      <c r="C14" s="16"/>
      <c r="D14" s="17"/>
      <c r="E14" s="21"/>
      <c r="F14" t="s">
        <v>726</v>
      </c>
      <c r="G14" s="19">
        <f>'[2]51000-0104'!Q7</f>
        <v>6860.727562400426</v>
      </c>
      <c r="H14" s="19">
        <f>'[2]51000-0104'!Q13</f>
        <v>6456.6509218345273</v>
      </c>
      <c r="I14" s="19">
        <f>'[2]51000-0104'!Q19</f>
        <v>6623.1811339688938</v>
      </c>
      <c r="J14" s="19">
        <f>'[2]51000-0104'!Q25</f>
        <v>7468.7581359021078</v>
      </c>
      <c r="K14" s="19">
        <f>'[2]51000-0104'!Q31</f>
        <v>7910.2483495756069</v>
      </c>
      <c r="L14" s="19">
        <f>'[2]51000-0104'!Q37</f>
        <v>7454.2682926829266</v>
      </c>
      <c r="M14" s="19">
        <f>'[2]51000-0104'!Q43</f>
        <v>5444.598819034386</v>
      </c>
      <c r="N14" s="19">
        <f>'[2]51000-0104'!Q49</f>
        <v>5283.4527104020844</v>
      </c>
      <c r="O14" s="19">
        <f>'[2]51000-0104'!Q55</f>
        <v>6380.4660788195079</v>
      </c>
      <c r="P14" s="19">
        <f>'[2]51000-0104'!Q61</f>
        <v>6433.2041315567922</v>
      </c>
      <c r="Q14" s="19">
        <f>'[2]51000-0104'!Q67</f>
        <v>6824.5392716103552</v>
      </c>
      <c r="R14" s="19">
        <f>'[2]51000-0104'!Q73</f>
        <v>6336.9416144200641</v>
      </c>
      <c r="S14" t="s">
        <v>809</v>
      </c>
      <c r="T14" s="19">
        <f>CORREL(G9:R9,G14:R14)</f>
        <v>-6.7968260247298932E-3</v>
      </c>
    </row>
    <row r="15" spans="2:22" x14ac:dyDescent="0.25">
      <c r="B15" s="15"/>
      <c r="C15" s="16"/>
      <c r="D15" s="17"/>
      <c r="E15" s="21"/>
      <c r="F15" t="s">
        <v>805</v>
      </c>
      <c r="G15" s="19">
        <f>G9-G14</f>
        <v>-2875.4209640334007</v>
      </c>
      <c r="H15" s="19">
        <f t="shared" ref="H15:R15" si="2">H9-H14</f>
        <v>-1822.800435353759</v>
      </c>
      <c r="I15" s="19">
        <f t="shared" si="2"/>
        <v>-2331.6119404247129</v>
      </c>
      <c r="J15" s="19">
        <f t="shared" si="2"/>
        <v>-2646.4465710496579</v>
      </c>
      <c r="K15" s="19">
        <f t="shared" si="2"/>
        <v>-3162.4465718874389</v>
      </c>
      <c r="L15" s="19">
        <f t="shared" si="2"/>
        <v>-1618.849326423855</v>
      </c>
      <c r="M15" s="19">
        <f t="shared" si="2"/>
        <v>-982.04044794676065</v>
      </c>
      <c r="N15" s="19">
        <f t="shared" si="2"/>
        <v>177.7243374318723</v>
      </c>
      <c r="O15" s="19">
        <f t="shared" si="2"/>
        <v>-1156.242692711553</v>
      </c>
      <c r="P15" s="19">
        <f t="shared" si="2"/>
        <v>-2395.6527394636</v>
      </c>
      <c r="Q15" s="19">
        <f t="shared" si="2"/>
        <v>398.22308635167155</v>
      </c>
      <c r="R15" s="19">
        <f t="shared" si="2"/>
        <v>1098.8174484577867</v>
      </c>
      <c r="S15" s="19"/>
    </row>
    <row r="16" spans="2:22" x14ac:dyDescent="0.25">
      <c r="B16" s="15"/>
      <c r="C16" s="16"/>
      <c r="D16" s="17"/>
      <c r="E16" s="21"/>
      <c r="F16" t="s">
        <v>807</v>
      </c>
      <c r="G16" s="2">
        <f>(G9/G14)*100</f>
        <v>58.088687564393673</v>
      </c>
      <c r="H16" s="2">
        <f>(H9/H14)*100</f>
        <v>71.768638920998896</v>
      </c>
      <c r="I16" s="2">
        <f>(I9/I14)*100</f>
        <v>64.796192444951132</v>
      </c>
      <c r="J16" s="2">
        <f>(J9/J14)*100</f>
        <v>64.566444341954735</v>
      </c>
      <c r="K16" s="2">
        <f t="shared" ref="K16:R16" si="3">(K9/K14)*100</f>
        <v>60.0208940082506</v>
      </c>
      <c r="L16" s="2">
        <f t="shared" si="3"/>
        <v>78.2829211015532</v>
      </c>
      <c r="M16" s="2">
        <f t="shared" si="3"/>
        <v>81.963033814107021</v>
      </c>
      <c r="N16" s="2">
        <f t="shared" si="3"/>
        <v>103.36379158049371</v>
      </c>
      <c r="O16" s="2">
        <f t="shared" si="3"/>
        <v>81.878397621299214</v>
      </c>
      <c r="P16" s="2">
        <f t="shared" si="3"/>
        <v>62.761126641198807</v>
      </c>
      <c r="Q16" s="2">
        <f t="shared" si="3"/>
        <v>105.83516440455188</v>
      </c>
      <c r="R16" s="2">
        <f t="shared" si="3"/>
        <v>117.33987016634913</v>
      </c>
    </row>
    <row r="17" spans="2:21" x14ac:dyDescent="0.25">
      <c r="B17" s="15"/>
      <c r="C17" s="16"/>
      <c r="D17" s="17"/>
      <c r="E17" s="21"/>
      <c r="F17" t="s">
        <v>727</v>
      </c>
      <c r="T17" s="52"/>
      <c r="U17" s="52"/>
    </row>
    <row r="19" spans="2:21" x14ac:dyDescent="0.25">
      <c r="F19" t="s">
        <v>812</v>
      </c>
      <c r="G19" s="52">
        <v>2533.9175865846464</v>
      </c>
      <c r="H19" s="52">
        <v>2464.194497429763</v>
      </c>
      <c r="I19" s="52">
        <v>2507.6212016914155</v>
      </c>
      <c r="J19" s="52">
        <v>2620.9544377455836</v>
      </c>
      <c r="K19" s="52">
        <v>2673.9767239331804</v>
      </c>
      <c r="L19" s="52">
        <v>2616.0485187776999</v>
      </c>
      <c r="M19" s="52">
        <v>2758.6974260069728</v>
      </c>
      <c r="N19" s="52">
        <v>2639.3389808023953</v>
      </c>
      <c r="O19" s="52">
        <v>2864.4727255816842</v>
      </c>
      <c r="P19" s="52">
        <v>3138.0215307160834</v>
      </c>
      <c r="Q19" s="52">
        <v>3603.4228385954557</v>
      </c>
      <c r="R19" s="52">
        <v>3559.4322516100797</v>
      </c>
      <c r="S19" t="s">
        <v>808</v>
      </c>
      <c r="T19" s="2">
        <f>CORREL(G9:R9,G19:R19)</f>
        <v>0.74864520604245821</v>
      </c>
    </row>
    <row r="20" spans="2:21" x14ac:dyDescent="0.25">
      <c r="F20" t="s">
        <v>813</v>
      </c>
      <c r="G20" s="52">
        <v>3660.4475134453228</v>
      </c>
      <c r="H20" s="52">
        <v>3440.5487804878048</v>
      </c>
      <c r="I20" s="52">
        <v>3530.1990965367245</v>
      </c>
      <c r="J20" s="52">
        <v>3983.3376724811246</v>
      </c>
      <c r="K20" s="52">
        <v>4218.3076439131801</v>
      </c>
      <c r="L20" s="52">
        <v>3983.1887201735358</v>
      </c>
      <c r="M20" s="52">
        <v>2903.3379694019468</v>
      </c>
      <c r="N20" s="52">
        <v>2820.6380208333335</v>
      </c>
      <c r="O20" s="52">
        <v>3400.5037783375319</v>
      </c>
      <c r="P20" s="52">
        <v>3625.5331666421534</v>
      </c>
      <c r="Q20" s="52">
        <v>3644.3468715697036</v>
      </c>
      <c r="R20" s="52">
        <v>3334</v>
      </c>
      <c r="S20" t="s">
        <v>809</v>
      </c>
      <c r="T20" s="2">
        <f>CORREL(G9:R9,G20:R20)</f>
        <v>-6.5882595901085E-2</v>
      </c>
    </row>
    <row r="21" spans="2:21" x14ac:dyDescent="0.25">
      <c r="F21" t="s">
        <v>814</v>
      </c>
      <c r="S21" s="52"/>
    </row>
    <row r="23" spans="2:21" x14ac:dyDescent="0.25">
      <c r="T23" s="52"/>
      <c r="U23" s="52"/>
    </row>
    <row r="27" spans="2:21" x14ac:dyDescent="0.25">
      <c r="S27" s="52"/>
    </row>
    <row r="29" spans="2:21" x14ac:dyDescent="0.25">
      <c r="T29" s="52"/>
    </row>
    <row r="32" spans="2:21" x14ac:dyDescent="0.25">
      <c r="U32" s="52"/>
    </row>
    <row r="33" spans="19:21" x14ac:dyDescent="0.25">
      <c r="S33" s="52"/>
    </row>
    <row r="35" spans="19:21" x14ac:dyDescent="0.25">
      <c r="T35" s="52"/>
    </row>
    <row r="38" spans="19:21" x14ac:dyDescent="0.25">
      <c r="U38" s="52"/>
    </row>
    <row r="39" spans="19:21" x14ac:dyDescent="0.25">
      <c r="S39" s="52"/>
    </row>
    <row r="41" spans="19:21" x14ac:dyDescent="0.25">
      <c r="T41" s="52"/>
    </row>
    <row r="44" spans="19:21" x14ac:dyDescent="0.25">
      <c r="U44" s="52"/>
    </row>
    <row r="47" spans="19:21" x14ac:dyDescent="0.25">
      <c r="T47" s="52"/>
      <c r="U47" s="52"/>
    </row>
    <row r="53" spans="20:21" x14ac:dyDescent="0.25">
      <c r="T53" s="52"/>
      <c r="U53" s="52"/>
    </row>
    <row r="77" spans="21:21" x14ac:dyDescent="0.25">
      <c r="U77" s="52"/>
    </row>
  </sheetData>
  <mergeCells count="1">
    <mergeCell ref="B3:R4"/>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7</vt:i4>
      </vt:variant>
      <vt:variant>
        <vt:lpstr>Benannte Bereiche</vt:lpstr>
      </vt:variant>
      <vt:variant>
        <vt:i4>2</vt:i4>
      </vt:variant>
    </vt:vector>
  </HeadingPairs>
  <TitlesOfParts>
    <vt:vector size="9" baseType="lpstr">
      <vt:lpstr>Price comparison livestock</vt:lpstr>
      <vt:lpstr>Price comparison pigs</vt:lpstr>
      <vt:lpstr>Calculation import share pigs</vt:lpstr>
      <vt:lpstr>Price comparison poultry</vt:lpstr>
      <vt:lpstr>Calcul. import share poultry</vt:lpstr>
      <vt:lpstr>Price comparison cattle</vt:lpstr>
      <vt:lpstr>Price comparison sheep and goat</vt:lpstr>
      <vt:lpstr>'Calcul. import share poultry'!Drucktitel</vt:lpstr>
      <vt:lpstr>'Calculation import share pigs'!Drucktitel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2024-10-28T09:45:58Z</cp:lastPrinted>
  <dcterms:created xsi:type="dcterms:W3CDTF">2024-08-16T13:44:17Z</dcterms:created>
  <dcterms:modified xsi:type="dcterms:W3CDTF">2024-12-03T11:46:39Z</dcterms:modified>
</cp:coreProperties>
</file>