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drawings/drawing5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tables/table19.xml" ContentType="application/vnd.openxmlformats-officedocument.spreadsheetml.table+xml"/>
  <Override PartName="/xl/drawings/drawing7.xml" ContentType="application/vnd.openxmlformats-officedocument.drawing+xml"/>
  <Override PartName="/xl/tables/table20.xml" ContentType="application/vnd.openxmlformats-officedocument.spreadsheetml.table+xml"/>
  <Override PartName="/xl/drawings/drawing8.xml" ContentType="application/vnd.openxmlformats-officedocument.drawing+xml"/>
  <Override PartName="/xl/tables/table21.xml" ContentType="application/vnd.openxmlformats-officedocument.spreadsheetml.table+xml"/>
  <Override PartName="/xl/drawings/drawing9.xml" ContentType="application/vnd.openxmlformats-officedocument.drawing+xml"/>
  <Override PartName="/xl/tables/table22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Gruppe 62\02 Einzelthemen\110 Statistik\00_Datenmanagement\01_BMEL-Statistik\03_Agrarmarkt\012_LeguDash\05 Tabelle alle Daten\"/>
    </mc:Choice>
  </mc:AlternateContent>
  <xr:revisionPtr revIDLastSave="0" documentId="13_ncr:1_{D9D338AF-8006-4F45-A0EC-07126EDDAFA2}" xr6:coauthVersionLast="47" xr6:coauthVersionMax="47" xr10:uidLastSave="{00000000-0000-0000-0000-000000000000}"/>
  <bookViews>
    <workbookView xWindow="-103" yWindow="-103" windowWidth="33120" windowHeight="17314" tabRatio="936" xr2:uid="{00000000-000D-0000-FFFF-FFFF00000000}"/>
  </bookViews>
  <sheets>
    <sheet name="Deckblatt LeguDash" sheetId="75" r:id="rId1"/>
    <sheet name="A. Anbaufläche" sheetId="139" r:id="rId2"/>
    <sheet name="A. Ausbildungsverh. Landwirt" sheetId="17" state="hidden" r:id="rId3"/>
    <sheet name="B. Erntemenge" sheetId="109" r:id="rId4"/>
    <sheet name="C. Ertrag je Hektar" sheetId="111" r:id="rId5"/>
    <sheet name="D. Importvolumen (Tausend Euro)" sheetId="112" r:id="rId6"/>
    <sheet name="E. Importvolumen (Tonnen)" sheetId="128" r:id="rId7"/>
    <sheet name="F. Einkaufspreise Import" sheetId="129" r:id="rId8"/>
    <sheet name="G. Exportvolumen (Tausend Euro)" sheetId="130" r:id="rId9"/>
    <sheet name="H. Exportvolumen (Tonnen)" sheetId="131" r:id="rId10"/>
    <sheet name="Fachkraft Agrarservice" sheetId="41" state="hidden" r:id="rId11"/>
    <sheet name="I. Verkaufspreise Export" sheetId="132" r:id="rId12"/>
    <sheet name="J. Inlandsverwendung" sheetId="133" r:id="rId13"/>
    <sheet name="K. Einkaufspreise konventionell" sheetId="117" r:id="rId14"/>
    <sheet name="L. Einkaufspreise ökologisch" sheetId="118" r:id="rId15"/>
    <sheet name="M. Verhältnis Einkaufspreise" sheetId="119" r:id="rId16"/>
    <sheet name="N. Saatguterzeugung" sheetId="137" r:id="rId17"/>
    <sheet name="O. neue Sorten" sheetId="138" r:id="rId18"/>
    <sheet name="P. Prognosen SoeLI" sheetId="120" r:id="rId19"/>
    <sheet name="Q. Prognosen Loehr" sheetId="121" r:id="rId20"/>
    <sheet name="R. Berechnungsmethode SoeLI" sheetId="134" r:id="rId21"/>
    <sheet name="S. Berechnungsmethode Löhr" sheetId="135" r:id="rId22"/>
    <sheet name="Winzer" sheetId="20" state="hidden" r:id="rId23"/>
    <sheet name="LW-Fachwerker" sheetId="30" state="hidden" r:id="rId24"/>
    <sheet name="Tierwirt" sheetId="19" state="hidden" r:id="rId25"/>
    <sheet name="Fischwirt" sheetId="46" state="hidden" r:id="rId26"/>
    <sheet name="Pferdewirt" sheetId="50" state="hidden" r:id="rId27"/>
    <sheet name="Pferdewirt (2)" sheetId="48" state="hidden" r:id="rId28"/>
    <sheet name="Gärtner" sheetId="21" state="hidden" r:id="rId29"/>
    <sheet name="Gaba-Fachwerker" sheetId="31" state="hidden" r:id="rId30"/>
    <sheet name="Revierjäger" sheetId="25" state="hidden" r:id="rId31"/>
    <sheet name="Forstwirt" sheetId="24" state="hidden" r:id="rId32"/>
    <sheet name="Molkereifachmann" sheetId="65" state="hidden" r:id="rId33"/>
    <sheet name="Milchtechnologe-technologin" sheetId="49" state="hidden" r:id="rId34"/>
    <sheet name="Milchw.Laborant" sheetId="28" state="hidden" r:id="rId35"/>
    <sheet name="Hauswirtschaft" sheetId="18" state="hidden" r:id="rId36"/>
    <sheet name="B. Entwicklung " sheetId="40" state="hidden" r:id="rId37"/>
    <sheet name="C. Verträge nach Vorbildung" sheetId="34" state="hidden" r:id="rId38"/>
    <sheet name="D. Vorz.gel.AVe" sheetId="35" state="hidden" r:id="rId39"/>
    <sheet name="E. Ausl. Auszubildende" sheetId="43" state="hidden" r:id="rId40"/>
    <sheet name="F. Prüf.i.d.berufl. Fortbildung" sheetId="47" state="hidden" r:id="rId41"/>
    <sheet name="17-Alle zusammen" sheetId="74" state="hidden" r:id="rId42"/>
    <sheet name="Alle zusammen" sheetId="52" state="hidden" r:id="rId43"/>
  </sheets>
  <externalReferences>
    <externalReference r:id="rId44"/>
    <externalReference r:id="rId45"/>
  </externalReferences>
  <definedNames>
    <definedName name="_FilterDatabase" localSheetId="40" hidden="1">'F. Prüf.i.d.berufl. Fortbildung'!$A$8:$K$13</definedName>
    <definedName name="B._Entwicklung_der_Ausbildungsberufe" localSheetId="41">#REF!</definedName>
    <definedName name="B._Entwicklung_der_Ausbildungsberufe" localSheetId="36">'B. Entwicklung '!$A$3</definedName>
    <definedName name="B._Entwicklung_der_Ausbildungsberufe" localSheetId="32">#REF!</definedName>
    <definedName name="Baden_Württemberg" localSheetId="41">#REF!</definedName>
    <definedName name="Baden_Württemberg" localSheetId="32">#REF!</definedName>
    <definedName name="Bayern" localSheetId="41">#REF!</definedName>
    <definedName name="Bayern" localSheetId="32">#REF!</definedName>
    <definedName name="Berlin" localSheetId="41">#REF!</definedName>
    <definedName name="Berlin" localSheetId="32">#REF!</definedName>
    <definedName name="Brandenburg" localSheetId="41">#REF!</definedName>
    <definedName name="Brandenburg" localSheetId="32">#REF!</definedName>
    <definedName name="Bremen" localSheetId="41">#REF!</definedName>
    <definedName name="Bremen" localSheetId="32">#REF!</definedName>
    <definedName name="Brenner\_in" localSheetId="41">#REF!</definedName>
    <definedName name="Brenner\_in" localSheetId="39">'E. Ausl. Auszubildende'!$A$6</definedName>
    <definedName name="Brenner\_in" localSheetId="32">#REF!</definedName>
    <definedName name="C.__Prüfungen_in_der_beruflichen_Fortbildung______46_BBiG" localSheetId="41">#REF!</definedName>
    <definedName name="C.__Prüfungen_in_der_beruflichen_Fortbildung______46_BBiG" localSheetId="40">'F. Prüf.i.d.berufl. Fortbildung'!$A$5</definedName>
    <definedName name="C.__Prüfungen_in_der_beruflichen_Fortbildung______46_BBiG" localSheetId="32">#REF!</definedName>
    <definedName name="Deckblatt">'Deckblatt LeguDash'!$A$6</definedName>
    <definedName name="_xlnm.Print_Area" localSheetId="1">'A. Anbaufläche'!$A$1:$D$1091</definedName>
    <definedName name="_xlnm.Print_Area" localSheetId="3">'B. Erntemenge'!$A$1:$D$751</definedName>
    <definedName name="_xlnm.Print_Area" localSheetId="4">'C. Ertrag je Hektar'!$A$1:$D$751</definedName>
    <definedName name="_xlnm.Print_Area" localSheetId="5">'D. Importvolumen (Tausend Euro)'!$A$1:$F$125</definedName>
    <definedName name="_xlnm.Print_Area" localSheetId="6">'E. Importvolumen (Tonnen)'!$C$1:$D$61</definedName>
    <definedName name="_xlnm.Print_Area" localSheetId="7">'F. Einkaufspreise Import'!$A$1:$F$125</definedName>
    <definedName name="_xlnm.Print_Area" localSheetId="8">'G. Exportvolumen (Tausend Euro)'!$A$1:$F$125</definedName>
    <definedName name="_xlnm.Print_Area" localSheetId="9">'H. Exportvolumen (Tonnen)'!$A$1:$F$125</definedName>
    <definedName name="_xlnm.Print_Area" localSheetId="11">'I. Verkaufspreise Export'!$A$1:$F$125</definedName>
    <definedName name="_xlnm.Print_Area" localSheetId="13">'K. Einkaufspreise konventionell'!$A$1:$N$48</definedName>
    <definedName name="_xlnm.Print_Area" localSheetId="14">'L. Einkaufspreise ökologisch'!$A$1:$N$48</definedName>
    <definedName name="_xlnm.Print_Area" localSheetId="15">'M. Verhältnis Einkaufspreise'!$A$1:$N$48</definedName>
    <definedName name="_xlnm.Print_Area" localSheetId="18">'P. Prognosen SoeLI'!$A$1:$E$60</definedName>
    <definedName name="_xlnm.Print_Area" localSheetId="19">'Q. Prognosen Loehr'!$A$1:$E$60</definedName>
    <definedName name="E.__Vorzeitig_gelöste_Ausbildungsverhältnisse_1997" localSheetId="41">#REF!</definedName>
    <definedName name="E.__Vorzeitig_gelöste_Ausbildungsverhältnisse_1997" localSheetId="38">'D. Vorz.gel.AVe'!#REF!</definedName>
    <definedName name="E.__Vorzeitig_gelöste_Ausbildungsverhältnisse_1997" localSheetId="32">#REF!</definedName>
    <definedName name="Erntemenge">'Deckblatt LeguDash'!$A$6</definedName>
    <definedName name="F.__Ausländische_Auszubildende_nach_Staatsangehörigkeit_1996" localSheetId="41">#REF!</definedName>
    <definedName name="F.__Ausländische_Auszubildende_nach_Staatsangehörigkeit_1996" localSheetId="32">#REF!</definedName>
    <definedName name="Fischwirt\_in" localSheetId="41">#REF!</definedName>
    <definedName name="Fischwirt\_in" localSheetId="32">#REF!</definedName>
    <definedName name="G._Ausbilder_nach_fachlicher_Eignung_und_Ländern_im_Bereich_Landwirtschaft_1996" localSheetId="41">#REF!</definedName>
    <definedName name="G._Ausbilder_nach_fachlicher_Eignung_und_Ländern_im_Bereich_Landwirtschaft_1996" localSheetId="32">#REF!</definedName>
    <definedName name="Gartenbaufachwerker\_in______48_BBiG" localSheetId="41">'[1]Gaba-Fachwerker'!#REF!</definedName>
    <definedName name="Gartenbaufachwerker\_in______48_BBiG" localSheetId="42">'[1]Gaba-Fachwerker'!#REF!</definedName>
    <definedName name="Gartenbaufachwerker\_in______48_BBiG" localSheetId="40">'[2]Gaba-Fachwerker'!#REF!</definedName>
    <definedName name="Gartenbaufachwerker\_in______48_BBiG" localSheetId="33">'Gaba-Fachwerker'!#REF!</definedName>
    <definedName name="Gartenbaufachwerker\_in______48_BBiG" localSheetId="32">'Gaba-Fachwerker'!#REF!</definedName>
    <definedName name="Gartenbaufachwerker\_in______48_BBiG" localSheetId="27">'Gaba-Fachwerker'!#REF!</definedName>
    <definedName name="Hamburg" localSheetId="41">#REF!</definedName>
    <definedName name="Hamburg" localSheetId="32">#REF!</definedName>
    <definedName name="Hauswirtschafter\_in_in_landwirtschaftlichen_Betrieben" localSheetId="41">'17-Alle zusammen'!$A$4</definedName>
    <definedName name="Hauswirtschafter\_in_in_landwirtschaftlichen_Betrieben" localSheetId="42">'Alle zusammen'!$A$4</definedName>
    <definedName name="Hessen" localSheetId="41">#REF!</definedName>
    <definedName name="Hessen" localSheetId="32">#REF!</definedName>
    <definedName name="Landwirt\_in" localSheetId="41">'[1]A. Ausbildungsverh. Landwirt'!#REF!</definedName>
    <definedName name="Landwirt\_in" localSheetId="42">'[1]A. Ausbildungsverh. Landwirt'!#REF!</definedName>
    <definedName name="Landwirt\_in" localSheetId="40">'[2]A. Ausbildungsverh. Landwirt'!#REF!</definedName>
    <definedName name="Landwirt\_in" localSheetId="33">'A. Ausbildungsverh. Landwirt'!#REF!</definedName>
    <definedName name="Landwirt\_in" localSheetId="32">'A. Ausbildungsverh. Landwirt'!#REF!</definedName>
    <definedName name="Landwirt\_in" localSheetId="27">'A. Ausbildungsverh. Landwirt'!#REF!</definedName>
    <definedName name="Landwirtschaftliche_r__Laborant\_in" localSheetId="41">#REF!</definedName>
    <definedName name="Landwirtschaftliche_r__Laborant\_in" localSheetId="32">#REF!</definedName>
    <definedName name="Landwirtschaftsfachwerker\_in______48_BBiG" localSheetId="10">'Fachkraft Agrarservice'!$A$4</definedName>
    <definedName name="Landwirtschaftsfachwerker\_in______48_BBiG" localSheetId="25">Fischwirt!$A$4</definedName>
    <definedName name="Landwirtschaftsfachwerker\_in______48_BBiG" localSheetId="26">Pferdewirt!$A$4</definedName>
    <definedName name="Landwirtschaftsfachwerker\_in______48_BBiG" localSheetId="27">'Pferdewirt (2)'!$B$4</definedName>
    <definedName name="Mecklenburg_Vorpommern" localSheetId="41">#REF!</definedName>
    <definedName name="Mecklenburg_Vorpommern" localSheetId="32">#REF!</definedName>
    <definedName name="Molkereifachmann\_frau" localSheetId="33">'Milchtechnologe-technologin'!$A$4</definedName>
    <definedName name="Molkereifachmann\_frau" localSheetId="32">Molkereifachmann!$A$4</definedName>
    <definedName name="Niedersachsen" localSheetId="41">#REF!</definedName>
    <definedName name="Niedersachsen" localSheetId="32">#REF!</definedName>
    <definedName name="Nordrhein_Westfalen" localSheetId="41">#REF!</definedName>
    <definedName name="Nordrhein_Westfalen" localSheetId="32">#REF!</definedName>
    <definedName name="Pferdewirt\_in" localSheetId="41">#REF!</definedName>
    <definedName name="Pferdewirt\_in" localSheetId="32">#REF!</definedName>
    <definedName name="Print_Area" localSheetId="41">'17-Alle zusammen'!$A$1:$P$33</definedName>
    <definedName name="Print_Area" localSheetId="2">'A. Ausbildungsverh. Landwirt'!$A$1:$P$36</definedName>
    <definedName name="Print_Area" localSheetId="42">'Alle zusammen'!$A$1:$P$33</definedName>
    <definedName name="Print_Area" localSheetId="36">'B. Entwicklung '!$A$1:$G$322</definedName>
    <definedName name="Print_Area" localSheetId="37">'C. Verträge nach Vorbildung'!$A$1:$N$35</definedName>
    <definedName name="Print_Area" localSheetId="38">'D. Vorz.gel.AVe'!$A$1:$J$36</definedName>
    <definedName name="Print_Area" localSheetId="39">'E. Ausl. Auszubildende'!$B$1:$F$70</definedName>
    <definedName name="Print_Area" localSheetId="40">'F. Prüf.i.d.berufl. Fortbildung'!$A$1:$K$165</definedName>
    <definedName name="Print_Area" localSheetId="10">'Fachkraft Agrarservice'!$A$1:$P$32</definedName>
    <definedName name="Print_Area" localSheetId="25">Fischwirt!$A$1:$P$35</definedName>
    <definedName name="Print_Area" localSheetId="31">Forstwirt!$A$1:$P$33</definedName>
    <definedName name="Print_Area" localSheetId="29">'Gaba-Fachwerker'!$A$1:$P$33</definedName>
    <definedName name="Print_Area" localSheetId="28">Gärtner!$A$1:$P$213</definedName>
    <definedName name="Print_Area" localSheetId="35">Hauswirtschaft!$A$1:$P$34</definedName>
    <definedName name="Print_Area" localSheetId="23">'LW-Fachwerker'!$A$1:$P$34</definedName>
    <definedName name="Print_Area" localSheetId="33">'Milchtechnologe-technologin'!$A$1:$P$32</definedName>
    <definedName name="Print_Area" localSheetId="34">Milchw.Laborant!$A$1:$P$32</definedName>
    <definedName name="Print_Area" localSheetId="32">Molkereifachmann!$A$1:$P$32</definedName>
    <definedName name="Print_Area" localSheetId="26">Pferdewirt!$A$1:$P$37</definedName>
    <definedName name="Print_Area" localSheetId="27">'Pferdewirt (2)'!$A$1:$P$35</definedName>
    <definedName name="Print_Area" localSheetId="30">Revierjäger!$A$1:$P$33</definedName>
    <definedName name="Print_Area" localSheetId="24">Tierwirt!$A$1:$P$187</definedName>
    <definedName name="Print_Area" localSheetId="22">Winzer!$A$1:$P$32</definedName>
    <definedName name="Rheinland_Pfalz" localSheetId="41">#REF!</definedName>
    <definedName name="Rheinland_Pfalz" localSheetId="32">#REF!</definedName>
    <definedName name="Saarland" localSheetId="41">#REF!</definedName>
    <definedName name="Saarland" localSheetId="32">#REF!</definedName>
    <definedName name="Sachsen" localSheetId="41">#REF!</definedName>
    <definedName name="Sachsen" localSheetId="32">#REF!</definedName>
    <definedName name="Sachsen_Anhalt" localSheetId="41">#REF!</definedName>
    <definedName name="Sachsen_Anhalt" localSheetId="32">#REF!</definedName>
    <definedName name="Schleswig_Holstein" localSheetId="41">#REF!</definedName>
    <definedName name="Schleswig_Holstein" localSheetId="32">#REF!</definedName>
    <definedName name="Thüringen" localSheetId="41">#REF!</definedName>
    <definedName name="Thüringen" localSheetId="3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43" l="1"/>
  <c r="P37" i="65" l="1"/>
  <c r="O37" i="65"/>
  <c r="N37" i="65"/>
  <c r="M37" i="65"/>
  <c r="L37" i="65"/>
  <c r="K37" i="65"/>
  <c r="J37" i="65"/>
  <c r="H37" i="65"/>
  <c r="G37" i="65"/>
  <c r="F37" i="65"/>
  <c r="E37" i="65"/>
  <c r="D37" i="65"/>
  <c r="C37" i="65"/>
  <c r="I30" i="65"/>
  <c r="I37" i="65" s="1"/>
  <c r="G139" i="40" l="1"/>
  <c r="G122" i="40"/>
  <c r="O30" i="24" l="1"/>
  <c r="N30" i="24"/>
  <c r="M30" i="24"/>
  <c r="L30" i="24"/>
  <c r="K30" i="24"/>
  <c r="P30" i="31"/>
  <c r="O30" i="31"/>
  <c r="N30" i="31"/>
  <c r="M30" i="31"/>
  <c r="L30" i="31"/>
  <c r="K30" i="31"/>
  <c r="F122" i="40" l="1"/>
  <c r="P201" i="21"/>
  <c r="O201" i="21"/>
  <c r="N201" i="21"/>
  <c r="M201" i="21"/>
  <c r="L201" i="21"/>
  <c r="K201" i="21"/>
  <c r="P30" i="48"/>
  <c r="O30" i="48"/>
  <c r="N30" i="48"/>
  <c r="M30" i="48"/>
  <c r="L30" i="48"/>
  <c r="L37" i="48"/>
  <c r="K30" i="48"/>
  <c r="K37" i="48" s="1"/>
  <c r="P30" i="50"/>
  <c r="N30" i="50"/>
  <c r="M30" i="50"/>
  <c r="L30" i="50"/>
  <c r="K30" i="50"/>
  <c r="P30" i="30" l="1"/>
  <c r="O30" i="30"/>
  <c r="N30" i="30"/>
  <c r="M30" i="30"/>
  <c r="L30" i="30"/>
  <c r="K30" i="30"/>
  <c r="I30" i="24"/>
  <c r="K39" i="17"/>
  <c r="J30" i="31" l="1"/>
  <c r="J201" i="21"/>
  <c r="J30" i="48"/>
  <c r="J30" i="50"/>
  <c r="J37" i="46"/>
  <c r="I30" i="30" l="1"/>
  <c r="I30" i="31"/>
  <c r="I201" i="21"/>
  <c r="E122" i="40"/>
  <c r="I30" i="48"/>
  <c r="I30" i="50"/>
  <c r="P37" i="18" l="1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P37" i="49"/>
  <c r="O37" i="49"/>
  <c r="N37" i="49"/>
  <c r="M37" i="49"/>
  <c r="L37" i="49"/>
  <c r="K37" i="49"/>
  <c r="J37" i="49"/>
  <c r="I37" i="49"/>
  <c r="H37" i="49"/>
  <c r="G37" i="49"/>
  <c r="F37" i="49"/>
  <c r="E37" i="49"/>
  <c r="D37" i="49"/>
  <c r="C37" i="49"/>
  <c r="F30" i="30" l="1"/>
  <c r="D30" i="30"/>
  <c r="C30" i="30"/>
  <c r="G30" i="24"/>
  <c r="G37" i="24" s="1"/>
  <c r="F30" i="24"/>
  <c r="D30" i="24"/>
  <c r="C30" i="24"/>
  <c r="P37" i="24"/>
  <c r="O37" i="24"/>
  <c r="N37" i="24"/>
  <c r="M37" i="24"/>
  <c r="L37" i="24"/>
  <c r="K37" i="24"/>
  <c r="J37" i="24"/>
  <c r="I37" i="24"/>
  <c r="H37" i="24"/>
  <c r="F37" i="24"/>
  <c r="E37" i="24"/>
  <c r="D37" i="24"/>
  <c r="C37" i="24"/>
  <c r="P37" i="25" l="1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H30" i="31" l="1"/>
  <c r="H37" i="31" s="1"/>
  <c r="G30" i="31"/>
  <c r="F30" i="31"/>
  <c r="E30" i="31"/>
  <c r="E37" i="31" s="1"/>
  <c r="D30" i="31"/>
  <c r="D37" i="31" s="1"/>
  <c r="C30" i="31"/>
  <c r="P37" i="31"/>
  <c r="O37" i="31"/>
  <c r="N37" i="31"/>
  <c r="M37" i="31"/>
  <c r="L37" i="31"/>
  <c r="K37" i="31"/>
  <c r="J37" i="31"/>
  <c r="I37" i="31"/>
  <c r="G37" i="31"/>
  <c r="F37" i="31"/>
  <c r="C37" i="31"/>
  <c r="H201" i="21" l="1"/>
  <c r="G201" i="21"/>
  <c r="F201" i="21"/>
  <c r="E201" i="21"/>
  <c r="D201" i="21"/>
  <c r="C201" i="21"/>
  <c r="J233" i="21" l="1"/>
  <c r="I233" i="21"/>
  <c r="H233" i="21"/>
  <c r="G233" i="21"/>
  <c r="F233" i="21"/>
  <c r="E233" i="21"/>
  <c r="D233" i="21"/>
  <c r="C233" i="21"/>
  <c r="P232" i="21"/>
  <c r="O232" i="21"/>
  <c r="N232" i="21"/>
  <c r="M232" i="21"/>
  <c r="L232" i="21"/>
  <c r="K232" i="21"/>
  <c r="J232" i="21"/>
  <c r="I232" i="21"/>
  <c r="H232" i="21"/>
  <c r="G232" i="21"/>
  <c r="F232" i="21"/>
  <c r="E232" i="21"/>
  <c r="D232" i="21"/>
  <c r="C232" i="21"/>
  <c r="P231" i="21"/>
  <c r="O231" i="21"/>
  <c r="N231" i="21"/>
  <c r="M231" i="21"/>
  <c r="L231" i="21"/>
  <c r="K231" i="21"/>
  <c r="J231" i="21"/>
  <c r="I231" i="21"/>
  <c r="H231" i="21"/>
  <c r="G231" i="21"/>
  <c r="F231" i="21"/>
  <c r="E231" i="21"/>
  <c r="D231" i="21"/>
  <c r="C231" i="21"/>
  <c r="P230" i="21"/>
  <c r="O230" i="21"/>
  <c r="N230" i="21"/>
  <c r="M230" i="21"/>
  <c r="L230" i="21"/>
  <c r="K230" i="21"/>
  <c r="J230" i="21"/>
  <c r="I230" i="21"/>
  <c r="H230" i="21"/>
  <c r="G230" i="21"/>
  <c r="F230" i="21"/>
  <c r="E230" i="21"/>
  <c r="D230" i="21"/>
  <c r="C230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P228" i="21"/>
  <c r="O228" i="21"/>
  <c r="N228" i="21"/>
  <c r="M228" i="21"/>
  <c r="L228" i="21"/>
  <c r="K228" i="21"/>
  <c r="J228" i="21"/>
  <c r="I228" i="21"/>
  <c r="H228" i="21"/>
  <c r="G228" i="21"/>
  <c r="F228" i="21"/>
  <c r="E228" i="21"/>
  <c r="D228" i="21"/>
  <c r="C228" i="21"/>
  <c r="P227" i="21"/>
  <c r="O227" i="21"/>
  <c r="N227" i="21"/>
  <c r="M227" i="21"/>
  <c r="L227" i="21"/>
  <c r="K227" i="21"/>
  <c r="J227" i="21"/>
  <c r="I227" i="21"/>
  <c r="H227" i="21"/>
  <c r="G227" i="21"/>
  <c r="F227" i="21"/>
  <c r="E227" i="21"/>
  <c r="D227" i="21"/>
  <c r="C227" i="21"/>
  <c r="P226" i="21"/>
  <c r="O226" i="21"/>
  <c r="N226" i="21"/>
  <c r="M226" i="21"/>
  <c r="L226" i="21"/>
  <c r="K226" i="21"/>
  <c r="J226" i="21"/>
  <c r="I226" i="21"/>
  <c r="H226" i="21"/>
  <c r="G226" i="21"/>
  <c r="F226" i="21"/>
  <c r="E226" i="21"/>
  <c r="D226" i="21"/>
  <c r="C226" i="21"/>
  <c r="P225" i="21"/>
  <c r="O225" i="21"/>
  <c r="N225" i="21"/>
  <c r="M225" i="21"/>
  <c r="L225" i="21"/>
  <c r="K225" i="21"/>
  <c r="H225" i="21"/>
  <c r="G225" i="21"/>
  <c r="F225" i="21"/>
  <c r="E225" i="21"/>
  <c r="D225" i="21"/>
  <c r="C225" i="21"/>
  <c r="D122" i="40"/>
  <c r="C122" i="40"/>
  <c r="H30" i="48"/>
  <c r="G30" i="48"/>
  <c r="F30" i="48"/>
  <c r="F37" i="48" s="1"/>
  <c r="E30" i="48"/>
  <c r="D30" i="48"/>
  <c r="C30" i="48"/>
  <c r="C37" i="48" s="1"/>
  <c r="P37" i="48"/>
  <c r="O37" i="48"/>
  <c r="N37" i="48"/>
  <c r="M37" i="48"/>
  <c r="J37" i="48"/>
  <c r="I37" i="48"/>
  <c r="H37" i="48"/>
  <c r="G37" i="48"/>
  <c r="E37" i="48"/>
  <c r="D37" i="48"/>
  <c r="H30" i="50"/>
  <c r="H39" i="50" s="1"/>
  <c r="G30" i="50"/>
  <c r="F30" i="50"/>
  <c r="E30" i="50"/>
  <c r="E39" i="50" s="1"/>
  <c r="D30" i="50"/>
  <c r="D39" i="50" s="1"/>
  <c r="C30" i="50"/>
  <c r="P39" i="50"/>
  <c r="O39" i="50"/>
  <c r="N39" i="50"/>
  <c r="M39" i="50"/>
  <c r="L39" i="50"/>
  <c r="K39" i="50"/>
  <c r="J39" i="50"/>
  <c r="I39" i="50"/>
  <c r="G39" i="50"/>
  <c r="F39" i="50"/>
  <c r="C39" i="50"/>
  <c r="P37" i="46"/>
  <c r="O37" i="46"/>
  <c r="N37" i="46"/>
  <c r="M37" i="46"/>
  <c r="L37" i="46"/>
  <c r="K37" i="46"/>
  <c r="I37" i="46"/>
  <c r="H37" i="46"/>
  <c r="G37" i="46"/>
  <c r="F37" i="46"/>
  <c r="E37" i="46"/>
  <c r="D37" i="46"/>
  <c r="C37" i="46"/>
  <c r="P203" i="19" l="1"/>
  <c r="O203" i="19"/>
  <c r="N203" i="19"/>
  <c r="M203" i="19"/>
  <c r="L203" i="19"/>
  <c r="K203" i="19"/>
  <c r="J203" i="19"/>
  <c r="I203" i="19"/>
  <c r="H203" i="19"/>
  <c r="G203" i="19"/>
  <c r="F203" i="19"/>
  <c r="E203" i="19"/>
  <c r="D203" i="19"/>
  <c r="C203" i="19"/>
  <c r="P202" i="19"/>
  <c r="O202" i="19"/>
  <c r="N202" i="19"/>
  <c r="M202" i="19"/>
  <c r="L202" i="19"/>
  <c r="K202" i="19"/>
  <c r="J202" i="19"/>
  <c r="I202" i="19"/>
  <c r="H202" i="19"/>
  <c r="G202" i="19"/>
  <c r="F202" i="19"/>
  <c r="E202" i="19"/>
  <c r="D202" i="19"/>
  <c r="C202" i="19"/>
  <c r="P201" i="19"/>
  <c r="O201" i="19"/>
  <c r="N201" i="19"/>
  <c r="M201" i="19"/>
  <c r="L201" i="19"/>
  <c r="K201" i="19"/>
  <c r="J201" i="19"/>
  <c r="I201" i="19"/>
  <c r="H201" i="19"/>
  <c r="G201" i="19"/>
  <c r="F201" i="19"/>
  <c r="E201" i="19"/>
  <c r="D201" i="19"/>
  <c r="C201" i="19"/>
  <c r="P200" i="19"/>
  <c r="O200" i="19"/>
  <c r="N200" i="19"/>
  <c r="M200" i="19"/>
  <c r="L200" i="19"/>
  <c r="K200" i="19"/>
  <c r="J200" i="19"/>
  <c r="I200" i="19"/>
  <c r="H200" i="19"/>
  <c r="G200" i="19"/>
  <c r="F200" i="19"/>
  <c r="E200" i="19"/>
  <c r="D200" i="19"/>
  <c r="C200" i="19"/>
  <c r="P199" i="19"/>
  <c r="O199" i="19"/>
  <c r="N199" i="19"/>
  <c r="M199" i="19"/>
  <c r="L199" i="19"/>
  <c r="K199" i="19"/>
  <c r="J199" i="19"/>
  <c r="I199" i="19"/>
  <c r="H199" i="19"/>
  <c r="G199" i="19"/>
  <c r="F199" i="19"/>
  <c r="E199" i="19"/>
  <c r="D199" i="19"/>
  <c r="C199" i="19"/>
  <c r="P198" i="19"/>
  <c r="O198" i="19"/>
  <c r="N198" i="19"/>
  <c r="M198" i="19"/>
  <c r="L198" i="19"/>
  <c r="K198" i="19"/>
  <c r="J198" i="19"/>
  <c r="H198" i="19"/>
  <c r="G198" i="19"/>
  <c r="F198" i="19"/>
  <c r="E198" i="19"/>
  <c r="D198" i="19"/>
  <c r="C198" i="19"/>
  <c r="H30" i="30"/>
  <c r="H38" i="30" s="1"/>
  <c r="G30" i="30"/>
  <c r="E30" i="30"/>
  <c r="P38" i="30"/>
  <c r="O38" i="30"/>
  <c r="N38" i="30"/>
  <c r="M38" i="30"/>
  <c r="L38" i="30"/>
  <c r="K38" i="30"/>
  <c r="J38" i="30"/>
  <c r="I38" i="30"/>
  <c r="G38" i="30"/>
  <c r="F38" i="30"/>
  <c r="E38" i="30"/>
  <c r="D38" i="30"/>
  <c r="C38" i="3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E36" i="41"/>
  <c r="C36" i="41"/>
  <c r="P36" i="41"/>
  <c r="O36" i="41"/>
  <c r="N36" i="41"/>
  <c r="M36" i="41"/>
  <c r="L36" i="41"/>
  <c r="K36" i="41"/>
  <c r="J36" i="41"/>
  <c r="I36" i="41"/>
  <c r="H36" i="41"/>
  <c r="G36" i="41"/>
  <c r="F36" i="41"/>
  <c r="D36" i="41"/>
  <c r="D39" i="17"/>
  <c r="F39" i="17"/>
  <c r="G39" i="17"/>
  <c r="H39" i="17"/>
  <c r="I39" i="17"/>
  <c r="J39" i="17"/>
  <c r="L39" i="17"/>
  <c r="M39" i="17"/>
  <c r="N39" i="17"/>
  <c r="O39" i="17"/>
  <c r="P39" i="17"/>
  <c r="C39" i="17"/>
  <c r="D162" i="47" l="1"/>
  <c r="K162" i="47" l="1"/>
  <c r="J162" i="47"/>
  <c r="I162" i="47"/>
  <c r="H162" i="47"/>
  <c r="G162" i="47"/>
  <c r="F162" i="47"/>
  <c r="E162" i="47"/>
  <c r="N27" i="48" l="1"/>
  <c r="K27" i="48"/>
  <c r="P26" i="48"/>
  <c r="O26" i="48"/>
  <c r="N26" i="48"/>
  <c r="M26" i="48"/>
  <c r="L26" i="48"/>
  <c r="K26" i="48"/>
  <c r="M25" i="48"/>
  <c r="K25" i="48"/>
  <c r="P25" i="48"/>
  <c r="O25" i="48"/>
  <c r="N25" i="48"/>
  <c r="L25" i="48"/>
  <c r="P24" i="31" l="1"/>
  <c r="N24" i="31"/>
  <c r="M24" i="31"/>
  <c r="K24" i="31"/>
  <c r="P24" i="48"/>
  <c r="O24" i="48"/>
  <c r="N24" i="48"/>
  <c r="M24" i="48"/>
  <c r="L24" i="48"/>
  <c r="K24" i="48"/>
  <c r="P22" i="48" l="1"/>
  <c r="N22" i="48"/>
  <c r="M22" i="48"/>
  <c r="K22" i="48"/>
  <c r="P21" i="48"/>
  <c r="N21" i="48"/>
  <c r="M21" i="48"/>
  <c r="K21" i="48"/>
  <c r="O21" i="48"/>
  <c r="L21" i="48"/>
  <c r="P20" i="48" l="1"/>
  <c r="N20" i="48"/>
  <c r="M20" i="48"/>
  <c r="K20" i="48"/>
  <c r="O20" i="48"/>
  <c r="L20" i="48"/>
  <c r="P70" i="21"/>
  <c r="O70" i="21"/>
  <c r="N70" i="21"/>
  <c r="M70" i="21"/>
  <c r="L70" i="21"/>
  <c r="K70" i="21"/>
  <c r="N19" i="48"/>
  <c r="M19" i="48"/>
  <c r="K19" i="48"/>
  <c r="P19" i="48"/>
  <c r="O19" i="48"/>
  <c r="L19" i="48"/>
  <c r="O17" i="24" l="1"/>
  <c r="N17" i="24"/>
  <c r="L17" i="24"/>
  <c r="K17" i="24"/>
  <c r="P17" i="48" l="1"/>
  <c r="N17" i="48"/>
  <c r="M17" i="48"/>
  <c r="K17" i="48"/>
  <c r="O17" i="48"/>
  <c r="L17" i="48"/>
  <c r="P15" i="48"/>
  <c r="O15" i="48"/>
  <c r="N15" i="48"/>
  <c r="M15" i="48"/>
  <c r="L15" i="48"/>
  <c r="K15" i="48"/>
  <c r="P13" i="48" l="1"/>
  <c r="N13" i="48"/>
  <c r="M13" i="48"/>
  <c r="K13" i="48"/>
  <c r="O13" i="48"/>
  <c r="P13" i="50"/>
  <c r="N13" i="50"/>
  <c r="M13" i="50"/>
  <c r="K13" i="50"/>
  <c r="L13" i="48"/>
  <c r="I20" i="35" l="1"/>
  <c r="I19" i="35"/>
  <c r="D19" i="35"/>
  <c r="E12" i="35"/>
  <c r="E29" i="35"/>
  <c r="C29" i="35"/>
  <c r="E28" i="35"/>
  <c r="C28" i="35"/>
  <c r="H19" i="35" l="1"/>
  <c r="G19" i="35"/>
  <c r="F19" i="35"/>
  <c r="E19" i="35"/>
  <c r="C19" i="35"/>
  <c r="G20" i="35"/>
  <c r="H20" i="35"/>
  <c r="F20" i="35"/>
  <c r="E20" i="35"/>
  <c r="D20" i="35"/>
  <c r="C20" i="35"/>
  <c r="F18" i="35"/>
  <c r="E18" i="35"/>
  <c r="C18" i="35"/>
  <c r="I16" i="35"/>
  <c r="F16" i="35"/>
  <c r="C16" i="35"/>
  <c r="G16" i="35"/>
  <c r="D16" i="35"/>
  <c r="H16" i="35"/>
  <c r="E16" i="35"/>
  <c r="I12" i="35"/>
  <c r="H12" i="35"/>
  <c r="G12" i="35"/>
  <c r="F12" i="35"/>
  <c r="D12" i="35"/>
  <c r="C12" i="35"/>
  <c r="G22" i="35"/>
  <c r="F22" i="35"/>
  <c r="D22" i="35"/>
  <c r="C22" i="35"/>
  <c r="G14" i="35"/>
  <c r="D14" i="35"/>
  <c r="C14" i="35"/>
  <c r="G17" i="35"/>
  <c r="D17" i="35"/>
  <c r="C17" i="35"/>
  <c r="G18" i="35"/>
  <c r="I13" i="35"/>
  <c r="F13" i="35"/>
  <c r="D13" i="35"/>
  <c r="C13" i="35"/>
  <c r="I18" i="35"/>
  <c r="E13" i="35"/>
  <c r="I24" i="35"/>
  <c r="D24" i="35"/>
  <c r="C24" i="35"/>
  <c r="I28" i="35"/>
  <c r="F28" i="35"/>
  <c r="H18" i="35" l="1"/>
  <c r="F15" i="35"/>
  <c r="D15" i="35"/>
  <c r="C15" i="35"/>
  <c r="F24" i="35" l="1"/>
  <c r="E24" i="35"/>
  <c r="I15" i="35"/>
  <c r="G15" i="35"/>
  <c r="H22" i="35"/>
  <c r="E22" i="35"/>
  <c r="I29" i="35"/>
  <c r="G29" i="35"/>
  <c r="G24" i="35"/>
  <c r="I22" i="35"/>
  <c r="D18" i="35"/>
  <c r="I14" i="35"/>
  <c r="H14" i="35"/>
  <c r="E14" i="35"/>
  <c r="G21" i="35"/>
  <c r="D21" i="35"/>
  <c r="D31" i="35" s="1"/>
  <c r="C21" i="35"/>
  <c r="C31" i="35" s="1"/>
  <c r="F14" i="35"/>
  <c r="F29" i="35"/>
  <c r="G13" i="35"/>
  <c r="F17" i="35"/>
  <c r="E31" i="35" l="1"/>
  <c r="H15" i="35"/>
  <c r="E15" i="35"/>
  <c r="H13" i="35"/>
  <c r="J225" i="21" l="1"/>
  <c r="J25" i="48"/>
  <c r="J24" i="31"/>
  <c r="J24" i="48"/>
  <c r="J21" i="48" l="1"/>
  <c r="J20" i="48"/>
  <c r="J19" i="31"/>
  <c r="J19" i="48"/>
  <c r="J70" i="21"/>
  <c r="J18" i="48"/>
  <c r="J17" i="48"/>
  <c r="J15" i="48"/>
  <c r="J14" i="48"/>
  <c r="J13" i="48" l="1"/>
  <c r="N30" i="34"/>
  <c r="E66" i="43" l="1"/>
  <c r="D66" i="43"/>
  <c r="F38" i="43"/>
  <c r="E38" i="43"/>
  <c r="D38" i="43"/>
  <c r="F57" i="43"/>
  <c r="E57" i="43"/>
  <c r="D67" i="43" l="1"/>
  <c r="E67" i="43"/>
  <c r="F66" i="43"/>
  <c r="F67" i="43" s="1"/>
  <c r="I28" i="34" l="1"/>
  <c r="H28" i="34"/>
  <c r="G28" i="34"/>
  <c r="F28" i="34"/>
  <c r="E28" i="34"/>
  <c r="D28" i="34"/>
  <c r="C28" i="34"/>
  <c r="I225" i="21"/>
  <c r="P209" i="21"/>
  <c r="P233" i="21" s="1"/>
  <c r="O209" i="21"/>
  <c r="O233" i="21" s="1"/>
  <c r="N209" i="21"/>
  <c r="N233" i="21" s="1"/>
  <c r="M209" i="21"/>
  <c r="M233" i="21" s="1"/>
  <c r="L209" i="21"/>
  <c r="L233" i="21" s="1"/>
  <c r="K209" i="21"/>
  <c r="K233" i="21" s="1"/>
  <c r="I27" i="34" l="1"/>
  <c r="H27" i="34"/>
  <c r="G27" i="34"/>
  <c r="F27" i="34"/>
  <c r="E27" i="34"/>
  <c r="D27" i="34"/>
  <c r="C27" i="34"/>
  <c r="I27" i="48"/>
  <c r="I26" i="34"/>
  <c r="H26" i="34"/>
  <c r="G26" i="34"/>
  <c r="F26" i="34"/>
  <c r="E26" i="34"/>
  <c r="D26" i="34"/>
  <c r="C26" i="34"/>
  <c r="I26" i="48"/>
  <c r="I25" i="34"/>
  <c r="H25" i="34"/>
  <c r="G25" i="34"/>
  <c r="F25" i="34"/>
  <c r="E25" i="34"/>
  <c r="D25" i="34"/>
  <c r="C25" i="34"/>
  <c r="I25" i="48" l="1"/>
  <c r="I24" i="34"/>
  <c r="H24" i="34"/>
  <c r="G24" i="34"/>
  <c r="F24" i="34"/>
  <c r="E24" i="34"/>
  <c r="D24" i="34"/>
  <c r="C24" i="34"/>
  <c r="I24" i="31"/>
  <c r="I24" i="48"/>
  <c r="I23" i="34"/>
  <c r="H23" i="34"/>
  <c r="G23" i="34"/>
  <c r="F23" i="34"/>
  <c r="E23" i="34"/>
  <c r="D23" i="34"/>
  <c r="C23" i="34"/>
  <c r="I23" i="48"/>
  <c r="I22" i="34"/>
  <c r="H22" i="34"/>
  <c r="G22" i="34"/>
  <c r="F22" i="34"/>
  <c r="E22" i="34"/>
  <c r="D22" i="34"/>
  <c r="C22" i="34"/>
  <c r="I22" i="31"/>
  <c r="I22" i="48"/>
  <c r="I21" i="34" l="1"/>
  <c r="H21" i="34"/>
  <c r="G21" i="34"/>
  <c r="F21" i="34"/>
  <c r="E21" i="34"/>
  <c r="D21" i="34"/>
  <c r="C21" i="34"/>
  <c r="I21" i="48"/>
  <c r="I20" i="34"/>
  <c r="H20" i="34"/>
  <c r="G20" i="34"/>
  <c r="F20" i="34"/>
  <c r="E20" i="34"/>
  <c r="D20" i="34"/>
  <c r="C20" i="34"/>
  <c r="I20" i="48"/>
  <c r="I19" i="34"/>
  <c r="H19" i="34"/>
  <c r="G19" i="34"/>
  <c r="F19" i="34"/>
  <c r="E19" i="34"/>
  <c r="D19" i="34"/>
  <c r="C19" i="34"/>
  <c r="I19" i="48"/>
  <c r="I18" i="34"/>
  <c r="H18" i="34"/>
  <c r="G18" i="34"/>
  <c r="F18" i="34"/>
  <c r="C18" i="34"/>
  <c r="E18" i="34"/>
  <c r="D18" i="34"/>
  <c r="I70" i="21"/>
  <c r="I18" i="31"/>
  <c r="I18" i="48"/>
  <c r="I18" i="50"/>
  <c r="I17" i="34"/>
  <c r="H17" i="34"/>
  <c r="G17" i="34"/>
  <c r="F17" i="34"/>
  <c r="C17" i="34"/>
  <c r="E17" i="34"/>
  <c r="D17" i="34"/>
  <c r="I17" i="24"/>
  <c r="I17" i="48"/>
  <c r="I15" i="48" l="1"/>
  <c r="I14" i="34"/>
  <c r="H14" i="34"/>
  <c r="G14" i="34"/>
  <c r="F14" i="34"/>
  <c r="E14" i="34"/>
  <c r="D14" i="34"/>
  <c r="C14" i="34"/>
  <c r="I13" i="34" l="1"/>
  <c r="H13" i="34"/>
  <c r="G13" i="34"/>
  <c r="F13" i="34"/>
  <c r="C13" i="34"/>
  <c r="E13" i="34" l="1"/>
  <c r="D13" i="34"/>
  <c r="I13" i="48"/>
  <c r="G27" i="48" l="1"/>
  <c r="E27" i="48"/>
  <c r="C27" i="48"/>
  <c r="H26" i="48" l="1"/>
  <c r="G26" i="48"/>
  <c r="E26" i="48"/>
  <c r="D26" i="48"/>
  <c r="C26" i="48"/>
  <c r="H25" i="48"/>
  <c r="G25" i="48"/>
  <c r="E25" i="48"/>
  <c r="D25" i="48"/>
  <c r="C25" i="48"/>
  <c r="H24" i="31"/>
  <c r="G24" i="31"/>
  <c r="E24" i="31"/>
  <c r="D24" i="31"/>
  <c r="C24" i="31"/>
  <c r="H24" i="48"/>
  <c r="G24" i="48"/>
  <c r="F24" i="48"/>
  <c r="E24" i="48"/>
  <c r="D24" i="48"/>
  <c r="C24" i="48"/>
  <c r="G23" i="48" l="1"/>
  <c r="F23" i="48"/>
  <c r="E23" i="48"/>
  <c r="C23" i="48"/>
  <c r="H23" i="48"/>
  <c r="F22" i="31"/>
  <c r="E22" i="31"/>
  <c r="D22" i="31"/>
  <c r="C22" i="31"/>
  <c r="H22" i="48"/>
  <c r="F22" i="48"/>
  <c r="E22" i="48"/>
  <c r="D22" i="48"/>
  <c r="C22" i="48"/>
  <c r="G22" i="48"/>
  <c r="H21" i="48"/>
  <c r="G21" i="48"/>
  <c r="F21" i="48"/>
  <c r="E21" i="48"/>
  <c r="C21" i="48"/>
  <c r="D21" i="48"/>
  <c r="H20" i="48"/>
  <c r="G20" i="48"/>
  <c r="F20" i="48"/>
  <c r="E20" i="48"/>
  <c r="C20" i="48"/>
  <c r="D20" i="48"/>
  <c r="H19" i="31" l="1"/>
  <c r="E19" i="31"/>
  <c r="D19" i="31"/>
  <c r="C19" i="31"/>
  <c r="H19" i="48"/>
  <c r="G19" i="48"/>
  <c r="F19" i="48"/>
  <c r="E19" i="48"/>
  <c r="D19" i="48"/>
  <c r="C19" i="48"/>
  <c r="H70" i="21"/>
  <c r="G70" i="21"/>
  <c r="F70" i="21"/>
  <c r="E70" i="21"/>
  <c r="D70" i="21"/>
  <c r="C70" i="21"/>
  <c r="F18" i="48"/>
  <c r="E18" i="48"/>
  <c r="C18" i="48"/>
  <c r="H18" i="50"/>
  <c r="D18" i="50"/>
  <c r="C18" i="50"/>
  <c r="F18" i="50"/>
  <c r="G17" i="24"/>
  <c r="F17" i="24"/>
  <c r="D17" i="24"/>
  <c r="C17" i="24"/>
  <c r="H17" i="48"/>
  <c r="G17" i="48"/>
  <c r="F17" i="48"/>
  <c r="E17" i="48"/>
  <c r="D17" i="48"/>
  <c r="C17" i="48"/>
  <c r="F16" i="31"/>
  <c r="E16" i="31"/>
  <c r="D16" i="31"/>
  <c r="C16" i="31"/>
  <c r="H15" i="48"/>
  <c r="G15" i="48"/>
  <c r="E15" i="48"/>
  <c r="C15" i="48"/>
  <c r="F15" i="48"/>
  <c r="D15" i="48"/>
  <c r="H14" i="48" l="1"/>
  <c r="G14" i="48"/>
  <c r="F14" i="48"/>
  <c r="E14" i="48"/>
  <c r="C14" i="48"/>
  <c r="C13" i="48"/>
  <c r="H13" i="48"/>
  <c r="F13" i="48"/>
  <c r="E13" i="48"/>
  <c r="G13" i="48"/>
  <c r="D13" i="48"/>
  <c r="D74" i="19" l="1"/>
  <c r="N181" i="21"/>
  <c r="C30" i="34" l="1"/>
  <c r="C162" i="19"/>
  <c r="C110" i="19"/>
  <c r="I31" i="35"/>
  <c r="H31" i="35"/>
  <c r="G31" i="35"/>
  <c r="F31" i="35"/>
  <c r="H30" i="34"/>
  <c r="G30" i="34"/>
  <c r="F30" i="34"/>
  <c r="E30" i="34"/>
  <c r="D30" i="34"/>
  <c r="I30" i="34"/>
  <c r="M30" i="34"/>
  <c r="C22" i="19"/>
  <c r="P14" i="21"/>
  <c r="P22" i="19"/>
  <c r="O22" i="19"/>
  <c r="N30" i="19"/>
  <c r="I32" i="21"/>
  <c r="I23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C23" i="21"/>
  <c r="D23" i="21"/>
  <c r="E23" i="21"/>
  <c r="F23" i="21"/>
  <c r="G23" i="21"/>
  <c r="H23" i="21"/>
  <c r="J23" i="21"/>
  <c r="K23" i="21"/>
  <c r="L23" i="21"/>
  <c r="M23" i="21"/>
  <c r="N23" i="21"/>
  <c r="O23" i="21"/>
  <c r="P23" i="21"/>
  <c r="P13" i="52" s="1"/>
  <c r="C32" i="21"/>
  <c r="D32" i="21"/>
  <c r="E32" i="21"/>
  <c r="F32" i="21"/>
  <c r="G32" i="21"/>
  <c r="H32" i="21"/>
  <c r="J32" i="21"/>
  <c r="K32" i="21"/>
  <c r="L32" i="21"/>
  <c r="M32" i="21"/>
  <c r="N32" i="21"/>
  <c r="O32" i="21"/>
  <c r="P32" i="21"/>
  <c r="C41" i="21"/>
  <c r="D41" i="21"/>
  <c r="E41" i="21"/>
  <c r="F41" i="21"/>
  <c r="G41" i="21"/>
  <c r="H41" i="21"/>
  <c r="I41" i="21"/>
  <c r="K41" i="21"/>
  <c r="L41" i="21"/>
  <c r="M41" i="21"/>
  <c r="N41" i="21"/>
  <c r="O41" i="21"/>
  <c r="P41" i="21"/>
  <c r="P170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P150" i="19"/>
  <c r="O150" i="19"/>
  <c r="N150" i="19"/>
  <c r="M150" i="19"/>
  <c r="L150" i="19"/>
  <c r="K150" i="19"/>
  <c r="J150" i="19"/>
  <c r="I150" i="19"/>
  <c r="H150" i="19"/>
  <c r="G150" i="19"/>
  <c r="F150" i="19"/>
  <c r="E150" i="19"/>
  <c r="D150" i="19"/>
  <c r="C150" i="19"/>
  <c r="C142" i="19"/>
  <c r="P142" i="19"/>
  <c r="O142" i="19"/>
  <c r="N142" i="19"/>
  <c r="M142" i="19"/>
  <c r="L142" i="19"/>
  <c r="K142" i="19"/>
  <c r="J142" i="19"/>
  <c r="I142" i="19"/>
  <c r="H142" i="19"/>
  <c r="G142" i="19"/>
  <c r="F142" i="19"/>
  <c r="E142" i="19"/>
  <c r="D142" i="19"/>
  <c r="C134" i="19"/>
  <c r="P134" i="19"/>
  <c r="O134" i="19"/>
  <c r="N134" i="19"/>
  <c r="M134" i="19"/>
  <c r="L134" i="19"/>
  <c r="K134" i="19"/>
  <c r="J134" i="19"/>
  <c r="I134" i="19"/>
  <c r="H134" i="19"/>
  <c r="G134" i="19"/>
  <c r="F134" i="19"/>
  <c r="E134" i="19"/>
  <c r="D134" i="19"/>
  <c r="C126" i="19"/>
  <c r="P126" i="19"/>
  <c r="O126" i="19"/>
  <c r="N126" i="19"/>
  <c r="M126" i="19"/>
  <c r="L126" i="19"/>
  <c r="K126" i="19"/>
  <c r="J126" i="19"/>
  <c r="I126" i="19"/>
  <c r="H126" i="19"/>
  <c r="G126" i="19"/>
  <c r="F126" i="19"/>
  <c r="E126" i="19"/>
  <c r="D126" i="19"/>
  <c r="D118" i="19"/>
  <c r="P118" i="19"/>
  <c r="O118" i="19"/>
  <c r="N118" i="19"/>
  <c r="M118" i="19"/>
  <c r="L118" i="19"/>
  <c r="K118" i="19"/>
  <c r="J118" i="19"/>
  <c r="J22" i="74" s="1"/>
  <c r="I118" i="19"/>
  <c r="H118" i="19"/>
  <c r="G118" i="19"/>
  <c r="F118" i="19"/>
  <c r="F22" i="74" s="1"/>
  <c r="E118" i="19"/>
  <c r="C118" i="19"/>
  <c r="P98" i="19"/>
  <c r="O98" i="19"/>
  <c r="O21" i="74" s="1"/>
  <c r="N98" i="19"/>
  <c r="M98" i="19"/>
  <c r="L98" i="19"/>
  <c r="K98" i="19"/>
  <c r="J98" i="19"/>
  <c r="I98" i="19"/>
  <c r="H98" i="19"/>
  <c r="G98" i="19"/>
  <c r="G21" i="74" s="1"/>
  <c r="F98" i="19"/>
  <c r="E98" i="19"/>
  <c r="D98" i="19"/>
  <c r="C98" i="19"/>
  <c r="J90" i="19"/>
  <c r="P90" i="19"/>
  <c r="O90" i="19"/>
  <c r="N90" i="19"/>
  <c r="N20" i="74" s="1"/>
  <c r="M90" i="19"/>
  <c r="L90" i="19"/>
  <c r="K90" i="19"/>
  <c r="I90" i="19"/>
  <c r="I20" i="74" s="1"/>
  <c r="H90" i="19"/>
  <c r="G90" i="19"/>
  <c r="F90" i="19"/>
  <c r="E90" i="19"/>
  <c r="E20" i="74" s="1"/>
  <c r="D90" i="19"/>
  <c r="C90" i="19"/>
  <c r="C82" i="19"/>
  <c r="P82" i="19"/>
  <c r="P19" i="74" s="1"/>
  <c r="O82" i="19"/>
  <c r="N82" i="19"/>
  <c r="M82" i="19"/>
  <c r="L82" i="19"/>
  <c r="L19" i="74" s="1"/>
  <c r="K82" i="19"/>
  <c r="J82" i="19"/>
  <c r="I82" i="19"/>
  <c r="G82" i="19"/>
  <c r="G19" i="74" s="1"/>
  <c r="F82" i="19"/>
  <c r="E82" i="19"/>
  <c r="D82" i="19"/>
  <c r="P74" i="19"/>
  <c r="P18" i="74" s="1"/>
  <c r="O74" i="19"/>
  <c r="N74" i="19"/>
  <c r="M74" i="19"/>
  <c r="L74" i="19"/>
  <c r="K74" i="19"/>
  <c r="J74" i="19"/>
  <c r="I74" i="19"/>
  <c r="H74" i="19"/>
  <c r="G74" i="19"/>
  <c r="F74" i="19"/>
  <c r="E74" i="19"/>
  <c r="C74" i="19"/>
  <c r="C18" i="74" s="1"/>
  <c r="C46" i="19"/>
  <c r="C66" i="19"/>
  <c r="C17" i="74" s="1"/>
  <c r="P66" i="19"/>
  <c r="P17" i="74" s="1"/>
  <c r="O66" i="19"/>
  <c r="O17" i="74" s="1"/>
  <c r="N66" i="19"/>
  <c r="N17" i="74" s="1"/>
  <c r="M66" i="19"/>
  <c r="M17" i="74" s="1"/>
  <c r="L66" i="19"/>
  <c r="L17" i="74" s="1"/>
  <c r="K66" i="19"/>
  <c r="K17" i="74" s="1"/>
  <c r="J66" i="19"/>
  <c r="J17" i="74" s="1"/>
  <c r="I66" i="19"/>
  <c r="I17" i="74" s="1"/>
  <c r="H66" i="19"/>
  <c r="H17" i="74" s="1"/>
  <c r="G66" i="19"/>
  <c r="F66" i="19"/>
  <c r="F17" i="74" s="1"/>
  <c r="E66" i="19"/>
  <c r="E17" i="74" s="1"/>
  <c r="D66" i="19"/>
  <c r="D17" i="74" s="1"/>
  <c r="P46" i="19"/>
  <c r="P16" i="74" s="1"/>
  <c r="O46" i="19"/>
  <c r="N46" i="19"/>
  <c r="M46" i="19"/>
  <c r="M16" i="74" s="1"/>
  <c r="L46" i="19"/>
  <c r="K46" i="19"/>
  <c r="J46" i="19"/>
  <c r="I46" i="19"/>
  <c r="I16" i="74" s="1"/>
  <c r="H46" i="19"/>
  <c r="H16" i="74" s="1"/>
  <c r="G46" i="19"/>
  <c r="F46" i="19"/>
  <c r="E46" i="19"/>
  <c r="E16" i="74" s="1"/>
  <c r="D46" i="19"/>
  <c r="D16" i="74" s="1"/>
  <c r="P38" i="19"/>
  <c r="P15" i="74" s="1"/>
  <c r="O38" i="19"/>
  <c r="O15" i="74" s="1"/>
  <c r="N38" i="19"/>
  <c r="N15" i="74" s="1"/>
  <c r="M38" i="19"/>
  <c r="M15" i="74" s="1"/>
  <c r="L38" i="19"/>
  <c r="L15" i="74" s="1"/>
  <c r="K38" i="19"/>
  <c r="K15" i="74" s="1"/>
  <c r="J38" i="19"/>
  <c r="I38" i="19"/>
  <c r="I15" i="74" s="1"/>
  <c r="H38" i="19"/>
  <c r="G38" i="19"/>
  <c r="G15" i="74" s="1"/>
  <c r="F38" i="19"/>
  <c r="E38" i="19"/>
  <c r="E15" i="74" s="1"/>
  <c r="D38" i="19"/>
  <c r="C38" i="19"/>
  <c r="C15" i="74" s="1"/>
  <c r="H30" i="19"/>
  <c r="H14" i="74" s="1"/>
  <c r="P30" i="19"/>
  <c r="P14" i="74" s="1"/>
  <c r="O30" i="19"/>
  <c r="O14" i="74" s="1"/>
  <c r="M30" i="19"/>
  <c r="L30" i="19"/>
  <c r="L14" i="74" s="1"/>
  <c r="K30" i="19"/>
  <c r="J30" i="19"/>
  <c r="J14" i="74" s="1"/>
  <c r="I30" i="19"/>
  <c r="I14" i="74" s="1"/>
  <c r="G30" i="19"/>
  <c r="G14" i="74" s="1"/>
  <c r="F30" i="19"/>
  <c r="E30" i="19"/>
  <c r="E14" i="74" s="1"/>
  <c r="D30" i="19"/>
  <c r="C30" i="19"/>
  <c r="N22" i="19"/>
  <c r="M22" i="19"/>
  <c r="L22" i="19"/>
  <c r="K22" i="19"/>
  <c r="K13" i="74" s="1"/>
  <c r="J22" i="19"/>
  <c r="I22" i="19"/>
  <c r="I13" i="74" s="1"/>
  <c r="H22" i="19"/>
  <c r="H13" i="74" s="1"/>
  <c r="G22" i="19"/>
  <c r="G13" i="74" s="1"/>
  <c r="F22" i="19"/>
  <c r="F13" i="74" s="1"/>
  <c r="E22" i="19"/>
  <c r="E13" i="74" s="1"/>
  <c r="D22" i="19"/>
  <c r="D13" i="74" s="1"/>
  <c r="P14" i="19"/>
  <c r="P12" i="74" s="1"/>
  <c r="P29" i="74" s="1"/>
  <c r="O14" i="19"/>
  <c r="O12" i="74" s="1"/>
  <c r="O29" i="74" s="1"/>
  <c r="N14" i="19"/>
  <c r="N12" i="74" s="1"/>
  <c r="N29" i="74" s="1"/>
  <c r="M14" i="19"/>
  <c r="M12" i="74" s="1"/>
  <c r="M29" i="74" s="1"/>
  <c r="L14" i="19"/>
  <c r="L12" i="74" s="1"/>
  <c r="L29" i="74" s="1"/>
  <c r="K14" i="19"/>
  <c r="K12" i="74" s="1"/>
  <c r="K29" i="74" s="1"/>
  <c r="J14" i="19"/>
  <c r="J12" i="74" s="1"/>
  <c r="J29" i="74" s="1"/>
  <c r="I14" i="19"/>
  <c r="I12" i="74" s="1"/>
  <c r="I29" i="74" s="1"/>
  <c r="H14" i="19"/>
  <c r="H12" i="74" s="1"/>
  <c r="H29" i="74" s="1"/>
  <c r="G14" i="19"/>
  <c r="G12" i="74" s="1"/>
  <c r="G29" i="74" s="1"/>
  <c r="F14" i="19"/>
  <c r="F12" i="74" s="1"/>
  <c r="F29" i="74" s="1"/>
  <c r="E14" i="19"/>
  <c r="E12" i="74" s="1"/>
  <c r="E29" i="74" s="1"/>
  <c r="D14" i="19"/>
  <c r="D12" i="74" s="1"/>
  <c r="D29" i="74" s="1"/>
  <c r="C14" i="19"/>
  <c r="D181" i="21"/>
  <c r="E181" i="21"/>
  <c r="E27" i="52" s="1"/>
  <c r="F181" i="21"/>
  <c r="G181" i="21"/>
  <c r="H181" i="21"/>
  <c r="I181" i="21"/>
  <c r="J181" i="21"/>
  <c r="K181" i="21"/>
  <c r="L181" i="21"/>
  <c r="M181" i="21"/>
  <c r="M27" i="52" s="1"/>
  <c r="O181" i="21"/>
  <c r="P181" i="21"/>
  <c r="P27" i="52" s="1"/>
  <c r="C181" i="21"/>
  <c r="N172" i="21"/>
  <c r="K172" i="21"/>
  <c r="F172" i="21"/>
  <c r="E172" i="21"/>
  <c r="G172" i="21"/>
  <c r="G26" i="52" s="1"/>
  <c r="H172" i="21"/>
  <c r="I172" i="21"/>
  <c r="I26" i="52" s="1"/>
  <c r="J172" i="21"/>
  <c r="L172" i="21"/>
  <c r="M172" i="21"/>
  <c r="O172" i="21"/>
  <c r="O26" i="52" s="1"/>
  <c r="P172" i="21"/>
  <c r="D172" i="21"/>
  <c r="C172" i="21"/>
  <c r="N163" i="21"/>
  <c r="E163" i="21"/>
  <c r="F163" i="21"/>
  <c r="F25" i="52" s="1"/>
  <c r="G163" i="21"/>
  <c r="H163" i="21"/>
  <c r="I163" i="21"/>
  <c r="J163" i="21"/>
  <c r="K163" i="21"/>
  <c r="L163" i="21"/>
  <c r="L25" i="52" s="1"/>
  <c r="M163" i="21"/>
  <c r="M25" i="52" s="1"/>
  <c r="O163" i="21"/>
  <c r="P163" i="21"/>
  <c r="D163" i="21"/>
  <c r="D25" i="52" s="1"/>
  <c r="C163" i="21"/>
  <c r="O154" i="21"/>
  <c r="D154" i="21"/>
  <c r="E154" i="21"/>
  <c r="F154" i="21"/>
  <c r="G154" i="21"/>
  <c r="H154" i="21"/>
  <c r="I154" i="21"/>
  <c r="J154" i="21"/>
  <c r="K154" i="21"/>
  <c r="L154" i="21"/>
  <c r="M154" i="21"/>
  <c r="M24" i="52" s="1"/>
  <c r="N154" i="21"/>
  <c r="P154" i="21"/>
  <c r="O135" i="21"/>
  <c r="K135" i="21"/>
  <c r="D135" i="21"/>
  <c r="E135" i="21"/>
  <c r="F135" i="21"/>
  <c r="F23" i="52" s="1"/>
  <c r="G135" i="21"/>
  <c r="H135" i="21"/>
  <c r="I135" i="21"/>
  <c r="J135" i="21"/>
  <c r="L135" i="21"/>
  <c r="L23" i="52" s="1"/>
  <c r="M135" i="21"/>
  <c r="N135" i="21"/>
  <c r="P135" i="21"/>
  <c r="C135" i="21"/>
  <c r="N126" i="21"/>
  <c r="K126" i="21"/>
  <c r="D126" i="21"/>
  <c r="E126" i="21"/>
  <c r="F126" i="21"/>
  <c r="G126" i="21"/>
  <c r="H126" i="21"/>
  <c r="I126" i="21"/>
  <c r="J126" i="21"/>
  <c r="L126" i="21"/>
  <c r="L22" i="52" s="1"/>
  <c r="M126" i="21"/>
  <c r="O126" i="21"/>
  <c r="P126" i="21"/>
  <c r="C126" i="21"/>
  <c r="N117" i="21"/>
  <c r="K117" i="21"/>
  <c r="E117" i="21"/>
  <c r="F117" i="21"/>
  <c r="G117" i="21"/>
  <c r="H117" i="21"/>
  <c r="I117" i="21"/>
  <c r="J117" i="21"/>
  <c r="L117" i="21"/>
  <c r="M117" i="21"/>
  <c r="M21" i="52" s="1"/>
  <c r="O117" i="21"/>
  <c r="P117" i="21"/>
  <c r="D117" i="21"/>
  <c r="C117" i="21"/>
  <c r="N108" i="21"/>
  <c r="E108" i="21"/>
  <c r="F108" i="21"/>
  <c r="G108" i="21"/>
  <c r="G20" i="52" s="1"/>
  <c r="H108" i="21"/>
  <c r="H20" i="52" s="1"/>
  <c r="I108" i="21"/>
  <c r="J108" i="21"/>
  <c r="K108" i="21"/>
  <c r="L108" i="21"/>
  <c r="L20" i="52" s="1"/>
  <c r="M108" i="21"/>
  <c r="O108" i="21"/>
  <c r="P108" i="21"/>
  <c r="D108" i="21"/>
  <c r="C108" i="21"/>
  <c r="N89" i="21"/>
  <c r="I89" i="21"/>
  <c r="E89" i="21"/>
  <c r="F89" i="21"/>
  <c r="G89" i="21"/>
  <c r="H89" i="21"/>
  <c r="J89" i="21"/>
  <c r="K89" i="21"/>
  <c r="L89" i="21"/>
  <c r="M89" i="21"/>
  <c r="M19" i="52" s="1"/>
  <c r="O89" i="21"/>
  <c r="P89" i="21"/>
  <c r="D89" i="21"/>
  <c r="D19" i="52" s="1"/>
  <c r="N80" i="21"/>
  <c r="E80" i="21"/>
  <c r="F80" i="21"/>
  <c r="F18" i="52" s="1"/>
  <c r="G80" i="21"/>
  <c r="H80" i="21"/>
  <c r="H18" i="52" s="1"/>
  <c r="I80" i="21"/>
  <c r="J80" i="21"/>
  <c r="K80" i="21"/>
  <c r="L80" i="21"/>
  <c r="L18" i="52" s="1"/>
  <c r="M80" i="21"/>
  <c r="M18" i="52" s="1"/>
  <c r="O80" i="21"/>
  <c r="P80" i="21"/>
  <c r="D80" i="21"/>
  <c r="D18" i="52" s="1"/>
  <c r="C80" i="21"/>
  <c r="E17" i="52"/>
  <c r="O61" i="21"/>
  <c r="K61" i="21"/>
  <c r="D61" i="21"/>
  <c r="E61" i="21"/>
  <c r="F61" i="21"/>
  <c r="G61" i="21"/>
  <c r="H61" i="21"/>
  <c r="I61" i="21"/>
  <c r="J61" i="21"/>
  <c r="L61" i="21"/>
  <c r="L16" i="52" s="1"/>
  <c r="M61" i="21"/>
  <c r="N61" i="21"/>
  <c r="P61" i="21"/>
  <c r="C61" i="21"/>
  <c r="C16" i="52" s="1"/>
  <c r="C89" i="21"/>
  <c r="C154" i="21"/>
  <c r="D27" i="52"/>
  <c r="G25" i="52"/>
  <c r="G18" i="52"/>
  <c r="D17" i="52"/>
  <c r="P26" i="52"/>
  <c r="H82" i="19"/>
  <c r="O170" i="19"/>
  <c r="O27" i="74" s="1"/>
  <c r="L16" i="74" l="1"/>
  <c r="G17" i="52"/>
  <c r="G17" i="74"/>
  <c r="H18" i="74"/>
  <c r="L18" i="74"/>
  <c r="C21" i="74"/>
  <c r="M13" i="52"/>
  <c r="M13" i="74"/>
  <c r="D15" i="52"/>
  <c r="D15" i="74"/>
  <c r="H15" i="52"/>
  <c r="H15" i="74"/>
  <c r="G16" i="74"/>
  <c r="K16" i="74"/>
  <c r="O16" i="74"/>
  <c r="C16" i="74"/>
  <c r="G18" i="74"/>
  <c r="K18" i="74"/>
  <c r="K18" i="52"/>
  <c r="O18" i="74"/>
  <c r="F19" i="74"/>
  <c r="K19" i="74"/>
  <c r="O19" i="74"/>
  <c r="D20" i="74"/>
  <c r="H20" i="74"/>
  <c r="M20" i="74"/>
  <c r="J20" i="74"/>
  <c r="F21" i="74"/>
  <c r="J21" i="74"/>
  <c r="N21" i="74"/>
  <c r="E22" i="74"/>
  <c r="I22" i="74"/>
  <c r="M22" i="74"/>
  <c r="D22" i="74"/>
  <c r="G23" i="74"/>
  <c r="K23" i="74"/>
  <c r="O23" i="74"/>
  <c r="E24" i="74"/>
  <c r="I24" i="74"/>
  <c r="M24" i="74"/>
  <c r="C24" i="74"/>
  <c r="G25" i="74"/>
  <c r="K25" i="74"/>
  <c r="O25" i="74"/>
  <c r="D26" i="74"/>
  <c r="H26" i="74"/>
  <c r="L26" i="74"/>
  <c r="P26" i="74"/>
  <c r="F27" i="74"/>
  <c r="J27" i="74"/>
  <c r="N27" i="52"/>
  <c r="N27" i="74"/>
  <c r="N14" i="74"/>
  <c r="C13" i="74"/>
  <c r="C13" i="52"/>
  <c r="N22" i="74"/>
  <c r="D23" i="74"/>
  <c r="H23" i="74"/>
  <c r="L23" i="74"/>
  <c r="P23" i="74"/>
  <c r="F24" i="74"/>
  <c r="J24" i="74"/>
  <c r="N24" i="74"/>
  <c r="D25" i="74"/>
  <c r="H25" i="74"/>
  <c r="L25" i="74"/>
  <c r="P25" i="74"/>
  <c r="E26" i="74"/>
  <c r="I26" i="74"/>
  <c r="M26" i="74"/>
  <c r="C27" i="74"/>
  <c r="G27" i="52"/>
  <c r="G27" i="74"/>
  <c r="K27" i="74"/>
  <c r="P27" i="74"/>
  <c r="O13" i="74"/>
  <c r="C14" i="52"/>
  <c r="C14" i="74"/>
  <c r="F15" i="52"/>
  <c r="F15" i="74"/>
  <c r="J15" i="52"/>
  <c r="J15" i="74"/>
  <c r="I18" i="74"/>
  <c r="H21" i="74"/>
  <c r="L21" i="74"/>
  <c r="P21" i="74"/>
  <c r="G22" i="74"/>
  <c r="K22" i="74"/>
  <c r="O22" i="74"/>
  <c r="E23" i="74"/>
  <c r="I23" i="74"/>
  <c r="M23" i="74"/>
  <c r="C23" i="74"/>
  <c r="G24" i="74"/>
  <c r="K24" i="74"/>
  <c r="O24" i="74"/>
  <c r="E25" i="74"/>
  <c r="I25" i="74"/>
  <c r="M25" i="74"/>
  <c r="C25" i="74"/>
  <c r="F26" i="74"/>
  <c r="J26" i="74"/>
  <c r="N26" i="74"/>
  <c r="D27" i="74"/>
  <c r="H27" i="74"/>
  <c r="L27" i="74"/>
  <c r="P13" i="74"/>
  <c r="C12" i="52"/>
  <c r="C12" i="74"/>
  <c r="C29" i="74" s="1"/>
  <c r="J13" i="52"/>
  <c r="J13" i="74"/>
  <c r="N13" i="52"/>
  <c r="N13" i="74"/>
  <c r="F14" i="52"/>
  <c r="F14" i="74"/>
  <c r="K14" i="52"/>
  <c r="K14" i="74"/>
  <c r="K21" i="74"/>
  <c r="H19" i="74"/>
  <c r="E18" i="74"/>
  <c r="M18" i="74"/>
  <c r="D19" i="74"/>
  <c r="I19" i="74"/>
  <c r="M19" i="74"/>
  <c r="C19" i="74"/>
  <c r="F20" i="74"/>
  <c r="K20" i="74"/>
  <c r="O20" i="74"/>
  <c r="D21" i="74"/>
  <c r="P19" i="52"/>
  <c r="E20" i="52"/>
  <c r="L13" i="52"/>
  <c r="L13" i="74"/>
  <c r="D14" i="52"/>
  <c r="D14" i="74"/>
  <c r="M14" i="52"/>
  <c r="M14" i="74"/>
  <c r="F16" i="74"/>
  <c r="J16" i="74"/>
  <c r="N16" i="74"/>
  <c r="F18" i="74"/>
  <c r="J18" i="74"/>
  <c r="N18" i="74"/>
  <c r="E19" i="74"/>
  <c r="J19" i="74"/>
  <c r="N19" i="74"/>
  <c r="C20" i="74"/>
  <c r="G20" i="74"/>
  <c r="L20" i="74"/>
  <c r="P20" i="74"/>
  <c r="E21" i="74"/>
  <c r="I21" i="74"/>
  <c r="M21" i="74"/>
  <c r="C22" i="74"/>
  <c r="H22" i="74"/>
  <c r="L22" i="74"/>
  <c r="P22" i="74"/>
  <c r="F23" i="74"/>
  <c r="J23" i="74"/>
  <c r="N23" i="74"/>
  <c r="D24" i="74"/>
  <c r="H24" i="74"/>
  <c r="L24" i="74"/>
  <c r="P24" i="74"/>
  <c r="F25" i="74"/>
  <c r="J25" i="74"/>
  <c r="N25" i="74"/>
  <c r="C26" i="74"/>
  <c r="G26" i="74"/>
  <c r="K26" i="74"/>
  <c r="O26" i="74"/>
  <c r="E27" i="74"/>
  <c r="I27" i="74"/>
  <c r="M27" i="74"/>
  <c r="D18" i="74"/>
  <c r="H16" i="52"/>
  <c r="F16" i="52"/>
  <c r="D16" i="52"/>
  <c r="P18" i="52"/>
  <c r="G19" i="52"/>
  <c r="H24" i="52"/>
  <c r="E26" i="52"/>
  <c r="I198" i="19"/>
  <c r="O27" i="52"/>
  <c r="M26" i="52"/>
  <c r="P25" i="52"/>
  <c r="L24" i="52"/>
  <c r="P24" i="52"/>
  <c r="O24" i="52"/>
  <c r="P23" i="52"/>
  <c r="O23" i="52"/>
  <c r="P22" i="52"/>
  <c r="P21" i="52"/>
  <c r="P20" i="52"/>
  <c r="M20" i="52"/>
  <c r="L19" i="52"/>
  <c r="P17" i="52"/>
  <c r="L17" i="52"/>
  <c r="M17" i="52"/>
  <c r="O16" i="52"/>
  <c r="M16" i="52"/>
  <c r="P16" i="52"/>
  <c r="L15" i="52"/>
  <c r="O14" i="52"/>
  <c r="L12" i="52"/>
  <c r="N12" i="52"/>
  <c r="J22" i="52"/>
  <c r="J16" i="52"/>
  <c r="J12" i="52"/>
  <c r="C27" i="52"/>
  <c r="G24" i="52"/>
  <c r="E24" i="52"/>
  <c r="F24" i="52"/>
  <c r="D24" i="52"/>
  <c r="D23" i="52"/>
  <c r="H23" i="52"/>
  <c r="H22" i="52"/>
  <c r="F22" i="52"/>
  <c r="F21" i="52"/>
  <c r="H21" i="52"/>
  <c r="F20" i="52"/>
  <c r="D20" i="52"/>
  <c r="E19" i="52"/>
  <c r="F19" i="52"/>
  <c r="E18" i="52"/>
  <c r="H17" i="52"/>
  <c r="E16" i="52"/>
  <c r="H14" i="52"/>
  <c r="H12" i="52"/>
  <c r="F12" i="52"/>
  <c r="D12" i="52"/>
  <c r="F27" i="52"/>
  <c r="H27" i="52"/>
  <c r="L27" i="52"/>
  <c r="D26" i="52"/>
  <c r="F26" i="52"/>
  <c r="H26" i="52"/>
  <c r="H25" i="52"/>
  <c r="E25" i="52"/>
  <c r="O25" i="52"/>
  <c r="C25" i="52"/>
  <c r="E23" i="52"/>
  <c r="G23" i="52"/>
  <c r="M23" i="52"/>
  <c r="D21" i="52"/>
  <c r="O20" i="52"/>
  <c r="O18" i="52"/>
  <c r="O17" i="52"/>
  <c r="G16" i="52"/>
  <c r="C15" i="52"/>
  <c r="E15" i="52"/>
  <c r="G15" i="52"/>
  <c r="I15" i="52"/>
  <c r="E14" i="52"/>
  <c r="G14" i="52"/>
  <c r="J14" i="52"/>
  <c r="L14" i="52"/>
  <c r="E13" i="52"/>
  <c r="G13" i="52"/>
  <c r="I13" i="52"/>
  <c r="O13" i="52"/>
  <c r="P12" i="52"/>
  <c r="O22" i="52"/>
  <c r="G22" i="52"/>
  <c r="E22" i="52"/>
  <c r="O21" i="52"/>
  <c r="I21" i="52"/>
  <c r="G21" i="52"/>
  <c r="E21" i="52"/>
  <c r="M12" i="52"/>
  <c r="K16" i="52"/>
  <c r="K15" i="52"/>
  <c r="K13" i="52"/>
  <c r="K12" i="52"/>
  <c r="I16" i="52"/>
  <c r="F17" i="52"/>
  <c r="O19" i="52"/>
  <c r="L21" i="52"/>
  <c r="M22" i="52"/>
  <c r="D22" i="52"/>
  <c r="L26" i="52"/>
  <c r="E12" i="52"/>
  <c r="G12" i="52"/>
  <c r="I12" i="52"/>
  <c r="O12" i="52"/>
  <c r="D13" i="52"/>
  <c r="F13" i="52"/>
  <c r="H13" i="52"/>
  <c r="I14" i="52"/>
  <c r="P14" i="52"/>
  <c r="M15" i="52"/>
  <c r="O15" i="52"/>
  <c r="N15" i="52"/>
  <c r="P15" i="52"/>
  <c r="J17" i="52"/>
  <c r="N17" i="52"/>
  <c r="J18" i="52"/>
  <c r="N18" i="52"/>
  <c r="J19" i="52"/>
  <c r="N19" i="52"/>
  <c r="C20" i="52"/>
  <c r="I20" i="52"/>
  <c r="N20" i="52"/>
  <c r="C21" i="52"/>
  <c r="K21" i="52"/>
  <c r="C22" i="52"/>
  <c r="N22" i="52"/>
  <c r="J23" i="52"/>
  <c r="N23" i="52"/>
  <c r="J24" i="52"/>
  <c r="N24" i="52"/>
  <c r="J25" i="52"/>
  <c r="N25" i="52"/>
  <c r="C26" i="52"/>
  <c r="K26" i="52"/>
  <c r="I27" i="52"/>
  <c r="K27" i="52"/>
  <c r="N14" i="52"/>
  <c r="N16" i="52"/>
  <c r="I17" i="52"/>
  <c r="K17" i="52"/>
  <c r="C17" i="52"/>
  <c r="C18" i="52"/>
  <c r="I18" i="52"/>
  <c r="I19" i="52"/>
  <c r="K19" i="52"/>
  <c r="C19" i="52"/>
  <c r="K20" i="52"/>
  <c r="J20" i="52"/>
  <c r="J21" i="52"/>
  <c r="N21" i="52"/>
  <c r="I22" i="52"/>
  <c r="K22" i="52"/>
  <c r="I23" i="52"/>
  <c r="K23" i="52"/>
  <c r="C23" i="52"/>
  <c r="I24" i="52"/>
  <c r="K24" i="52"/>
  <c r="C24" i="52"/>
  <c r="I25" i="52"/>
  <c r="K25" i="52"/>
  <c r="J26" i="52"/>
  <c r="N26" i="52"/>
  <c r="J27" i="52"/>
  <c r="H19" i="52"/>
  <c r="M29" i="52" l="1"/>
  <c r="D29" i="52"/>
  <c r="G29" i="52"/>
  <c r="E29" i="52"/>
  <c r="P29" i="52"/>
  <c r="F29" i="52"/>
  <c r="O29" i="52"/>
  <c r="L29" i="52"/>
  <c r="C29" i="52"/>
  <c r="I29" i="52"/>
  <c r="K29" i="52"/>
  <c r="J29" i="52"/>
  <c r="N29" i="52"/>
  <c r="H29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Köhler, Felipe</author>
  </authors>
  <commentList>
    <comment ref="I30" authorId="0" shapeId="0" xr:uid="{00000000-0006-0000-1E00-000001000000}">
      <text>
        <r>
          <rPr>
            <b/>
            <sz val="9"/>
            <color indexed="81"/>
            <rFont val="Segoe UI"/>
            <family val="2"/>
          </rPr>
          <t>Köhler, Felipe:</t>
        </r>
        <r>
          <rPr>
            <sz val="9"/>
            <color indexed="81"/>
            <rFont val="Segoe UI"/>
            <family val="2"/>
          </rPr>
          <t xml:space="preserve">
Abweichender Wert zur Tabelle B "Entwicklung". Siehe Fußnoten (betrifft die Werker)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Köhler, Felipe</author>
    <author>pfeiffde</author>
  </authors>
  <commentList>
    <comment ref="E198" authorId="0" shapeId="0" xr:uid="{00000000-0006-0000-2300-000001000000}">
      <text>
        <r>
          <rPr>
            <b/>
            <sz val="9"/>
            <color indexed="81"/>
            <rFont val="Segoe UI"/>
            <family val="2"/>
          </rPr>
          <t>Köhler, Felipe:</t>
        </r>
        <r>
          <rPr>
            <sz val="9"/>
            <color indexed="81"/>
            <rFont val="Segoe UI"/>
            <family val="2"/>
          </rPr>
          <t xml:space="preserve">
Siehe Tabelle "Forstwirt"</t>
        </r>
      </text>
    </comment>
    <comment ref="E228" authorId="1" shapeId="0" xr:uid="{00000000-0006-0000-2300-000002000000}">
      <text>
        <r>
          <rPr>
            <b/>
            <sz val="9"/>
            <color indexed="81"/>
            <rFont val="Tahoma"/>
            <family val="2"/>
          </rPr>
          <t>korrigiert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pfeiffde</author>
  </authors>
  <commentList>
    <comment ref="A30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keine Summenwerte, sondern von FS stat. Bundesamt übertragen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<sst xmlns="http://schemas.openxmlformats.org/spreadsheetml/2006/main" count="11765" uniqueCount="714">
  <si>
    <t>Neu abge-</t>
  </si>
  <si>
    <t>Vorzeitig</t>
  </si>
  <si>
    <t>darunter mit bestan-</t>
  </si>
  <si>
    <t>schlossene</t>
  </si>
  <si>
    <t>gelöste</t>
  </si>
  <si>
    <t>darunter</t>
  </si>
  <si>
    <t xml:space="preserve">  Realschul-</t>
  </si>
  <si>
    <t>Sonstige</t>
  </si>
  <si>
    <t>Ausbildungs-</t>
  </si>
  <si>
    <t xml:space="preserve">  ohne</t>
  </si>
  <si>
    <t xml:space="preserve">  oder gleich-</t>
  </si>
  <si>
    <t xml:space="preserve">  Hochschul-,</t>
  </si>
  <si>
    <t>Schulischen</t>
  </si>
  <si>
    <t>Berufs-</t>
  </si>
  <si>
    <t>Insgesamt</t>
  </si>
  <si>
    <t>Türkei</t>
  </si>
  <si>
    <t>Ausbildungsberuf</t>
  </si>
  <si>
    <t>männ-</t>
  </si>
  <si>
    <t>weib-</t>
  </si>
  <si>
    <t>insge-</t>
  </si>
  <si>
    <t>verhältnisse</t>
  </si>
  <si>
    <t xml:space="preserve">  Hauptschul-</t>
  </si>
  <si>
    <t xml:space="preserve">  wertiger</t>
  </si>
  <si>
    <t xml:space="preserve">  Fachhoch-</t>
  </si>
  <si>
    <t>Berufsgrund-</t>
  </si>
  <si>
    <t>Berufsfach-</t>
  </si>
  <si>
    <t>vorbereitungs-</t>
  </si>
  <si>
    <t xml:space="preserve">ohne </t>
  </si>
  <si>
    <t>lich</t>
  </si>
  <si>
    <t>samt</t>
  </si>
  <si>
    <t>1.</t>
  </si>
  <si>
    <t>2.</t>
  </si>
  <si>
    <t>3.</t>
  </si>
  <si>
    <t>im Berichts-</t>
  </si>
  <si>
    <t xml:space="preserve">lich </t>
  </si>
  <si>
    <t>bildungsjahres</t>
  </si>
  <si>
    <t>schule</t>
  </si>
  <si>
    <t>jahres</t>
  </si>
  <si>
    <t>Angabe</t>
  </si>
  <si>
    <t>zeitraum</t>
  </si>
  <si>
    <t xml:space="preserve"> </t>
  </si>
  <si>
    <t>I. Ausbildungsverhältnisse</t>
  </si>
  <si>
    <t>1. Landwirt/-in</t>
  </si>
  <si>
    <t>Land</t>
  </si>
  <si>
    <t xml:space="preserve"> BW</t>
  </si>
  <si>
    <t xml:space="preserve"> BY</t>
  </si>
  <si>
    <t xml:space="preserve"> BE</t>
  </si>
  <si>
    <t xml:space="preserve"> BB</t>
  </si>
  <si>
    <t xml:space="preserve"> HB</t>
  </si>
  <si>
    <t xml:space="preserve"> HH</t>
  </si>
  <si>
    <t xml:space="preserve"> HE</t>
  </si>
  <si>
    <t xml:space="preserve"> MV</t>
  </si>
  <si>
    <t xml:space="preserve"> NI</t>
  </si>
  <si>
    <t xml:space="preserve"> NW</t>
  </si>
  <si>
    <t xml:space="preserve"> RP</t>
  </si>
  <si>
    <t xml:space="preserve"> SL</t>
  </si>
  <si>
    <t xml:space="preserve"> SN</t>
  </si>
  <si>
    <t xml:space="preserve"> ST</t>
  </si>
  <si>
    <t xml:space="preserve"> SH</t>
  </si>
  <si>
    <t xml:space="preserve"> TH</t>
  </si>
  <si>
    <t xml:space="preserve"> D</t>
  </si>
  <si>
    <t>beruf</t>
  </si>
  <si>
    <t>Schwerpunkt</t>
  </si>
  <si>
    <t>D</t>
  </si>
  <si>
    <t>Gärtner insgesamt</t>
  </si>
  <si>
    <t>Zierpflanzenbau</t>
  </si>
  <si>
    <t>Gemüsebau</t>
  </si>
  <si>
    <t>Baumschulen</t>
  </si>
  <si>
    <t>Obstbau</t>
  </si>
  <si>
    <t>Garten- und Landschaftsbau</t>
  </si>
  <si>
    <t>Friedhofsgärtnerei</t>
  </si>
  <si>
    <t>Staudengärtnerei</t>
  </si>
  <si>
    <t>Beruf</t>
  </si>
  <si>
    <t>Landwirt/-in</t>
  </si>
  <si>
    <t>Hauswirt-</t>
  </si>
  <si>
    <t>schafter/-in</t>
  </si>
  <si>
    <t>Tierwirt/-in</t>
  </si>
  <si>
    <t>Winzer/-in</t>
  </si>
  <si>
    <t>Gärtner/-in</t>
  </si>
  <si>
    <t>Fischwirt/-in</t>
  </si>
  <si>
    <t>(Waldfach-</t>
  </si>
  <si>
    <t>arbeiter/-in)</t>
  </si>
  <si>
    <t>Revier-</t>
  </si>
  <si>
    <t>jäger/-in</t>
  </si>
  <si>
    <t>Molkereifach-</t>
  </si>
  <si>
    <t>mann/-frau</t>
  </si>
  <si>
    <t>Laborant/-in</t>
  </si>
  <si>
    <t>Milchwirtschaftliche(r)</t>
  </si>
  <si>
    <t>Landwirtschafts-</t>
  </si>
  <si>
    <t>Gartenbau-</t>
  </si>
  <si>
    <t xml:space="preserve">Milchwirtschaftliche(r) </t>
  </si>
  <si>
    <t>Hauswirtschafter/-in</t>
  </si>
  <si>
    <t>männlich</t>
  </si>
  <si>
    <t>weiblich</t>
  </si>
  <si>
    <t>insgesamt</t>
  </si>
  <si>
    <t>Zeichenerklärung:</t>
  </si>
  <si>
    <t xml:space="preserve">    .  = kein Nachweis vorhanden</t>
  </si>
  <si>
    <t>- Rinderhaltung</t>
  </si>
  <si>
    <t>- Schweinehaltung</t>
  </si>
  <si>
    <t>- Schafhaltung</t>
  </si>
  <si>
    <t>- Geflügelhaltung</t>
  </si>
  <si>
    <t>- Bienenhaltung</t>
  </si>
  <si>
    <t>B. Entwicklung der Ausbildungsberufe in der Landwirtschaft</t>
  </si>
  <si>
    <t xml:space="preserve">  abschluss</t>
  </si>
  <si>
    <t xml:space="preserve">  Abschluss</t>
  </si>
  <si>
    <t xml:space="preserve">   Teilnehmer an Abschlussprüfungen </t>
  </si>
  <si>
    <t>Schweiz</t>
  </si>
  <si>
    <t>BMVEL - Referat 425</t>
  </si>
  <si>
    <t>April 2001</t>
  </si>
  <si>
    <t>Ausbildungsberufe</t>
  </si>
  <si>
    <t>April 2002</t>
  </si>
  <si>
    <t xml:space="preserve">A. Ausbildungsberufe </t>
  </si>
  <si>
    <t>- 8 -</t>
  </si>
  <si>
    <t>noch: B. Entwicklung der Ausbildungsberufe in der Landwirtschaft</t>
  </si>
  <si>
    <t>der Land- und Forst-</t>
  </si>
  <si>
    <t>Auszubildende am 31.12.2002</t>
  </si>
  <si>
    <t xml:space="preserve">- 5 - </t>
  </si>
  <si>
    <t>- 7 -</t>
  </si>
  <si>
    <t>Jahr</t>
  </si>
  <si>
    <t>mit neu abge-</t>
  </si>
  <si>
    <t>schlossenem</t>
  </si>
  <si>
    <t>Ausbildungsvertrag</t>
  </si>
  <si>
    <t>am 31. Dezember</t>
  </si>
  <si>
    <t xml:space="preserve">wirtschaft und </t>
  </si>
  <si>
    <t>Fischerei</t>
  </si>
  <si>
    <t>Molkereifachmann/-fachfrau</t>
  </si>
  <si>
    <t xml:space="preserve">              Laborant/-in</t>
  </si>
  <si>
    <t>Fachkraft Agrarservice</t>
  </si>
  <si>
    <t xml:space="preserve">Landwirtschaftlich- </t>
  </si>
  <si>
    <t>technische(r)</t>
  </si>
  <si>
    <t>Land der Staatsangehörigkeit</t>
  </si>
  <si>
    <t>zusammen</t>
  </si>
  <si>
    <t>Belgien</t>
  </si>
  <si>
    <t>Griechenland</t>
  </si>
  <si>
    <t>Italien</t>
  </si>
  <si>
    <t>Luxemburg</t>
  </si>
  <si>
    <t>Niederlande</t>
  </si>
  <si>
    <t>Österreich</t>
  </si>
  <si>
    <t>Polen</t>
  </si>
  <si>
    <t>Portugal</t>
  </si>
  <si>
    <t>Schweden</t>
  </si>
  <si>
    <t>Spanien</t>
  </si>
  <si>
    <t>Tschechische Republik</t>
  </si>
  <si>
    <t>Summe EU</t>
  </si>
  <si>
    <t>Bosnien und Herzegowina</t>
  </si>
  <si>
    <t>Kroatien</t>
  </si>
  <si>
    <t>Rumänien</t>
  </si>
  <si>
    <t>Ukraine</t>
  </si>
  <si>
    <t>Brasilien</t>
  </si>
  <si>
    <t>Inhaltsverzeichnis</t>
  </si>
  <si>
    <t xml:space="preserve">- 6 - </t>
  </si>
  <si>
    <t>3. Winzer/-in</t>
  </si>
  <si>
    <t>4. Landwirtschaftsfachwerker/-in</t>
  </si>
  <si>
    <t>5. Tierwirt/-in</t>
  </si>
  <si>
    <t>noch: 5. Tierwirt/-in</t>
  </si>
  <si>
    <t>8. Gärtner/-in</t>
  </si>
  <si>
    <t>noch: 8. Gärtner/-in</t>
  </si>
  <si>
    <t>10. Revierjäger/-in</t>
  </si>
  <si>
    <t>12. Molkereifachmann/-frau</t>
  </si>
  <si>
    <t>14. Milchwirtschaftliche(r) Laborant/-in</t>
  </si>
  <si>
    <t>Agrarservice</t>
  </si>
  <si>
    <t xml:space="preserve">Summe übriges Europa </t>
  </si>
  <si>
    <t>- 12 -</t>
  </si>
  <si>
    <r>
      <t xml:space="preserve">15. Hauswirtschafter/-in </t>
    </r>
    <r>
      <rPr>
        <b/>
        <vertAlign val="superscript"/>
        <sz val="10"/>
        <rFont val="Arial"/>
        <family val="2"/>
      </rPr>
      <t>1)</t>
    </r>
  </si>
  <si>
    <t xml:space="preserve">  </t>
  </si>
  <si>
    <t>darunter im</t>
  </si>
  <si>
    <t xml:space="preserve">                     </t>
  </si>
  <si>
    <t>SH</t>
  </si>
  <si>
    <t>HH</t>
  </si>
  <si>
    <t>NI</t>
  </si>
  <si>
    <t>HB</t>
  </si>
  <si>
    <t>HE</t>
  </si>
  <si>
    <t>BW</t>
  </si>
  <si>
    <t>BY</t>
  </si>
  <si>
    <t>SL</t>
  </si>
  <si>
    <t>BE</t>
  </si>
  <si>
    <t>BB</t>
  </si>
  <si>
    <t>MV</t>
  </si>
  <si>
    <t>SN</t>
  </si>
  <si>
    <t>ST</t>
  </si>
  <si>
    <t>NW</t>
  </si>
  <si>
    <t>RP</t>
  </si>
  <si>
    <t>Frankreich</t>
  </si>
  <si>
    <t>Revierjäger/-in</t>
  </si>
  <si>
    <t xml:space="preserve"> SN </t>
  </si>
  <si>
    <t>Fachagrarwirt/in -Golfplatzpflege (Greenkeeper)</t>
  </si>
  <si>
    <t>Forstmaschinenführer/-in (Gepr.)</t>
  </si>
  <si>
    <t xml:space="preserve">Prüfung </t>
  </si>
  <si>
    <t>standener</t>
  </si>
  <si>
    <t>Teilbereich</t>
  </si>
  <si>
    <t>mit be-</t>
  </si>
  <si>
    <t>Fortbildungsberuf</t>
  </si>
  <si>
    <t xml:space="preserve">   darunter Teilnehmer an</t>
  </si>
  <si>
    <t xml:space="preserve"> .  </t>
  </si>
  <si>
    <t xml:space="preserve">dener Prüfung </t>
  </si>
  <si>
    <t>2. Fachkraft Agrarservice</t>
  </si>
  <si>
    <t>13. Milchtechnologe/-technologin</t>
  </si>
  <si>
    <t>Milchtechnologe</t>
  </si>
  <si>
    <t>/-technologin</t>
  </si>
  <si>
    <t>- 26 -</t>
  </si>
  <si>
    <t>- 30 -</t>
  </si>
  <si>
    <t>- 13 -</t>
  </si>
  <si>
    <t xml:space="preserve">- 14 - </t>
  </si>
  <si>
    <t>- 15 -</t>
  </si>
  <si>
    <t xml:space="preserve">- 16 - </t>
  </si>
  <si>
    <t>- 24 -</t>
  </si>
  <si>
    <t xml:space="preserve"> - 25 - </t>
  </si>
  <si>
    <t>- 27 -</t>
  </si>
  <si>
    <t>- 31 -</t>
  </si>
  <si>
    <t xml:space="preserve">   Wiederholungsprüfungen </t>
  </si>
  <si>
    <r>
      <t xml:space="preserve">   Teilnehmer an Abschlussprüfungen</t>
    </r>
    <r>
      <rPr>
        <b/>
        <vertAlign val="superscript"/>
        <sz val="8"/>
        <rFont val="Arial"/>
        <family val="2"/>
      </rPr>
      <t xml:space="preserve"> </t>
    </r>
  </si>
  <si>
    <t xml:space="preserve">        darunter aus EU-Ländern:</t>
  </si>
  <si>
    <t>Bundesanstalt für Landwirtschaft und Ernährung</t>
  </si>
  <si>
    <t>BLE - Referat 422</t>
  </si>
  <si>
    <r>
      <t xml:space="preserve">6. Fischwirt/-in </t>
    </r>
    <r>
      <rPr>
        <b/>
        <vertAlign val="superscript"/>
        <sz val="9"/>
        <rFont val="Arial"/>
        <family val="2"/>
      </rPr>
      <t>1)</t>
    </r>
  </si>
  <si>
    <t>Teilnehmer an Abschlussprüfungen</t>
  </si>
  <si>
    <t xml:space="preserve">Teilnehmer an Abschlussprüfungen </t>
  </si>
  <si>
    <t xml:space="preserve">   Teilnehmer an Abschlussprüfungen</t>
  </si>
  <si>
    <r>
      <t xml:space="preserve">11. Forstwirt/-in </t>
    </r>
    <r>
      <rPr>
        <b/>
        <vertAlign val="superscript"/>
        <sz val="9"/>
        <rFont val="Arial"/>
        <family val="2"/>
      </rPr>
      <t>1)</t>
    </r>
  </si>
  <si>
    <t xml:space="preserve">Auszubildende </t>
  </si>
  <si>
    <r>
      <t>Prüflinge mit bestandener...</t>
    </r>
    <r>
      <rPr>
        <vertAlign val="superscript"/>
        <sz val="8"/>
        <rFont val="Arial"/>
        <family val="2"/>
      </rPr>
      <t xml:space="preserve"> </t>
    </r>
  </si>
  <si>
    <t>(Siehe Geheimhaltungsverfahren).</t>
  </si>
  <si>
    <r>
      <t>davon mit schulischer Vorbildung bzw. Besuch einer (s)</t>
    </r>
    <r>
      <rPr>
        <b/>
        <vertAlign val="superscript"/>
        <sz val="9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1)</t>
    </r>
  </si>
  <si>
    <r>
      <t xml:space="preserve">  abschluss </t>
    </r>
    <r>
      <rPr>
        <vertAlign val="superscript"/>
        <sz val="8"/>
        <rFont val="Arial"/>
        <family val="2"/>
      </rPr>
      <t>2)</t>
    </r>
  </si>
  <si>
    <r>
      <t xml:space="preserve">schulreife </t>
    </r>
    <r>
      <rPr>
        <vertAlign val="superscript"/>
        <sz val="8"/>
        <rFont val="Arial"/>
        <family val="2"/>
      </rPr>
      <t>3)</t>
    </r>
  </si>
  <si>
    <t xml:space="preserve">Deutschland insgesamt </t>
  </si>
  <si>
    <r>
      <t>Landwirtschaftsfachwerker/-in</t>
    </r>
    <r>
      <rPr>
        <vertAlign val="superscript"/>
        <sz val="8"/>
        <rFont val="Arial"/>
        <family val="2"/>
      </rPr>
      <t xml:space="preserve"> 1)</t>
    </r>
  </si>
  <si>
    <t>Ausländische Auszubildende am 31.12.</t>
  </si>
  <si>
    <t>Natur- und Landschaftspfleger/in (Gepr.)</t>
  </si>
  <si>
    <t>Landwirtschaftsmeister/in</t>
  </si>
  <si>
    <t>Pferdewirtschaftsmeister/in</t>
  </si>
  <si>
    <t>Gärtnermeister/in FR Zierpflanzenbau</t>
  </si>
  <si>
    <t>Gärtnermeister/in FR Gemüsebau</t>
  </si>
  <si>
    <t>Gärtnermeister/in FR Baumschulen</t>
  </si>
  <si>
    <t>Gärtnermeister/in FR Obstbau</t>
  </si>
  <si>
    <t>Gärtnermeister/in FR Friedhofsgärtnerei</t>
  </si>
  <si>
    <t>Gärtnermeister/in FR Staudengärtnerei</t>
  </si>
  <si>
    <t>Meister/in der Hauswirtschaft</t>
  </si>
  <si>
    <t>Tierwirtschaftsmeister/in FR Schäferei</t>
  </si>
  <si>
    <t>Pferdewirtschaftsmeister/in FR Reitausbildung</t>
  </si>
  <si>
    <t>Molkereimeister/in</t>
  </si>
  <si>
    <t>Milchwirtschaftliche(r) Labormeister/in</t>
  </si>
  <si>
    <t>Fachagrarwirt/in -Rechnungswesen</t>
  </si>
  <si>
    <t>Agrarservicemeister/in</t>
  </si>
  <si>
    <t>Revierjagdmeister/in</t>
  </si>
  <si>
    <t>Forstwirtschaftsmeister/in</t>
  </si>
  <si>
    <t>Winzermeister/in</t>
  </si>
  <si>
    <t xml:space="preserve">Teilnehmer an Fortbildungsprüfungen </t>
  </si>
  <si>
    <t>Teilnehmer an Fortbildungsprüfungen</t>
  </si>
  <si>
    <t>die Gesamtsummen zu. (Siehe Geheimhaltungsverfahren).</t>
  </si>
  <si>
    <t xml:space="preserve">Insgesamt </t>
  </si>
  <si>
    <t>daunter im</t>
  </si>
  <si>
    <r>
      <t xml:space="preserve">Teilnehmer an Abschlussprüfungen </t>
    </r>
    <r>
      <rPr>
        <b/>
        <vertAlign val="superscript"/>
        <sz val="8"/>
        <rFont val="Arial"/>
        <family val="2"/>
      </rPr>
      <t>2)</t>
    </r>
  </si>
  <si>
    <t>noch: E. Ausländische Auszubildende nach dem Land der Staatsangehörigkeit 2013                                in Deutschland</t>
  </si>
  <si>
    <t>Kosovo</t>
  </si>
  <si>
    <t>Klauenpfleger/in (Gepr.)</t>
  </si>
  <si>
    <t>Tierwirtschaftsmeister/in FR Imkerei</t>
  </si>
  <si>
    <t>Pferdewirtschaftsmeister/in FR Pferdezucht und -haltung</t>
  </si>
  <si>
    <t>Gärtnermeister/in FR Garten- und Landschaftsbau</t>
  </si>
  <si>
    <t>Forstmaschinenführer/in (Gepr.)</t>
  </si>
  <si>
    <t>Fachagrarwirt/in (Gepr.) -Baumpflege und Baumsanierung</t>
  </si>
  <si>
    <t>Fachagrarwirt/in Erneuerbare Energien - Biomasse</t>
  </si>
  <si>
    <t>Tierwirtschaftsmeister/in FR Geflügelhaltung</t>
  </si>
  <si>
    <t>Fachagrarwirt/in -Head-Greenkeeper</t>
  </si>
  <si>
    <t xml:space="preserve"> - 31 -</t>
  </si>
  <si>
    <t xml:space="preserve"> - 32 -</t>
  </si>
  <si>
    <t xml:space="preserve"> - 33 -</t>
  </si>
  <si>
    <r>
      <t xml:space="preserve">noch: 7. Pferdewirte/-in </t>
    </r>
    <r>
      <rPr>
        <b/>
        <vertAlign val="superscript"/>
        <sz val="10"/>
        <rFont val="Arial"/>
        <family val="2"/>
      </rPr>
      <t>2)</t>
    </r>
  </si>
  <si>
    <t>Bulgarien</t>
  </si>
  <si>
    <t>Dänemark</t>
  </si>
  <si>
    <t>Estland</t>
  </si>
  <si>
    <t>Finnland</t>
  </si>
  <si>
    <t>Slowenien</t>
  </si>
  <si>
    <t>Irland</t>
  </si>
  <si>
    <t>Lettland</t>
  </si>
  <si>
    <t>Litauen</t>
  </si>
  <si>
    <t>Malta</t>
  </si>
  <si>
    <t>Slowakei</t>
  </si>
  <si>
    <t>Ungarn</t>
  </si>
  <si>
    <t>Vereinigtes Königreich</t>
  </si>
  <si>
    <t>Zypern</t>
  </si>
  <si>
    <t>Serbien (ohne Kosovo)</t>
  </si>
  <si>
    <t>Andere</t>
  </si>
  <si>
    <t>Summe aus sonstigen Staaten</t>
  </si>
  <si>
    <t>Afghanistan</t>
  </si>
  <si>
    <t>Kasachstan</t>
  </si>
  <si>
    <t>Vereinigte Staaten</t>
  </si>
  <si>
    <t>Fachagrarwirt/in -Besamungswesen</t>
  </si>
  <si>
    <t>Pferdewirtschaftsmeister/in FR Galopprenntraining</t>
  </si>
  <si>
    <t>Fischwirtschaftsmeister/in FR Fischhaltung und Fischzucht</t>
  </si>
  <si>
    <t>Fischwirtschaftsmeister/in FR Seen- und Flussfischerei</t>
  </si>
  <si>
    <t>Tierwirtschaftsmeister/in FR Rinderhaltung</t>
  </si>
  <si>
    <t>Tierwirtschaftsmeister/in FR Schweinehaltung</t>
  </si>
  <si>
    <t>Greenkeeper (Gepr.) - Fachagrarwirt/in Sportstätten-Freianlagen</t>
  </si>
  <si>
    <t>Landwirtschaftlich- technischer</t>
  </si>
  <si>
    <t>… Ausbildungsjahr</t>
  </si>
  <si>
    <t>darunter im
… Ausbildungsjahr</t>
  </si>
  <si>
    <t>Anm.: Lt. Stat. Bundesamt lassen die einzelnen Angaben aus Gründen der Geheimhaltung keinen Rückschluss auf die Gesamtsummen zu. (Siehe Geheimhaltungsverfahren).</t>
  </si>
  <si>
    <t>darunter mit bestandener 
Prüfung</t>
  </si>
  <si>
    <r>
      <t xml:space="preserve">    MV </t>
    </r>
    <r>
      <rPr>
        <vertAlign val="superscript"/>
        <sz val="8"/>
        <rFont val="Arial"/>
        <family val="2"/>
      </rPr>
      <t>1)</t>
    </r>
  </si>
  <si>
    <t xml:space="preserve">… Ausbildungsjahr </t>
  </si>
  <si>
    <t>Tierwirt/-in insgesamt</t>
  </si>
  <si>
    <t>Anm.: Lt. Stat. Bundesamt lassen die einzelnen Angaben  aus Gründen der Geheimhaltung keinen Rückschluss auf die Gesamtsummen zu. (Siehe Geheimhaltungsverfahren).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</si>
  <si>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Ab 2008 keine Unterteilung der einzelnen Berufssparten mehr.</t>
    </r>
  </si>
  <si>
    <r>
      <t xml:space="preserve">7. Pferdewirt/-in 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</si>
  <si>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Pferdewirt/in (ohne FR-Angabe).</t>
    </r>
  </si>
  <si>
    <r>
      <t xml:space="preserve">    SH </t>
    </r>
    <r>
      <rPr>
        <b/>
        <vertAlign val="superscript"/>
        <sz val="8"/>
        <rFont val="Arial"/>
        <family val="2"/>
      </rPr>
      <t>2)</t>
    </r>
  </si>
  <si>
    <r>
      <t xml:space="preserve">   RP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</si>
  <si>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Pferdewirt/-in Monoberuf.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</si>
  <si>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Pferdewirt/-in Fachrichtung: Klassische Reitausbildung, Pferdehaltung u. Service, Pferderennen, Pferdezucht, Spezialreitweisen.</t>
    </r>
  </si>
  <si>
    <t>Anm: Lt. Stat. Bundesamt lassen die einzelnen Angaben aus Gründen der Geheimhaltung keinen Rückschluss auf die Gesamtsummen zu. (Siehe Geheimhaltungsverfahren).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</si>
  <si>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Werker/in der Forstwirtschaft- Wald- und Landschaftspflege (§ 66).</t>
    </r>
  </si>
  <si>
    <t>darunter mit bestandener</t>
  </si>
  <si>
    <t xml:space="preserve"> Prüfung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</si>
  <si>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Es ist jeweils die zuletzt besuchte Schulart bzw. der dort erreichte Abschluss angegeben (keine Mehrfachzählung).</t>
    </r>
  </si>
  <si>
    <t>gelöst</t>
  </si>
  <si>
    <t>darunter in der</t>
  </si>
  <si>
    <t xml:space="preserve">Anm.: Lt. Stat. Bundesamt lassen die einzelnen Angaben aus Gründen der Geheimhaltung keinen Rückschluss auf die Gesamtsummen zu. (Siehe Geheimhaltungsverfahren).  </t>
  </si>
  <si>
    <t>Milchtechnologe/-in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</si>
  <si>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Einschließlich Fachpraktiker,Werker/-in und Helfer/-in (§ 66 BBiG).</t>
    </r>
  </si>
  <si>
    <t xml:space="preserve">Anm.: Lt. Stat. Bundesamt lassen die einzelnen Angaben aus Gründen der Geheimhaltung keinen Rückschluss auf </t>
  </si>
  <si>
    <t>… aus dem übrigen Europa:</t>
  </si>
  <si>
    <t>… aus anderen Staaten:</t>
  </si>
  <si>
    <r>
      <t xml:space="preserve">Abschluss-
prüfung </t>
    </r>
    <r>
      <rPr>
        <vertAlign val="superscript"/>
        <sz val="8"/>
        <rFont val="Arial"/>
        <family val="2"/>
      </rPr>
      <t>1)</t>
    </r>
  </si>
  <si>
    <r>
      <t xml:space="preserve">Meister-
prüfung </t>
    </r>
    <r>
      <rPr>
        <vertAlign val="superscript"/>
        <sz val="8"/>
        <rFont val="Arial"/>
        <family val="2"/>
      </rPr>
      <t>1)</t>
    </r>
  </si>
  <si>
    <t>Pflanzentechnologe/-</t>
  </si>
  <si>
    <t>technologin</t>
  </si>
  <si>
    <t xml:space="preserve">Forstwirtschaft - Wald- </t>
  </si>
  <si>
    <t xml:space="preserve">Werker/in der 
</t>
  </si>
  <si>
    <t>und Landschaftspflege</t>
  </si>
  <si>
    <t>Prüflinge mit bestandener ...</t>
  </si>
  <si>
    <r>
      <t xml:space="preserve">fachwerker/-in </t>
    </r>
    <r>
      <rPr>
        <b/>
        <vertAlign val="superscript"/>
        <sz val="8"/>
        <rFont val="Arial"/>
        <family val="2"/>
      </rPr>
      <t>2)</t>
    </r>
  </si>
  <si>
    <r>
      <t>Pferdewirt/-in</t>
    </r>
    <r>
      <rPr>
        <b/>
        <vertAlign val="superscript"/>
        <sz val="8"/>
        <rFont val="Arial"/>
        <family val="2"/>
      </rPr>
      <t xml:space="preserve"> 2)</t>
    </r>
  </si>
  <si>
    <r>
      <t xml:space="preserve">Forstwirt/-in </t>
    </r>
    <r>
      <rPr>
        <b/>
        <vertAlign val="superscript"/>
        <sz val="8"/>
        <rFont val="Arial"/>
        <family val="2"/>
      </rPr>
      <t>3)</t>
    </r>
  </si>
  <si>
    <r>
      <t xml:space="preserve">insgesamt </t>
    </r>
    <r>
      <rPr>
        <b/>
        <vertAlign val="superscript"/>
        <sz val="8"/>
        <rFont val="Arial"/>
        <family val="2"/>
      </rPr>
      <t>4)</t>
    </r>
  </si>
  <si>
    <t>Anm.: Lt. Stat. Bundesamt lassen die einzelnen Angaben aus Gründen der Geheimhaltung keinen Rückschluss auf die Gesamtsummen zu.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</si>
  <si>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Einschl. Abgänger von Sonderschulen ohne Hauptschulabschluss.</t>
    </r>
  </si>
  <si>
    <r>
      <t xml:space="preserve">Pferdewirt/-in </t>
    </r>
    <r>
      <rPr>
        <vertAlign val="superscript"/>
        <sz val="8"/>
        <rFont val="Arial"/>
        <family val="2"/>
      </rPr>
      <t>1)</t>
    </r>
  </si>
  <si>
    <r>
      <t>Gartenbaufachwerker/-in</t>
    </r>
    <r>
      <rPr>
        <vertAlign val="superscript"/>
        <sz val="8"/>
        <rFont val="Arial"/>
        <family val="2"/>
      </rPr>
      <t xml:space="preserve"> 1)</t>
    </r>
  </si>
  <si>
    <r>
      <t xml:space="preserve">Forstwirt/-in </t>
    </r>
    <r>
      <rPr>
        <vertAlign val="superscript"/>
        <sz val="8"/>
        <rFont val="Arial"/>
        <family val="2"/>
      </rPr>
      <t>1)</t>
    </r>
  </si>
  <si>
    <t>Deutschland</t>
  </si>
  <si>
    <t>Prüfung</t>
  </si>
  <si>
    <t xml:space="preserve">Anm.: Lt. Stat. Bundesamt lassen die einzelnen Angaben  aus Gründen der Geheimhaltung keinen Rückschluss auf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</si>
  <si>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ohne Brenner, einschl. Ländl. Hauswirtschaft, Tierpfleger, Floristen.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</si>
  <si>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Auch externe Prüfungsteilnehmer.</t>
    </r>
  </si>
  <si>
    <r>
      <rPr>
        <vertAlign val="superscript"/>
        <sz val="8"/>
        <rFont val="Arial"/>
        <family val="2"/>
      </rPr>
      <t>1)</t>
    </r>
    <r>
      <rPr>
        <sz val="7"/>
        <rFont val="Arial"/>
        <family val="2"/>
      </rPr>
      <t xml:space="preserve"> Für 2007 lagen keine Angaben vor.</t>
    </r>
  </si>
  <si>
    <r>
      <rPr>
        <vertAlign val="superscript"/>
        <sz val="8"/>
        <rFont val="Arial"/>
        <family val="2"/>
      </rPr>
      <t>2)</t>
    </r>
    <r>
      <rPr>
        <sz val="7"/>
        <rFont val="Arial"/>
        <family val="2"/>
      </rPr>
      <t xml:space="preserve"> Einschließlich Fachwerker /in, Werker/in und Helfer nach §66 BBiG.</t>
    </r>
  </si>
  <si>
    <r>
      <rPr>
        <vertAlign val="superscript"/>
        <sz val="8"/>
        <rFont val="Arial"/>
        <family val="2"/>
      </rPr>
      <t>4)</t>
    </r>
    <r>
      <rPr>
        <sz val="7"/>
        <rFont val="Arial"/>
        <family val="2"/>
      </rPr>
      <t xml:space="preserve"> ohne Brenner u. Laborantenberufe, einschl. ländl. Hauswirtschaft, Tierpfleger, Floristen.</t>
    </r>
  </si>
  <si>
    <r>
      <rPr>
        <vertAlign val="superscript"/>
        <sz val="8"/>
        <rFont val="Arial"/>
        <family val="2"/>
      </rPr>
      <t>3)</t>
    </r>
    <r>
      <rPr>
        <sz val="7"/>
        <rFont val="Arial"/>
        <family val="2"/>
      </rPr>
      <t xml:space="preserve"> Bis 2006 Einschl. Werker/in der Forstwirtschaft - Wald- u. Landschaftspflege (§66BBiG).</t>
    </r>
  </si>
  <si>
    <r>
      <t xml:space="preserve">9. Gartenbaufachwerker/-in </t>
    </r>
    <r>
      <rPr>
        <b/>
        <vertAlign val="superscript"/>
        <sz val="10"/>
        <rFont val="Arial"/>
        <family val="2"/>
      </rPr>
      <t>1)</t>
    </r>
  </si>
  <si>
    <t>Probezeit</t>
  </si>
  <si>
    <t>darunter im  … Ausbildungsjahr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</si>
  <si>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SH, HE, RP, SL u. BB einschl. Werker, Fachpraktiker bzw. Helfer/in in der Pferdewirtschaft (§ 66 BBiG).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</si>
  <si>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Einschließlich Fachwerker/in, Werker/in, Gartenbauhelfer und Helfer/in im Gartenbau (§ 66 BBiG).</t>
    </r>
  </si>
  <si>
    <t>Ohne Fachrichtung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</si>
  <si>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Werker/-in und Helfer/-in in der Landwirtschaft (§ 66 BBiG).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</si>
  <si>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Fachpraktiker/-in in der Landwirtschaft (§ 66 BBiG).</t>
    </r>
  </si>
  <si>
    <t xml:space="preserve">   SL</t>
  </si>
  <si>
    <t>Auszubildende am 31.12.2015</t>
  </si>
  <si>
    <t>C. Auszubildende 2015 mit neu abgeschlossenen Ausbildungsverträgen nach schulischer Vorbildung</t>
  </si>
  <si>
    <t>Ausländische Auszubildende am 31.12.2015</t>
  </si>
  <si>
    <t>E. Ausländische Auszubildende nach dem Land der Staatsangehörigkeit 2015                            in Deutschland</t>
  </si>
  <si>
    <t>Albanien</t>
  </si>
  <si>
    <t>Russische Föderation</t>
  </si>
  <si>
    <t>Thailand</t>
  </si>
  <si>
    <t>Weißrussland</t>
  </si>
  <si>
    <t>D. Vorzeitig gelöste Ausbildungsverhältnisse 2015 nach Ausbildungsberufen</t>
  </si>
  <si>
    <t>Fachagrarwirt/in Klauenpflege</t>
  </si>
  <si>
    <t xml:space="preserve"> F.  Prüfungen in der beruflichen Fortbildung 2015 (§ 53 BBiG)</t>
  </si>
  <si>
    <t>noch: F.  Prüfungen in der beruflichen Fortbildung 2015 (§ 53 BBiG)</t>
  </si>
  <si>
    <r>
      <t xml:space="preserve">SH </t>
    </r>
    <r>
      <rPr>
        <b/>
        <vertAlign val="superscript"/>
        <sz val="8"/>
        <rFont val="Arial"/>
        <family val="2"/>
      </rPr>
      <t>1)</t>
    </r>
  </si>
  <si>
    <r>
      <t xml:space="preserve">NI </t>
    </r>
    <r>
      <rPr>
        <b/>
        <vertAlign val="superscript"/>
        <sz val="8"/>
        <rFont val="Arial"/>
        <family val="2"/>
      </rPr>
      <t>1)</t>
    </r>
  </si>
  <si>
    <r>
      <t xml:space="preserve">   HE </t>
    </r>
    <r>
      <rPr>
        <b/>
        <vertAlign val="superscript"/>
        <sz val="8"/>
        <rFont val="Arial"/>
        <family val="2"/>
      </rPr>
      <t>1)</t>
    </r>
  </si>
  <si>
    <r>
      <t xml:space="preserve">   RP </t>
    </r>
    <r>
      <rPr>
        <b/>
        <vertAlign val="superscript"/>
        <sz val="8"/>
        <rFont val="Arial"/>
        <family val="2"/>
      </rPr>
      <t>1)</t>
    </r>
  </si>
  <si>
    <r>
      <t xml:space="preserve"> BY </t>
    </r>
    <r>
      <rPr>
        <b/>
        <vertAlign val="superscript"/>
        <sz val="8"/>
        <rFont val="Arial"/>
        <family val="2"/>
      </rPr>
      <t>2)</t>
    </r>
  </si>
  <si>
    <r>
      <t xml:space="preserve"> BB </t>
    </r>
    <r>
      <rPr>
        <b/>
        <vertAlign val="superscript"/>
        <sz val="8"/>
        <rFont val="Arial"/>
        <family val="2"/>
      </rPr>
      <t>1)</t>
    </r>
  </si>
  <si>
    <r>
      <t xml:space="preserve"> TH </t>
    </r>
    <r>
      <rPr>
        <b/>
        <vertAlign val="superscript"/>
        <sz val="8"/>
        <rFont val="Arial"/>
        <family val="2"/>
      </rPr>
      <t>1)</t>
    </r>
  </si>
  <si>
    <r>
      <t xml:space="preserve">     HE</t>
    </r>
    <r>
      <rPr>
        <b/>
        <vertAlign val="superscript"/>
        <sz val="8"/>
        <rFont val="Arial"/>
        <family val="2"/>
      </rPr>
      <t xml:space="preserve"> 1)2)</t>
    </r>
  </si>
  <si>
    <r>
      <t xml:space="preserve"> MV </t>
    </r>
    <r>
      <rPr>
        <b/>
        <vertAlign val="superscript"/>
        <sz val="8"/>
        <rFont val="Arial"/>
        <family val="2"/>
      </rPr>
      <t>1)</t>
    </r>
  </si>
  <si>
    <r>
      <t xml:space="preserve"> NW 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</si>
  <si>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Nur ländliche Hauswirtschaft.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</si>
  <si>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Allgemeine bzw. fachgebundene Fachhochschulreife.</t>
    </r>
  </si>
  <si>
    <r>
      <t>Alle Berufe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zusammen</t>
    </r>
  </si>
  <si>
    <t>Fachkraft</t>
  </si>
  <si>
    <t>Abw.</t>
  </si>
  <si>
    <t>BLE - Referat 424</t>
  </si>
  <si>
    <t>Auszubildende am 31.12.2016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</si>
  <si>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</si>
  <si>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</si>
  <si>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</si>
  <si>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</si>
  <si>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</si>
  <si>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</si>
  <si>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</si>
  <si>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</si>
  <si>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</si>
  <si>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</si>
  <si>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</si>
  <si>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</si>
  <si>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</si>
  <si>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</si>
  <si>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</si>
  <si>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</si>
  <si>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Redaktion: BLE (BZL Referat 624).</t>
  </si>
  <si>
    <t>Ackerbohnen</t>
  </si>
  <si>
    <t>Süßlupinen</t>
  </si>
  <si>
    <t>Sojabohnen</t>
  </si>
  <si>
    <t>Erbsen (ohne Frischerbsen)</t>
  </si>
  <si>
    <t>Gebiet</t>
  </si>
  <si>
    <t>Getrocknete, ausgelöste Erbsen, auch geschält</t>
  </si>
  <si>
    <t>Felderbsen</t>
  </si>
  <si>
    <t>Mai</t>
  </si>
  <si>
    <t>Sojabohnen, frei Erfasserlager</t>
  </si>
  <si>
    <t>Futtererbsen, frei Erfasserlager</t>
  </si>
  <si>
    <t>Ackerbohnen, frei Erfasserlager</t>
  </si>
  <si>
    <t>Süßlupinen, frei Erfasserlager</t>
  </si>
  <si>
    <t>.</t>
  </si>
  <si>
    <t>Futtererbsen</t>
  </si>
  <si>
    <t>Preisindikator (Löhr)</t>
  </si>
  <si>
    <t xml:space="preserve">Daten aus dem Leguminosen-Dashboard auf der Webseite bmel.statistik.de </t>
  </si>
  <si>
    <t>Januar</t>
  </si>
  <si>
    <t xml:space="preserve">Getrocknete, unter anderem ausgelöste Puffbohnen </t>
  </si>
  <si>
    <t>Sojabohnen, auch geschrotet, nicht zur Aussaat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</si>
  <si>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</si>
  <si>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</si>
  <si>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</si>
  <si>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</si>
  <si>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</si>
  <si>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</si>
  <si>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</si>
  <si>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</si>
  <si>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</si>
  <si>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</si>
  <si>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</si>
  <si>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I: Verkaufspreise Export in Euro pro Tonne</t>
  </si>
  <si>
    <t>H: Exportvolumen in Tonnen</t>
  </si>
  <si>
    <t>F: Einkaufspreise Import in Euro pro Tonne</t>
  </si>
  <si>
    <t>E: Importvolumen in Tonnen</t>
  </si>
  <si>
    <t>D: Importvolumen in Tausend Euro</t>
  </si>
  <si>
    <t>C: Ertrag je Hektar in Dezitonnen pro Hektar</t>
  </si>
  <si>
    <t>B: Erntemenge in Tonnen</t>
  </si>
  <si>
    <t>A: Anbauflächen in Hektar</t>
  </si>
  <si>
    <t>K. Einkaufspreise konventionell in Euro pro Tonne</t>
  </si>
  <si>
    <t>L: Einkaufspreise ökologisch in Euro pro Tonne</t>
  </si>
  <si>
    <t>J: Inlandsverwendung in Tausend Tonnen</t>
  </si>
  <si>
    <t>Hektar</t>
  </si>
  <si>
    <t>Tonnen</t>
  </si>
  <si>
    <t>Tausend Tonnen</t>
  </si>
  <si>
    <t>Euro pro Tonne</t>
  </si>
  <si>
    <t>Prognosemethode</t>
  </si>
  <si>
    <t>Heu,Klee,Esparsette, Futterkohl, Lupinen, Wicken und ähnliche</t>
  </si>
  <si>
    <t>Dezitonnen pro Hektar</t>
  </si>
  <si>
    <t>Sojabohnen, Proteingehalt 44 - 49,5 Prozent, vorgereift, lose</t>
  </si>
  <si>
    <t>Ackerbohnen lose</t>
  </si>
  <si>
    <t>Lupinen lose</t>
  </si>
  <si>
    <t>Futtererbsen lose</t>
  </si>
  <si>
    <t>Sojabohnen, Verhältnis</t>
  </si>
  <si>
    <t>Futtererbsen, Verhältnis</t>
  </si>
  <si>
    <t>Ackerbohnen, Verhältnis</t>
  </si>
  <si>
    <t>Süßlupinen, Verhältnis</t>
  </si>
  <si>
    <t>Erzeugnis</t>
  </si>
  <si>
    <t>SoesterLeguminosenIndex</t>
  </si>
  <si>
    <t>Quelle: Statistisches Bundesamt</t>
  </si>
  <si>
    <t>Quelle: AMI</t>
  </si>
  <si>
    <t>Quelle: AMI, Börsenpreise Weizen (Matif) und Sojamehl (CME), BLE</t>
  </si>
  <si>
    <t>M: Verhältnis von ökologischen zu konventionellen Einkaufspreisen in Euro pro Tonne</t>
  </si>
  <si>
    <t>Regressionsgleichungen</t>
  </si>
  <si>
    <t>Daten von 2014 bis 2024</t>
  </si>
  <si>
    <t>Wobei P.FE = Preis Futtererbse; P.AB = Preis Ackerbohne; P.Lup = Preis Süßlupine; P.Soja = Preis Sojabohne; P.FW = Preis Futterweizen; P.SES = Preis Soja Extraktionsschrot und R2 = Bestimmtheitsmaß. Alles in €/t. P.FW und P.SES sollten tagesaktuell von der Börse genutzt werden</t>
  </si>
  <si>
    <t xml:space="preserve">Daten von 2017 bis 2024 </t>
  </si>
  <si>
    <t xml:space="preserve">P.FE = 7,6615 + (0,62779*P.FW) + (0,2408*P.SES)
R2 = 0,91947     </t>
  </si>
  <si>
    <r>
      <t>P.AB = -20,7060 + (0,7218*P.FW) + (0,24495*P.SES)
R</t>
    </r>
    <r>
      <rPr>
        <vertAlign val="superscript"/>
        <sz val="8.5"/>
        <rFont val="BundesSans Office"/>
        <family val="2"/>
      </rPr>
      <t xml:space="preserve">2 </t>
    </r>
    <r>
      <rPr>
        <sz val="8.5"/>
        <rFont val="BundesSans Office"/>
        <family val="2"/>
      </rPr>
      <t>= 0,88199</t>
    </r>
  </si>
  <si>
    <r>
      <t>P.Lup = 16,5351 + (0,6281*P.FW) + (0,2465*P.SES)
R</t>
    </r>
    <r>
      <rPr>
        <vertAlign val="superscript"/>
        <sz val="8.5"/>
        <rFont val="BundesSans Office"/>
        <family val="2"/>
      </rPr>
      <t>2</t>
    </r>
    <r>
      <rPr>
        <sz val="8.5"/>
        <rFont val="BundesSans Office"/>
        <family val="2"/>
      </rPr>
      <t xml:space="preserve"> = 0,91620</t>
    </r>
  </si>
  <si>
    <r>
      <t>P.Soja = 65,6793 + (1,2976*P.FW) + (0,2487*PSES)
R</t>
    </r>
    <r>
      <rPr>
        <vertAlign val="superscript"/>
        <sz val="8.5"/>
        <rFont val="BundesSans Office"/>
        <family val="2"/>
      </rPr>
      <t>2</t>
    </r>
    <r>
      <rPr>
        <sz val="8.5"/>
        <rFont val="BundesSans Office"/>
        <family val="2"/>
      </rPr>
      <t xml:space="preserve"> = 0,7618</t>
    </r>
  </si>
  <si>
    <t>genutzte Daten (AMI)</t>
  </si>
  <si>
    <t>Quelle: FH Südwestfalen, BLE, AMI, CME Soja, Matif Weizen</t>
  </si>
  <si>
    <t>Inhaltsstoffe</t>
  </si>
  <si>
    <t xml:space="preserve">g T/kg OS </t>
  </si>
  <si>
    <t>MJ ME/kg T</t>
  </si>
  <si>
    <t>g RP/kg T</t>
  </si>
  <si>
    <t>g verd. Lysin/kg T</t>
  </si>
  <si>
    <t>Weizen</t>
  </si>
  <si>
    <t>Sojaextraktionsschrot</t>
  </si>
  <si>
    <t xml:space="preserve">weiße Lupine </t>
  </si>
  <si>
    <t>Ackerbohne</t>
  </si>
  <si>
    <t>Erbse</t>
  </si>
  <si>
    <t>Sojavollbohne getoastet</t>
  </si>
  <si>
    <t xml:space="preserve">Berechnung der Substitutionswerte </t>
  </si>
  <si>
    <t>Weiße Lupine</t>
  </si>
  <si>
    <t>Substitutionswerte</t>
  </si>
  <si>
    <t>P.Lup = (P.FW * 0,57) + (P.SES * 0,48)</t>
  </si>
  <si>
    <t>P.FE = (P.FW * 0,54) + (P.SES * 0,49)</t>
  </si>
  <si>
    <t>P.AB = (P.FW * 0,47) + (P.SES * 0,51)</t>
  </si>
  <si>
    <t>P.Soja = (P.FW * 0,52) + (P.SES * 0,67)</t>
  </si>
  <si>
    <t>Wobei P.FE = Preis Futtererbse; P.AB = Preis Ackerbohne; P.Lup = Preis Süßlupine; P.Soja = Preis Sojabohne; P.FW = Preis Futterweizen; P.SES = Preis Soja Extraktionsschrot. P.FW und P.SES sollten tagesaktuell von der Börse genutzt werden</t>
  </si>
  <si>
    <t>Quelle: DLG Futterwerttabelle 2014, FH Südwestfalen, CME Soja, Matif Weizen</t>
  </si>
  <si>
    <t>Felderbse</t>
  </si>
  <si>
    <t>Süßlupine</t>
  </si>
  <si>
    <t>Sojabohne</t>
  </si>
  <si>
    <t>Leguminose</t>
  </si>
  <si>
    <t>Sortenname</t>
  </si>
  <si>
    <t>Bundesland</t>
  </si>
  <si>
    <t>Zertifizierte Menge (dt)</t>
  </si>
  <si>
    <t>Allison</t>
  </si>
  <si>
    <t>Apollo</t>
  </si>
  <si>
    <t>Arktis</t>
  </si>
  <si>
    <t>Atlantis</t>
  </si>
  <si>
    <t>Augusta</t>
  </si>
  <si>
    <t>Avalon</t>
  </si>
  <si>
    <t>Birgit</t>
  </si>
  <si>
    <t>Callas</t>
  </si>
  <si>
    <t>Capri</t>
  </si>
  <si>
    <t>Caprice</t>
  </si>
  <si>
    <t>Cartoon</t>
  </si>
  <si>
    <t>Daisy</t>
  </si>
  <si>
    <t>Fanfare</t>
  </si>
  <si>
    <t>Fuego</t>
  </si>
  <si>
    <t>Futura</t>
  </si>
  <si>
    <t>Genius</t>
  </si>
  <si>
    <t>GL Alice</t>
  </si>
  <si>
    <t>GL Arabella</t>
  </si>
  <si>
    <t>GL Jasmin</t>
  </si>
  <si>
    <t>GL Lucia</t>
  </si>
  <si>
    <t>Halvar</t>
  </si>
  <si>
    <t>Hammer</t>
  </si>
  <si>
    <t>Iron</t>
  </si>
  <si>
    <t>Ketu</t>
  </si>
  <si>
    <t>LG Eagle</t>
  </si>
  <si>
    <t>Loki</t>
  </si>
  <si>
    <t>Lynx</t>
  </si>
  <si>
    <t>Macho</t>
  </si>
  <si>
    <t>Malibu</t>
  </si>
  <si>
    <t>Melenka</t>
  </si>
  <si>
    <t>Mystic</t>
  </si>
  <si>
    <t>Protina</t>
  </si>
  <si>
    <t>Shiva</t>
  </si>
  <si>
    <t>Stella</t>
  </si>
  <si>
    <t>Synergy</t>
  </si>
  <si>
    <t>Tiffany</t>
  </si>
  <si>
    <t>Trumpet</t>
  </si>
  <si>
    <t>Vishnu</t>
  </si>
  <si>
    <t>Vision</t>
  </si>
  <si>
    <t>Wizard</t>
  </si>
  <si>
    <t>Alvesta</t>
  </si>
  <si>
    <t>Arkta</t>
  </si>
  <si>
    <t>Asgard</t>
  </si>
  <si>
    <t>Astronaute</t>
  </si>
  <si>
    <t>Avatar</t>
  </si>
  <si>
    <t>Balltrap</t>
  </si>
  <si>
    <t>Batist</t>
  </si>
  <si>
    <t>Bellanos</t>
  </si>
  <si>
    <t>Captur</t>
  </si>
  <si>
    <t>Carrington</t>
  </si>
  <si>
    <t>Cortex</t>
  </si>
  <si>
    <t>Cosmos</t>
  </si>
  <si>
    <t>Dexter</t>
  </si>
  <si>
    <t>E.F.B. 33</t>
  </si>
  <si>
    <t>Expert</t>
  </si>
  <si>
    <t>Feroe</t>
  </si>
  <si>
    <t>Flokon</t>
  </si>
  <si>
    <t>Fresnel</t>
  </si>
  <si>
    <t>Gambit</t>
  </si>
  <si>
    <t>Helium</t>
  </si>
  <si>
    <t>Iconic</t>
  </si>
  <si>
    <t>Idol</t>
  </si>
  <si>
    <t>Joringel</t>
  </si>
  <si>
    <t>Kameleon</t>
  </si>
  <si>
    <t>Kaplan</t>
  </si>
  <si>
    <t>Karpate</t>
  </si>
  <si>
    <t>Kolinda</t>
  </si>
  <si>
    <t>Lacross</t>
  </si>
  <si>
    <t>Lapony</t>
  </si>
  <si>
    <t>LG Corvet</t>
  </si>
  <si>
    <t>Livioletta</t>
  </si>
  <si>
    <t>Lump</t>
  </si>
  <si>
    <t>NOS Impact</t>
  </si>
  <si>
    <t>Orchestra</t>
  </si>
  <si>
    <t>Ostinato</t>
  </si>
  <si>
    <t>Pandora</t>
  </si>
  <si>
    <t>Piskator</t>
  </si>
  <si>
    <t>Poseidon</t>
  </si>
  <si>
    <t>Protecta</t>
  </si>
  <si>
    <t>Protin</t>
  </si>
  <si>
    <t>Respect</t>
  </si>
  <si>
    <t>Rubicon</t>
  </si>
  <si>
    <t>Rubin</t>
  </si>
  <si>
    <t>Salamanca</t>
  </si>
  <si>
    <t>Susan</t>
  </si>
  <si>
    <t>Symbios</t>
  </si>
  <si>
    <t>Texas</t>
  </si>
  <si>
    <t>Tip</t>
  </si>
  <si>
    <t>Torpedo</t>
  </si>
  <si>
    <t>Trendy</t>
  </si>
  <si>
    <t>Abaca</t>
  </si>
  <si>
    <t>Abelina</t>
  </si>
  <si>
    <t>Acardia</t>
  </si>
  <si>
    <t>Achillea</t>
  </si>
  <si>
    <t>Adelfia</t>
  </si>
  <si>
    <t>Adessa</t>
  </si>
  <si>
    <t>Admiralix</t>
  </si>
  <si>
    <t>Akumara</t>
  </si>
  <si>
    <t>Alicia</t>
  </si>
  <si>
    <t>Allidea</t>
  </si>
  <si>
    <t>Amandine</t>
  </si>
  <si>
    <t>Annabella</t>
  </si>
  <si>
    <t>Apollina</t>
  </si>
  <si>
    <t>Arnold</t>
  </si>
  <si>
    <t>Ascada</t>
  </si>
  <si>
    <t>Asterix</t>
  </si>
  <si>
    <t>Astramelix</t>
  </si>
  <si>
    <t>Atalana</t>
  </si>
  <si>
    <t>Axioma</t>
  </si>
  <si>
    <t>Cantate PZO</t>
  </si>
  <si>
    <t>Ceres PZO</t>
  </si>
  <si>
    <t>ES Comandor</t>
  </si>
  <si>
    <t>GL Melanie</t>
  </si>
  <si>
    <t>Habibi</t>
  </si>
  <si>
    <t>Ikone</t>
  </si>
  <si>
    <t>Jolante PZO</t>
  </si>
  <si>
    <t>Lenka</t>
  </si>
  <si>
    <t>Magix</t>
  </si>
  <si>
    <t>Magnolia PZO</t>
  </si>
  <si>
    <t>Marquise</t>
  </si>
  <si>
    <t>Merlin</t>
  </si>
  <si>
    <t>Nessie PZO</t>
  </si>
  <si>
    <t>Odalix</t>
  </si>
  <si>
    <t>PEM 04</t>
  </si>
  <si>
    <t>PRA 03</t>
  </si>
  <si>
    <t>Pula</t>
  </si>
  <si>
    <t>RGT Sphinxa</t>
  </si>
  <si>
    <t>Romy</t>
  </si>
  <si>
    <t>Sahara</t>
  </si>
  <si>
    <t>sonstige gesamt</t>
  </si>
  <si>
    <t>Soramax</t>
  </si>
  <si>
    <t>Soreta</t>
  </si>
  <si>
    <t>Stepa</t>
  </si>
  <si>
    <t>SU Ademira</t>
  </si>
  <si>
    <t>SU Cutena</t>
  </si>
  <si>
    <t>Sussex</t>
  </si>
  <si>
    <t>Talisa</t>
  </si>
  <si>
    <t>Todeka</t>
  </si>
  <si>
    <t>Tofina</t>
  </si>
  <si>
    <t>Trumpf</t>
  </si>
  <si>
    <t>Vineta PZO</t>
  </si>
  <si>
    <t>Vogue</t>
  </si>
  <si>
    <t>Wojtek</t>
  </si>
  <si>
    <t>Butan</t>
  </si>
  <si>
    <t>Celina</t>
  </si>
  <si>
    <t>Frieda</t>
  </si>
  <si>
    <t>Quelle: Bundessortenamt</t>
  </si>
  <si>
    <t>A: Anbaufläche</t>
  </si>
  <si>
    <t>B: Erntemenge</t>
  </si>
  <si>
    <t>C: Ertrag je Hektar</t>
  </si>
  <si>
    <t>D: Importvolumen (Tausend Euro)</t>
  </si>
  <si>
    <t>E: Importvolumen (Tonnen)</t>
  </si>
  <si>
    <t>F: Einkaufspreise Import</t>
  </si>
  <si>
    <t>G: Exportvolumen (Tausend Euro)</t>
  </si>
  <si>
    <t>H: Exportvolumen (Tonnen)</t>
  </si>
  <si>
    <t>I: Verkaufspreise Export</t>
  </si>
  <si>
    <t>J: Inlandsverwendung</t>
  </si>
  <si>
    <t>K: Einkaufspreise konventionell</t>
  </si>
  <si>
    <t>L: Einkaufspreise ökologisch</t>
  </si>
  <si>
    <t>M: Verhältnis Einkaufspreise</t>
  </si>
  <si>
    <t>N: Saatguterzeugung</t>
  </si>
  <si>
    <t>P: Prognosen Löhr</t>
  </si>
  <si>
    <t>N: Übersicht anerkannte Saatgutmengen verschiedener Leguminosensorten</t>
  </si>
  <si>
    <t>G: Exportvolumen in Tausend Euro</t>
  </si>
  <si>
    <t>Quelle: Statistisches Bundesamt, AMI, Börsenpreise Weizen (Matif) und Sojamehl (CME), BLE, DLG Futterwerttabelle</t>
  </si>
  <si>
    <t>O: neue Sorten</t>
  </si>
  <si>
    <t xml:space="preserve">O: Übersicht über neu zugelassene Sorten </t>
  </si>
  <si>
    <t>Aussaatzeitpunkt</t>
  </si>
  <si>
    <t>Blühbeginn</t>
  </si>
  <si>
    <t>Reife</t>
  </si>
  <si>
    <t>Pflanzenlänge</t>
  </si>
  <si>
    <t>Neigung zu Lager</t>
  </si>
  <si>
    <t>Tausendkornmasse</t>
  </si>
  <si>
    <t>Kornertrag</t>
  </si>
  <si>
    <t>Rohproteinertrag</t>
  </si>
  <si>
    <t>Rohproteingehalt</t>
  </si>
  <si>
    <t>Ascochyta</t>
  </si>
  <si>
    <t>Botrytis</t>
  </si>
  <si>
    <t>Rost</t>
  </si>
  <si>
    <t>Frühjahrsaussaat</t>
  </si>
  <si>
    <t>Erbsen</t>
  </si>
  <si>
    <t>Jorinde</t>
  </si>
  <si>
    <t>Herbstaussaat</t>
  </si>
  <si>
    <t>-</t>
  </si>
  <si>
    <t>Ancagua</t>
  </si>
  <si>
    <t>Atalanta</t>
  </si>
  <si>
    <t>PRO Taranaki</t>
  </si>
  <si>
    <t>Rohölertrag</t>
  </si>
  <si>
    <t>Rohölgehalt</t>
  </si>
  <si>
    <t>Blaue Lupine</t>
  </si>
  <si>
    <t>SM Orion</t>
  </si>
  <si>
    <t>P: Geschätzte Einkaufspreise nach dem Soesterleguminosenindex in Euro pro Tonne</t>
  </si>
  <si>
    <t>Q: Geschätzte Einkaufspreise nach dem Preisindikator Löhr in Euro pro Tonne</t>
  </si>
  <si>
    <t>R: Berechnungsmethode SoesterLeguminosenIndex</t>
  </si>
  <si>
    <t>S: Berechnungsmethode nach Löhr</t>
  </si>
  <si>
    <t>Q: Prognosen SoeLI</t>
  </si>
  <si>
    <t>R: Berechnungsmethode SoeLI</t>
  </si>
  <si>
    <t>S: Berechnungsmethode Löhr</t>
  </si>
  <si>
    <t>Auswinterung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</si>
  <si>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</si>
  <si>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</si>
  <si>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</si>
  <si>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</si>
  <si>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</si>
  <si>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</si>
  <si>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</si>
  <si>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</si>
  <si>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</si>
  <si>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</si>
  <si>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</si>
  <si>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Stand der Datengrundlage: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</si>
</sst>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#,##0;\-#,##0;&quot;-&quot;_)"/>
    <numFmt numFmtId="167" formatCode="#,##0;\-#,##0;&quot;-&quot;"/>
    <numFmt numFmtId="168" formatCode="#,##0\ \ \ \ "/>
    <numFmt numFmtId="169" formatCode="#,##0\ \ \ ;\-#,##0\ \ \ ;&quot;-&quot;\ \ \ \ "/>
    <numFmt numFmtId="170" formatCode="#,##0\ \ ;\-#,##0\ \ ;&quot;-&quot;\ \ _)"/>
    <numFmt numFmtId="171" formatCode="#,##0\ \ \ \ \ ;\-#,##0\ \ \ \ \ ;&quot;-&quot;\ \ \ \ \ \ "/>
    <numFmt numFmtId="172" formatCode="#,##0\ ;\-#,##0\ ;&quot;-&quot;\ _)"/>
    <numFmt numFmtId="173" formatCode="#\ ##0\ \ ;\-#\ ##0\ \ ;&quot;-&quot;\ \ _)"/>
    <numFmt numFmtId="174" formatCode="#\ ##0\ \ \ "/>
    <numFmt numFmtId="175" formatCode="#\ ##0\ \ ;\ &quot;-&quot;\ \ _)\ \ \ "/>
    <numFmt numFmtId="176" formatCode="#,##0\ \ ;\-#,##0;&quot;-&quot;\ _)"/>
    <numFmt numFmtId="177" formatCode="#\ ##0\ ;\-#,##0;\ \ &quot;-&quot;\ \ \ \ "/>
    <numFmt numFmtId="178" formatCode="#,##0\ \ \ ;\-#,##0\ \ \ ;&quot;-&quot;\ \ \ _)"/>
    <numFmt numFmtId="179" formatCode="#,##0\ ;\-#,##0;&quot;-&quot;_)"/>
    <numFmt numFmtId="180" formatCode="0.0\ \ \ \ "/>
    <numFmt numFmtId="181" formatCode="#\ ##0\ \ \ \ \ ;\-#\ ##0\ \ \ \ \ ;&quot;-&quot;\ \ \ \ \ _)"/>
    <numFmt numFmtId="182" formatCode="0\ \ \ \ \ \ \ \ \ \ "/>
    <numFmt numFmtId="183" formatCode="#\ ##0\ \ \ \ \ \ \ \ ;\-#\ ##0\ \ \ \ \ \ \ \ ;&quot;-&quot;\ \ \ \ \ \ \ \ _)"/>
    <numFmt numFmtId="184" formatCode="0.0\ \ \ "/>
    <numFmt numFmtId="185" formatCode="?\ ??0"/>
    <numFmt numFmtId="186" formatCode="??0"/>
    <numFmt numFmtId="187" formatCode="??\ ??0"/>
    <numFmt numFmtId="188" formatCode="##\ ##0\ \ ;\-##\ ##0\ \ ;&quot;-&quot;\ \ _)"/>
    <numFmt numFmtId="189" formatCode="#,##0\ \ \ \ \ \ \ \ \ \ \ \ \ \ \ "/>
    <numFmt numFmtId="190" formatCode="#\ ##0\ \ \ \ \ "/>
    <numFmt numFmtId="191" formatCode="#,##0\ \ \ ;\-#,##0\ \ \ ;&quot;-&quot;\ \ _)"/>
    <numFmt numFmtId="192" formatCode="#,##0_)"/>
    <numFmt numFmtId="193" formatCode="#,##0.0"/>
    <numFmt numFmtId="194" formatCode="#,##0_);\(#,##0\)"/>
  </numFmts>
  <fonts count="76">
    <font>
      <sz val="11"/>
      <name val="Times New Roman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12"/>
      <name val="Arial"/>
      <family val="2"/>
    </font>
    <font>
      <vertAlign val="superscript"/>
      <sz val="7.5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name val="Garamond"/>
      <family val="1"/>
    </font>
    <font>
      <b/>
      <sz val="9"/>
      <color indexed="10"/>
      <name val="Arial"/>
      <family val="2"/>
    </font>
    <font>
      <b/>
      <sz val="14"/>
      <name val="Arial"/>
      <family val="2"/>
    </font>
    <font>
      <b/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10"/>
      <name val="Times New Roman"/>
      <family val="1"/>
    </font>
    <font>
      <sz val="7"/>
      <name val="Garamond"/>
      <family val="1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.5"/>
      <color rgb="FF000000"/>
      <name val="Albany AMT"/>
    </font>
    <font>
      <sz val="10"/>
      <name val="BundesSans Office"/>
      <family val="2"/>
    </font>
    <font>
      <sz val="9"/>
      <name val="BundesSans Office"/>
      <family val="2"/>
    </font>
    <font>
      <b/>
      <sz val="8"/>
      <name val="BundesSans Office"/>
      <family val="2"/>
    </font>
    <font>
      <b/>
      <sz val="11"/>
      <name val="BundesSans Office"/>
      <family val="2"/>
    </font>
    <font>
      <b/>
      <sz val="12"/>
      <name val="BundesSans Office"/>
      <family val="2"/>
    </font>
    <font>
      <sz val="8"/>
      <name val="BundesSans Office"/>
      <family val="2"/>
    </font>
    <font>
      <u/>
      <sz val="11"/>
      <color theme="10"/>
      <name val="Times New Roman"/>
      <family val="1"/>
    </font>
    <font>
      <sz val="14"/>
      <color rgb="FF000000"/>
      <name val="BundesSans Office"/>
      <family val="2"/>
    </font>
    <font>
      <b/>
      <sz val="9"/>
      <color theme="1"/>
      <name val="BundesSans Office"/>
      <family val="2"/>
    </font>
    <font>
      <b/>
      <sz val="9"/>
      <name val="BundesSans Office"/>
      <family val="2"/>
    </font>
    <font>
      <sz val="8.5"/>
      <color theme="1"/>
      <name val="BundesSans Office"/>
      <family val="2"/>
    </font>
    <font>
      <sz val="8.5"/>
      <name val="BundesSans Office"/>
      <family val="2"/>
    </font>
    <font>
      <sz val="8.5"/>
      <name val="Times New Roman"/>
      <family val="1"/>
    </font>
    <font>
      <sz val="8.5"/>
      <name val="BundesSans Web"/>
      <family val="2"/>
    </font>
    <font>
      <vertAlign val="superscript"/>
      <sz val="8.5"/>
      <name val="BundesSans Office"/>
      <family val="2"/>
    </font>
    <font>
      <sz val="7"/>
      <name val="BundesSans Office"/>
      <family val="2"/>
    </font>
    <font>
      <sz val="9"/>
      <color theme="1"/>
      <name val="BundesSans Office"/>
      <family val="2"/>
    </font>
    <font>
      <b/>
      <sz val="9"/>
      <color rgb="FF000000"/>
      <name val="BundesSans Office"/>
      <family val="2"/>
    </font>
    <font>
      <sz val="14"/>
      <name val="BundesSans Office"/>
      <family val="2"/>
    </font>
    <font>
      <b/>
      <sz val="9"/>
      <name val="BundesSans Web"/>
      <family val="2"/>
    </font>
    <font>
      <sz val="11"/>
      <name val="BundesSans Web"/>
      <family val="2"/>
    </font>
    <font>
      <b/>
      <sz val="9"/>
      <color theme="1"/>
      <name val="BundesSans Web"/>
      <family val="2"/>
    </font>
    <font>
      <sz val="9"/>
      <name val="BundesSans Web"/>
      <family val="2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 applyProtection="0"/>
    <xf numFmtId="165" fontId="3" fillId="0" borderId="0" applyFont="0" applyFill="0" applyBorder="0" applyAlignment="0" applyProtection="0"/>
    <xf numFmtId="0" fontId="3" fillId="0" borderId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51" fillId="0" borderId="0"/>
    <xf numFmtId="0" fontId="58" fillId="0" borderId="0" applyNumberFormat="0" applyFill="0" applyBorder="0" applyAlignment="0" applyProtection="0"/>
    <xf numFmtId="0" fontId="51" fillId="0" borderId="0"/>
  </cellStyleXfs>
  <cellXfs count="1743">
    <xf numFmtId="0" fontId="0" fillId="0" borderId="0" xfId="0"/>
    <xf numFmtId="0" fontId="9" fillId="0" borderId="0" xfId="0" applyFont="1" applyBorder="1" applyAlignment="1">
      <alignment horizontal="centerContinuous" vertical="center"/>
    </xf>
    <xf numFmtId="170" fontId="10" fillId="0" borderId="0" xfId="0" applyNumberFormat="1" applyFont="1" applyBorder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/>
    </xf>
    <xf numFmtId="173" fontId="9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vertical="top"/>
    </xf>
    <xf numFmtId="0" fontId="9" fillId="0" borderId="0" xfId="0" applyFont="1" applyFill="1" applyBorder="1"/>
    <xf numFmtId="0" fontId="10" fillId="0" borderId="0" xfId="0" applyFont="1" applyFill="1" applyBorder="1"/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Fill="1" applyBorder="1"/>
    <xf numFmtId="0" fontId="9" fillId="0" borderId="2" xfId="0" applyFont="1" applyFill="1" applyBorder="1"/>
    <xf numFmtId="0" fontId="9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Continuous"/>
    </xf>
    <xf numFmtId="0" fontId="10" fillId="0" borderId="3" xfId="0" applyFont="1" applyFill="1" applyBorder="1" applyAlignment="1" applyProtection="1">
      <alignment horizontal="centerContinuous"/>
    </xf>
    <xf numFmtId="0" fontId="9" fillId="0" borderId="3" xfId="0" applyFont="1" applyFill="1" applyBorder="1"/>
    <xf numFmtId="0" fontId="9" fillId="0" borderId="3" xfId="0" applyFont="1" applyFill="1" applyBorder="1" applyAlignment="1" applyProtection="1">
      <alignment horizontal="centerContinuous" vertical="center"/>
    </xf>
    <xf numFmtId="0" fontId="10" fillId="0" borderId="3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0" fontId="9" fillId="0" borderId="4" xfId="0" applyFont="1" applyFill="1" applyBorder="1" applyAlignment="1" applyProtection="1">
      <alignment horizontal="centerContinuous" vertical="center"/>
    </xf>
    <xf numFmtId="0" fontId="9" fillId="0" borderId="3" xfId="0" applyFont="1" applyFill="1" applyBorder="1" applyAlignment="1" applyProtection="1">
      <alignment horizontal="fill"/>
    </xf>
    <xf numFmtId="0" fontId="10" fillId="0" borderId="3" xfId="0" applyFont="1" applyFill="1" applyBorder="1" applyAlignment="1" applyProtection="1">
      <alignment horizontal="fill"/>
    </xf>
    <xf numFmtId="0" fontId="9" fillId="0" borderId="3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Continuous" vertical="center"/>
    </xf>
    <xf numFmtId="0" fontId="9" fillId="0" borderId="6" xfId="0" applyFont="1" applyFill="1" applyBorder="1" applyAlignment="1">
      <alignment horizontal="centerContinuous" vertical="center"/>
    </xf>
    <xf numFmtId="0" fontId="10" fillId="0" borderId="3" xfId="0" applyFont="1" applyFill="1" applyBorder="1"/>
    <xf numFmtId="0" fontId="9" fillId="0" borderId="0" xfId="0" applyFont="1" applyFill="1" applyBorder="1" applyAlignment="1">
      <alignment horizontal="centerContinuous"/>
    </xf>
    <xf numFmtId="0" fontId="10" fillId="0" borderId="3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9" fillId="0" borderId="7" xfId="0" applyFont="1" applyFill="1" applyBorder="1"/>
    <xf numFmtId="0" fontId="10" fillId="0" borderId="7" xfId="0" applyFont="1" applyFill="1" applyBorder="1"/>
    <xf numFmtId="0" fontId="9" fillId="0" borderId="8" xfId="0" applyFont="1" applyFill="1" applyBorder="1"/>
    <xf numFmtId="0" fontId="10" fillId="0" borderId="7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Fill="1"/>
    <xf numFmtId="0" fontId="7" fillId="0" borderId="0" xfId="0" applyFont="1" applyAlignment="1">
      <alignment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170" fontId="10" fillId="0" borderId="0" xfId="0" applyNumberFormat="1" applyFont="1" applyFill="1" applyBorder="1" applyAlignment="1">
      <alignment horizontal="centerContinuous" vertical="center"/>
    </xf>
    <xf numFmtId="0" fontId="9" fillId="0" borderId="0" xfId="0" quotePrefix="1" applyFont="1" applyFill="1" applyAlignment="1">
      <alignment horizontal="center" vertical="center"/>
    </xf>
    <xf numFmtId="0" fontId="9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173" fontId="9" fillId="0" borderId="9" xfId="0" applyNumberFormat="1" applyFont="1" applyFill="1" applyBorder="1" applyAlignment="1"/>
    <xf numFmtId="173" fontId="9" fillId="0" borderId="10" xfId="0" applyNumberFormat="1" applyFont="1" applyFill="1" applyBorder="1" applyAlignment="1"/>
    <xf numFmtId="173" fontId="10" fillId="0" borderId="10" xfId="0" applyNumberFormat="1" applyFont="1" applyFill="1" applyBorder="1" applyAlignment="1"/>
    <xf numFmtId="173" fontId="9" fillId="0" borderId="2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>
      <alignment vertical="center"/>
    </xf>
    <xf numFmtId="173" fontId="9" fillId="0" borderId="0" xfId="0" applyNumberFormat="1" applyFont="1" applyAlignment="1">
      <alignment vertical="center"/>
    </xf>
    <xf numFmtId="169" fontId="9" fillId="0" borderId="0" xfId="0" applyNumberFormat="1" applyFont="1"/>
    <xf numFmtId="0" fontId="9" fillId="0" borderId="0" xfId="0" quotePrefix="1" applyFont="1" applyAlignment="1">
      <alignment horizontal="center"/>
    </xf>
    <xf numFmtId="169" fontId="9" fillId="0" borderId="0" xfId="0" quotePrefix="1" applyNumberFormat="1" applyFont="1" applyAlignment="1">
      <alignment horizontal="right"/>
    </xf>
    <xf numFmtId="173" fontId="9" fillId="0" borderId="3" xfId="0" applyNumberFormat="1" applyFont="1" applyBorder="1" applyAlignment="1">
      <alignment horizontal="centerContinuous" vertical="center"/>
    </xf>
    <xf numFmtId="173" fontId="9" fillId="0" borderId="3" xfId="0" applyNumberFormat="1" applyFont="1" applyBorder="1" applyAlignment="1">
      <alignment horizontal="center" vertical="center"/>
    </xf>
    <xf numFmtId="173" fontId="9" fillId="0" borderId="0" xfId="0" applyNumberFormat="1" applyFont="1" applyBorder="1" applyAlignment="1">
      <alignment vertical="center"/>
    </xf>
    <xf numFmtId="173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170" fontId="9" fillId="0" borderId="0" xfId="0" quotePrefix="1" applyNumberFormat="1" applyFont="1" applyFill="1" applyBorder="1" applyAlignment="1">
      <alignment horizontal="right" vertical="center"/>
    </xf>
    <xf numFmtId="0" fontId="9" fillId="0" borderId="0" xfId="0" applyFont="1" applyFill="1" applyAlignment="1" applyProtection="1">
      <alignment horizontal="centerContinuous"/>
    </xf>
    <xf numFmtId="170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 applyProtection="1">
      <alignment horizontal="right" vertical="center"/>
    </xf>
    <xf numFmtId="173" fontId="10" fillId="0" borderId="0" xfId="0" applyNumberFormat="1" applyFont="1" applyFill="1" applyBorder="1" applyAlignment="1" applyProtection="1">
      <alignment horizontal="right" vertical="center"/>
    </xf>
    <xf numFmtId="173" fontId="9" fillId="0" borderId="7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/>
    <xf numFmtId="0" fontId="8" fillId="0" borderId="0" xfId="0" applyFont="1" applyFill="1" applyAlignment="1"/>
    <xf numFmtId="0" fontId="10" fillId="0" borderId="0" xfId="0" applyFont="1" applyFill="1" applyBorder="1" applyAlignment="1" applyProtection="1">
      <alignment horizontal="left" vertical="center"/>
    </xf>
    <xf numFmtId="169" fontId="10" fillId="0" borderId="11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Continuous"/>
    </xf>
    <xf numFmtId="0" fontId="9" fillId="0" borderId="0" xfId="0" applyFont="1" applyFill="1" applyBorder="1" applyAlignment="1" applyProtection="1">
      <alignment horizontal="center"/>
    </xf>
    <xf numFmtId="169" fontId="10" fillId="0" borderId="0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>
      <alignment vertical="center"/>
    </xf>
    <xf numFmtId="169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3" fontId="9" fillId="0" borderId="0" xfId="0" applyNumberFormat="1" applyFont="1" applyFill="1" applyAlignment="1">
      <alignment vertical="center"/>
    </xf>
    <xf numFmtId="0" fontId="28" fillId="0" borderId="0" xfId="0" applyFont="1" applyFill="1"/>
    <xf numFmtId="0" fontId="9" fillId="0" borderId="0" xfId="0" applyFont="1" applyFill="1" applyAlignment="1">
      <alignment horizontal="left"/>
    </xf>
    <xf numFmtId="173" fontId="9" fillId="0" borderId="11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centerContinuous" vertical="center"/>
    </xf>
    <xf numFmtId="169" fontId="13" fillId="0" borderId="0" xfId="0" applyNumberFormat="1" applyFont="1" applyFill="1" applyBorder="1" applyAlignment="1">
      <alignment horizontal="centerContinuous" vertical="center"/>
    </xf>
    <xf numFmtId="169" fontId="9" fillId="0" borderId="0" xfId="0" quotePrefix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9" fontId="9" fillId="0" borderId="0" xfId="0" applyNumberFormat="1" applyFont="1" applyFill="1" applyBorder="1" applyAlignment="1">
      <alignment horizontal="centerContinuous" vertical="center"/>
    </xf>
    <xf numFmtId="169" fontId="10" fillId="0" borderId="0" xfId="0" applyNumberFormat="1" applyFont="1" applyFill="1" applyBorder="1" applyAlignment="1">
      <alignment horizontal="centerContinuous" vertical="center"/>
    </xf>
    <xf numFmtId="169" fontId="9" fillId="0" borderId="0" xfId="0" quotePrefix="1" applyNumberFormat="1" applyFont="1" applyFill="1" applyAlignment="1">
      <alignment horizontal="center" vertical="center"/>
    </xf>
    <xf numFmtId="169" fontId="9" fillId="0" borderId="0" xfId="0" applyNumberFormat="1" applyFont="1" applyFill="1" applyAlignment="1" applyProtection="1">
      <alignment horizontal="center"/>
    </xf>
    <xf numFmtId="169" fontId="9" fillId="0" borderId="11" xfId="0" applyNumberFormat="1" applyFont="1" applyFill="1" applyBorder="1" applyAlignment="1">
      <alignment vertical="center"/>
    </xf>
    <xf numFmtId="169" fontId="10" fillId="0" borderId="3" xfId="0" applyNumberFormat="1" applyFont="1" applyFill="1" applyBorder="1" applyAlignment="1" applyProtection="1">
      <alignment horizontal="center" vertical="center"/>
    </xf>
    <xf numFmtId="169" fontId="9" fillId="0" borderId="3" xfId="0" applyNumberFormat="1" applyFont="1" applyFill="1" applyBorder="1" applyAlignment="1" applyProtection="1">
      <alignment horizontal="centerContinuous" vertical="center"/>
    </xf>
    <xf numFmtId="169" fontId="10" fillId="0" borderId="3" xfId="0" applyNumberFormat="1" applyFont="1" applyFill="1" applyBorder="1" applyAlignment="1" applyProtection="1">
      <alignment horizontal="fill" vertical="center"/>
    </xf>
    <xf numFmtId="169" fontId="9" fillId="0" borderId="2" xfId="0" applyNumberFormat="1" applyFont="1" applyFill="1" applyBorder="1" applyAlignment="1" applyProtection="1">
      <alignment horizontal="fill" vertical="center"/>
    </xf>
    <xf numFmtId="169" fontId="9" fillId="0" borderId="1" xfId="0" applyNumberFormat="1" applyFont="1" applyFill="1" applyBorder="1" applyAlignment="1" applyProtection="1">
      <alignment horizontal="fill" vertical="center"/>
    </xf>
    <xf numFmtId="169" fontId="10" fillId="0" borderId="1" xfId="0" applyNumberFormat="1" applyFont="1" applyFill="1" applyBorder="1" applyAlignment="1" applyProtection="1">
      <alignment horizontal="fill" vertical="center"/>
    </xf>
    <xf numFmtId="169" fontId="9" fillId="0" borderId="11" xfId="0" applyNumberFormat="1" applyFont="1" applyFill="1" applyBorder="1" applyAlignment="1" applyProtection="1">
      <alignment horizontal="center" vertical="center"/>
    </xf>
    <xf numFmtId="169" fontId="9" fillId="0" borderId="3" xfId="0" applyNumberFormat="1" applyFont="1" applyFill="1" applyBorder="1" applyAlignment="1" applyProtection="1">
      <alignment horizontal="center" vertical="center"/>
    </xf>
    <xf numFmtId="169" fontId="10" fillId="0" borderId="3" xfId="0" applyNumberFormat="1" applyFont="1" applyFill="1" applyBorder="1" applyAlignment="1">
      <alignment horizontal="center" vertical="center"/>
    </xf>
    <xf numFmtId="169" fontId="10" fillId="0" borderId="3" xfId="0" applyNumberFormat="1" applyFont="1" applyFill="1" applyBorder="1" applyAlignment="1">
      <alignment vertical="center"/>
    </xf>
    <xf numFmtId="169" fontId="9" fillId="0" borderId="4" xfId="0" applyNumberFormat="1" applyFont="1" applyFill="1" applyBorder="1" applyAlignment="1">
      <alignment vertical="center"/>
    </xf>
    <xf numFmtId="169" fontId="9" fillId="0" borderId="3" xfId="0" applyNumberFormat="1" applyFont="1" applyFill="1" applyBorder="1" applyAlignment="1">
      <alignment vertical="center"/>
    </xf>
    <xf numFmtId="169" fontId="9" fillId="0" borderId="4" xfId="0" applyNumberFormat="1" applyFont="1" applyFill="1" applyBorder="1" applyAlignment="1" applyProtection="1">
      <alignment horizontal="center" vertical="center"/>
    </xf>
    <xf numFmtId="169" fontId="9" fillId="0" borderId="0" xfId="0" applyNumberFormat="1" applyFont="1" applyFill="1" applyBorder="1" applyAlignment="1">
      <alignment horizontal="center" vertical="center"/>
    </xf>
    <xf numFmtId="169" fontId="9" fillId="0" borderId="0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 applyProtection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fill"/>
    </xf>
    <xf numFmtId="0" fontId="10" fillId="0" borderId="0" xfId="0" applyFont="1" applyFill="1" applyBorder="1" applyAlignment="1" applyProtection="1">
      <alignment horizontal="fill"/>
    </xf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169" fontId="9" fillId="0" borderId="0" xfId="0" applyNumberFormat="1" applyFont="1" applyFill="1" applyBorder="1" applyAlignment="1" applyProtection="1">
      <alignment horizontal="right" vertical="center"/>
    </xf>
    <xf numFmtId="169" fontId="9" fillId="0" borderId="1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69" fontId="7" fillId="0" borderId="0" xfId="0" applyNumberFormat="1" applyFont="1" applyFill="1" applyBorder="1" applyAlignment="1">
      <alignment vertical="center"/>
    </xf>
    <xf numFmtId="169" fontId="9" fillId="0" borderId="0" xfId="0" quotePrefix="1" applyNumberFormat="1" applyFont="1" applyFill="1" applyBorder="1" applyAlignment="1">
      <alignment vertical="center"/>
    </xf>
    <xf numFmtId="169" fontId="13" fillId="0" borderId="0" xfId="0" applyNumberFormat="1" applyFont="1" applyFill="1" applyBorder="1" applyAlignment="1">
      <alignment vertical="center"/>
    </xf>
    <xf numFmtId="169" fontId="9" fillId="0" borderId="0" xfId="0" applyNumberFormat="1" applyFont="1" applyFill="1" applyBorder="1" applyAlignment="1">
      <alignment vertical="center"/>
    </xf>
    <xf numFmtId="167" fontId="9" fillId="0" borderId="0" xfId="0" applyNumberFormat="1" applyFont="1" applyFill="1" applyAlignment="1">
      <alignment vertical="center"/>
    </xf>
    <xf numFmtId="169" fontId="9" fillId="0" borderId="3" xfId="0" quotePrefix="1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9" fontId="9" fillId="0" borderId="10" xfId="0" applyNumberFormat="1" applyFont="1" applyFill="1" applyBorder="1" applyAlignment="1">
      <alignment vertical="center"/>
    </xf>
    <xf numFmtId="169" fontId="10" fillId="0" borderId="9" xfId="0" applyNumberFormat="1" applyFont="1" applyFill="1" applyBorder="1" applyAlignment="1">
      <alignment vertical="center"/>
    </xf>
    <xf numFmtId="172" fontId="9" fillId="0" borderId="0" xfId="0" applyNumberFormat="1" applyFont="1" applyFill="1" applyBorder="1" applyAlignment="1" applyProtection="1">
      <alignment horizontal="right" vertical="center"/>
    </xf>
    <xf numFmtId="166" fontId="10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/>
    <xf numFmtId="174" fontId="9" fillId="0" borderId="0" xfId="0" applyNumberFormat="1" applyFont="1" applyFill="1" applyBorder="1" applyAlignment="1"/>
    <xf numFmtId="0" fontId="15" fillId="0" borderId="0" xfId="0" applyFont="1" applyFill="1" applyBorder="1" applyAlignment="1" applyProtection="1">
      <alignment horizontal="left" vertical="center"/>
    </xf>
    <xf numFmtId="173" fontId="10" fillId="0" borderId="2" xfId="0" applyNumberFormat="1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Continuous" vertical="center"/>
    </xf>
    <xf numFmtId="173" fontId="15" fillId="0" borderId="10" xfId="0" applyNumberFormat="1" applyFont="1" applyBorder="1" applyAlignment="1">
      <alignment vertical="center"/>
    </xf>
    <xf numFmtId="171" fontId="10" fillId="0" borderId="0" xfId="0" applyNumberFormat="1" applyFont="1" applyFill="1" applyBorder="1" applyAlignment="1">
      <alignment vertical="center"/>
    </xf>
    <xf numFmtId="173" fontId="15" fillId="0" borderId="0" xfId="0" applyNumberFormat="1" applyFont="1" applyFill="1" applyBorder="1" applyAlignment="1" applyProtection="1">
      <alignment horizontal="right" vertical="center"/>
    </xf>
    <xf numFmtId="173" fontId="10" fillId="0" borderId="10" xfId="0" applyNumberFormat="1" applyFont="1" applyFill="1" applyBorder="1" applyAlignment="1" applyProtection="1">
      <alignment vertical="center"/>
    </xf>
    <xf numFmtId="0" fontId="9" fillId="0" borderId="12" xfId="0" applyFont="1" applyFill="1" applyBorder="1" applyAlignment="1" applyProtection="1">
      <alignment horizontal="center"/>
    </xf>
    <xf numFmtId="171" fontId="9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/>
    </xf>
    <xf numFmtId="0" fontId="15" fillId="0" borderId="0" xfId="0" applyFont="1" applyFill="1" applyBorder="1"/>
    <xf numFmtId="0" fontId="16" fillId="0" borderId="0" xfId="0" applyFont="1" applyFill="1" applyBorder="1"/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>
      <alignment horizontal="centerContinuous"/>
    </xf>
    <xf numFmtId="169" fontId="15" fillId="0" borderId="0" xfId="0" applyNumberFormat="1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Continuous" vertical="center"/>
    </xf>
    <xf numFmtId="0" fontId="16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 applyProtection="1">
      <alignment horizontal="centerContinuous"/>
    </xf>
    <xf numFmtId="0" fontId="15" fillId="0" borderId="0" xfId="0" applyFont="1" applyFill="1" applyBorder="1" applyProtection="1"/>
    <xf numFmtId="0" fontId="15" fillId="0" borderId="0" xfId="0" applyFont="1" applyFill="1" applyProtection="1"/>
    <xf numFmtId="169" fontId="15" fillId="0" borderId="0" xfId="0" applyNumberFormat="1" applyFont="1" applyFill="1" applyBorder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fill"/>
    </xf>
    <xf numFmtId="169" fontId="15" fillId="0" borderId="0" xfId="0" applyNumberFormat="1" applyFont="1" applyFill="1" applyBorder="1" applyAlignment="1" applyProtection="1">
      <alignment horizontal="centerContinuous"/>
    </xf>
    <xf numFmtId="0" fontId="16" fillId="0" borderId="0" xfId="0" applyFont="1" applyFill="1" applyBorder="1" applyAlignment="1" applyProtection="1">
      <alignment horizontal="centerContinuous" vertical="center"/>
    </xf>
    <xf numFmtId="0" fontId="16" fillId="0" borderId="0" xfId="0" applyFont="1" applyFill="1" applyBorder="1" applyAlignment="1" applyProtection="1">
      <alignment horizontal="centerContinuous"/>
    </xf>
    <xf numFmtId="0" fontId="16" fillId="0" borderId="0" xfId="0" applyFont="1" applyFill="1" applyBorder="1" applyAlignment="1">
      <alignment horizontal="center"/>
    </xf>
    <xf numFmtId="16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/>
    <xf numFmtId="169" fontId="15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Continuous" vertical="center"/>
    </xf>
    <xf numFmtId="170" fontId="16" fillId="0" borderId="0" xfId="0" applyNumberFormat="1" applyFont="1" applyFill="1" applyBorder="1" applyAlignment="1">
      <alignment horizontal="centerContinuous" vertical="center"/>
    </xf>
    <xf numFmtId="0" fontId="15" fillId="0" borderId="0" xfId="0" quotePrefix="1" applyFont="1" applyFill="1" applyBorder="1" applyAlignment="1">
      <alignment horizontal="center" vertical="center"/>
    </xf>
    <xf numFmtId="170" fontId="15" fillId="0" borderId="0" xfId="0" quotePrefix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left"/>
    </xf>
    <xf numFmtId="176" fontId="15" fillId="0" borderId="0" xfId="0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left" vertical="top"/>
    </xf>
    <xf numFmtId="176" fontId="15" fillId="0" borderId="0" xfId="0" applyNumberFormat="1" applyFont="1" applyFill="1" applyBorder="1" applyAlignment="1" applyProtection="1">
      <alignment horizontal="right" vertical="top"/>
    </xf>
    <xf numFmtId="0" fontId="15" fillId="0" borderId="0" xfId="0" applyFont="1" applyFill="1" applyBorder="1" applyAlignment="1">
      <alignment vertical="top"/>
    </xf>
    <xf numFmtId="0" fontId="16" fillId="0" borderId="0" xfId="0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center"/>
    </xf>
    <xf numFmtId="169" fontId="15" fillId="0" borderId="0" xfId="0" applyNumberFormat="1" applyFont="1" applyFill="1" applyBorder="1" applyAlignment="1">
      <alignment horizontal="right"/>
    </xf>
    <xf numFmtId="169" fontId="10" fillId="0" borderId="0" xfId="0" applyNumberFormat="1" applyFont="1" applyFill="1" applyBorder="1"/>
    <xf numFmtId="182" fontId="15" fillId="0" borderId="13" xfId="0" applyNumberFormat="1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9" fontId="10" fillId="0" borderId="16" xfId="0" applyNumberFormat="1" applyFont="1" applyFill="1" applyBorder="1" applyAlignment="1" applyProtection="1">
      <alignment horizontal="centerContinuous" vertical="center"/>
    </xf>
    <xf numFmtId="169" fontId="10" fillId="0" borderId="17" xfId="0" applyNumberFormat="1" applyFont="1" applyFill="1" applyBorder="1" applyAlignment="1" applyProtection="1">
      <alignment horizontal="centerContinuous" vertical="center"/>
    </xf>
    <xf numFmtId="169" fontId="9" fillId="0" borderId="18" xfId="0" applyNumberFormat="1" applyFont="1" applyFill="1" applyBorder="1" applyAlignment="1">
      <alignment horizontal="right" vertical="center"/>
    </xf>
    <xf numFmtId="169" fontId="9" fillId="0" borderId="19" xfId="0" applyNumberFormat="1" applyFont="1" applyFill="1" applyBorder="1" applyAlignment="1">
      <alignment horizontal="right" vertical="center"/>
    </xf>
    <xf numFmtId="169" fontId="10" fillId="0" borderId="18" xfId="0" applyNumberFormat="1" applyFont="1" applyFill="1" applyBorder="1" applyAlignment="1">
      <alignment horizontal="right" vertical="center"/>
    </xf>
    <xf numFmtId="169" fontId="9" fillId="0" borderId="18" xfId="0" applyNumberFormat="1" applyFont="1" applyFill="1" applyBorder="1" applyAlignment="1" applyProtection="1">
      <alignment vertical="center"/>
    </xf>
    <xf numFmtId="169" fontId="9" fillId="0" borderId="19" xfId="0" applyNumberFormat="1" applyFont="1" applyFill="1" applyBorder="1" applyAlignment="1" applyProtection="1">
      <alignment vertical="center"/>
    </xf>
    <xf numFmtId="169" fontId="9" fillId="0" borderId="18" xfId="0" applyNumberFormat="1" applyFont="1" applyFill="1" applyBorder="1" applyAlignment="1">
      <alignment vertical="center"/>
    </xf>
    <xf numFmtId="169" fontId="9" fillId="0" borderId="19" xfId="0" applyNumberFormat="1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173" fontId="9" fillId="0" borderId="3" xfId="0" applyNumberFormat="1" applyFont="1" applyFill="1" applyBorder="1" applyAlignment="1">
      <alignment vertical="center"/>
    </xf>
    <xf numFmtId="173" fontId="15" fillId="0" borderId="2" xfId="0" applyNumberFormat="1" applyFont="1" applyBorder="1" applyAlignment="1">
      <alignment vertical="center"/>
    </xf>
    <xf numFmtId="0" fontId="9" fillId="0" borderId="12" xfId="0" applyFont="1" applyFill="1" applyBorder="1" applyAlignment="1" applyProtection="1">
      <alignment horizontal="centerContinuous"/>
    </xf>
    <xf numFmtId="0" fontId="9" fillId="0" borderId="3" xfId="0" applyFont="1" applyFill="1" applyBorder="1" applyAlignment="1">
      <alignment horizontal="centerContinuous" vertical="center"/>
    </xf>
    <xf numFmtId="169" fontId="10" fillId="0" borderId="1" xfId="0" applyNumberFormat="1" applyFont="1" applyFill="1" applyBorder="1" applyAlignment="1">
      <alignment vertical="center"/>
    </xf>
    <xf numFmtId="169" fontId="9" fillId="0" borderId="22" xfId="0" applyNumberFormat="1" applyFont="1" applyFill="1" applyBorder="1" applyAlignment="1" applyProtection="1">
      <alignment horizontal="center" vertical="center"/>
    </xf>
    <xf numFmtId="169" fontId="10" fillId="0" borderId="1" xfId="0" applyNumberFormat="1" applyFont="1" applyFill="1" applyBorder="1" applyAlignment="1">
      <alignment horizontal="centerContinuous" vertical="center"/>
    </xf>
    <xf numFmtId="169" fontId="10" fillId="0" borderId="3" xfId="0" applyNumberFormat="1" applyFont="1" applyFill="1" applyBorder="1" applyAlignment="1">
      <alignment horizontal="centerContinuous" vertical="center"/>
    </xf>
    <xf numFmtId="173" fontId="9" fillId="0" borderId="3" xfId="0" applyNumberFormat="1" applyFont="1" applyFill="1" applyBorder="1" applyAlignment="1">
      <alignment horizontal="center" vertical="center"/>
    </xf>
    <xf numFmtId="173" fontId="9" fillId="0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0" fontId="10" fillId="0" borderId="3" xfId="0" applyFont="1" applyFill="1" applyBorder="1" applyAlignment="1">
      <alignment horizontal="centerContinuous"/>
    </xf>
    <xf numFmtId="0" fontId="7" fillId="0" borderId="0" xfId="0" applyFont="1" applyFill="1" applyAlignment="1">
      <alignment vertical="top"/>
    </xf>
    <xf numFmtId="0" fontId="12" fillId="0" borderId="0" xfId="0" applyFont="1" applyFill="1" applyBorder="1"/>
    <xf numFmtId="173" fontId="9" fillId="0" borderId="11" xfId="0" applyNumberFormat="1" applyFont="1" applyBorder="1" applyAlignment="1">
      <alignment horizontal="center" vertical="center"/>
    </xf>
    <xf numFmtId="173" fontId="9" fillId="0" borderId="5" xfId="0" applyNumberFormat="1" applyFont="1" applyBorder="1" applyAlignment="1">
      <alignment horizontal="center" vertical="center"/>
    </xf>
    <xf numFmtId="173" fontId="10" fillId="0" borderId="17" xfId="0" applyNumberFormat="1" applyFont="1" applyBorder="1" applyAlignment="1">
      <alignment horizontal="centerContinuous" vertical="center" wrapText="1"/>
    </xf>
    <xf numFmtId="173" fontId="9" fillId="0" borderId="23" xfId="0" applyNumberFormat="1" applyFont="1" applyBorder="1" applyAlignment="1">
      <alignment horizontal="centerContinuous" vertical="center"/>
    </xf>
    <xf numFmtId="173" fontId="9" fillId="0" borderId="23" xfId="0" quotePrefix="1" applyNumberFormat="1" applyFont="1" applyBorder="1" applyAlignment="1">
      <alignment horizontal="centerContinuous" vertical="center"/>
    </xf>
    <xf numFmtId="173" fontId="15" fillId="0" borderId="1" xfId="0" applyNumberFormat="1" applyFont="1" applyBorder="1" applyAlignment="1">
      <alignment vertical="center"/>
    </xf>
    <xf numFmtId="173" fontId="15" fillId="0" borderId="0" xfId="0" applyNumberFormat="1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24" xfId="0" applyFont="1" applyFill="1" applyBorder="1"/>
    <xf numFmtId="0" fontId="9" fillId="0" borderId="19" xfId="0" applyFont="1" applyFill="1" applyBorder="1" applyAlignment="1">
      <alignment horizontal="center" vertical="center"/>
    </xf>
    <xf numFmtId="173" fontId="9" fillId="0" borderId="19" xfId="0" applyNumberFormat="1" applyFont="1" applyFill="1" applyBorder="1" applyAlignment="1">
      <alignment vertical="center"/>
    </xf>
    <xf numFmtId="173" fontId="9" fillId="0" borderId="18" xfId="0" applyNumberFormat="1" applyFont="1" applyFill="1" applyBorder="1" applyAlignment="1">
      <alignment vertical="center"/>
    </xf>
    <xf numFmtId="173" fontId="9" fillId="0" borderId="26" xfId="0" applyNumberFormat="1" applyFont="1" applyFill="1" applyBorder="1" applyAlignment="1">
      <alignment vertical="center"/>
    </xf>
    <xf numFmtId="173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9" fillId="0" borderId="27" xfId="0" applyFont="1" applyFill="1" applyBorder="1"/>
    <xf numFmtId="0" fontId="14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Continuous"/>
    </xf>
    <xf numFmtId="0" fontId="14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fill"/>
    </xf>
    <xf numFmtId="0" fontId="14" fillId="0" borderId="0" xfId="0" applyFont="1" applyFill="1" applyBorder="1" applyAlignment="1" applyProtection="1">
      <alignment horizontal="fill"/>
    </xf>
    <xf numFmtId="0" fontId="8" fillId="0" borderId="0" xfId="0" applyFont="1" applyFill="1" applyBorder="1" applyAlignment="1" applyProtection="1">
      <alignment horizontal="centerContinuous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3" fontId="9" fillId="0" borderId="0" xfId="0" applyNumberFormat="1" applyFont="1" applyFill="1" applyBorder="1" applyAlignment="1">
      <alignment vertical="top"/>
    </xf>
    <xf numFmtId="173" fontId="9" fillId="0" borderId="3" xfId="0" applyNumberFormat="1" applyFont="1" applyFill="1" applyBorder="1" applyAlignment="1">
      <alignment vertical="top"/>
    </xf>
    <xf numFmtId="173" fontId="9" fillId="0" borderId="4" xfId="0" applyNumberFormat="1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3" fontId="9" fillId="0" borderId="3" xfId="0" applyNumberFormat="1" applyFont="1" applyFill="1" applyBorder="1" applyAlignment="1">
      <alignment horizontal="centerContinuous" vertical="center"/>
    </xf>
    <xf numFmtId="173" fontId="10" fillId="0" borderId="0" xfId="0" applyNumberFormat="1" applyFont="1" applyFill="1" applyBorder="1" applyAlignment="1" applyProtection="1">
      <alignment vertical="center"/>
    </xf>
    <xf numFmtId="0" fontId="9" fillId="0" borderId="19" xfId="0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169" fontId="8" fillId="0" borderId="0" xfId="0" applyNumberFormat="1" applyFont="1" applyFill="1"/>
    <xf numFmtId="179" fontId="10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/>
    <xf numFmtId="171" fontId="9" fillId="0" borderId="0" xfId="0" applyNumberFormat="1" applyFont="1" applyFill="1" applyBorder="1" applyAlignment="1">
      <alignment horizontal="right" vertical="center"/>
    </xf>
    <xf numFmtId="171" fontId="10" fillId="0" borderId="0" xfId="0" applyNumberFormat="1" applyFont="1" applyFill="1" applyBorder="1" applyAlignment="1" applyProtection="1">
      <alignment vertical="center"/>
    </xf>
    <xf numFmtId="1" fontId="9" fillId="0" borderId="4" xfId="0" applyNumberFormat="1" applyFont="1" applyFill="1" applyBorder="1" applyAlignment="1">
      <alignment horizontal="center" vertical="center"/>
    </xf>
    <xf numFmtId="173" fontId="9" fillId="0" borderId="28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horizontal="center" vertical="top"/>
    </xf>
    <xf numFmtId="173" fontId="9" fillId="0" borderId="19" xfId="0" applyNumberFormat="1" applyFont="1" applyFill="1" applyBorder="1" applyAlignment="1">
      <alignment vertical="top"/>
    </xf>
    <xf numFmtId="173" fontId="9" fillId="0" borderId="18" xfId="0" applyNumberFormat="1" applyFont="1" applyFill="1" applyBorder="1" applyAlignment="1">
      <alignment vertical="top"/>
    </xf>
    <xf numFmtId="173" fontId="9" fillId="0" borderId="26" xfId="0" applyNumberFormat="1" applyFont="1" applyFill="1" applyBorder="1" applyAlignment="1">
      <alignment vertical="top"/>
    </xf>
    <xf numFmtId="180" fontId="26" fillId="0" borderId="11" xfId="0" applyNumberFormat="1" applyFont="1" applyFill="1" applyBorder="1" applyAlignment="1">
      <alignment vertical="center"/>
    </xf>
    <xf numFmtId="180" fontId="26" fillId="0" borderId="4" xfId="0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vertical="center"/>
    </xf>
    <xf numFmtId="1" fontId="9" fillId="0" borderId="25" xfId="0" applyNumberFormat="1" applyFont="1" applyFill="1" applyBorder="1" applyAlignment="1">
      <alignment horizontal="center" vertical="center"/>
    </xf>
    <xf numFmtId="173" fontId="9" fillId="0" borderId="30" xfId="0" applyNumberFormat="1" applyFont="1" applyFill="1" applyBorder="1" applyAlignment="1">
      <alignment horizontal="centerContinuous" vertical="center" wrapText="1"/>
    </xf>
    <xf numFmtId="173" fontId="9" fillId="0" borderId="23" xfId="0" applyNumberFormat="1" applyFont="1" applyFill="1" applyBorder="1" applyAlignment="1">
      <alignment horizontal="centerContinuous" vertical="center"/>
    </xf>
    <xf numFmtId="173" fontId="9" fillId="0" borderId="23" xfId="0" quotePrefix="1" applyNumberFormat="1" applyFont="1" applyFill="1" applyBorder="1" applyAlignment="1">
      <alignment horizontal="centerContinuous" vertical="center"/>
    </xf>
    <xf numFmtId="173" fontId="9" fillId="0" borderId="11" xfId="0" applyNumberFormat="1" applyFont="1" applyFill="1" applyBorder="1" applyAlignment="1">
      <alignment horizontal="center" vertical="center"/>
    </xf>
    <xf numFmtId="173" fontId="9" fillId="0" borderId="5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3" fontId="9" fillId="0" borderId="1" xfId="0" applyNumberFormat="1" applyFont="1" applyFill="1" applyBorder="1" applyAlignment="1">
      <alignment vertical="center"/>
    </xf>
    <xf numFmtId="173" fontId="9" fillId="0" borderId="2" xfId="0" applyNumberFormat="1" applyFont="1" applyFill="1" applyBorder="1" applyAlignment="1">
      <alignment vertical="center"/>
    </xf>
    <xf numFmtId="173" fontId="9" fillId="0" borderId="32" xfId="0" applyNumberFormat="1" applyFont="1" applyFill="1" applyBorder="1" applyAlignment="1">
      <alignment vertical="center"/>
    </xf>
    <xf numFmtId="1" fontId="9" fillId="0" borderId="18" xfId="0" applyNumberFormat="1" applyFont="1" applyFill="1" applyBorder="1" applyAlignment="1">
      <alignment horizontal="center" vertical="center"/>
    </xf>
    <xf numFmtId="173" fontId="9" fillId="0" borderId="3" xfId="0" applyNumberFormat="1" applyFont="1" applyFill="1" applyBorder="1" applyAlignment="1"/>
    <xf numFmtId="173" fontId="9" fillId="0" borderId="0" xfId="0" applyNumberFormat="1" applyFont="1" applyFill="1" applyBorder="1" applyAlignment="1"/>
    <xf numFmtId="173" fontId="9" fillId="0" borderId="28" xfId="0" applyNumberFormat="1" applyFont="1" applyFill="1" applyBorder="1" applyAlignment="1"/>
    <xf numFmtId="0" fontId="9" fillId="0" borderId="18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top"/>
    </xf>
    <xf numFmtId="176" fontId="9" fillId="0" borderId="0" xfId="0" applyNumberFormat="1" applyFont="1" applyFill="1" applyBorder="1" applyAlignment="1" applyProtection="1">
      <alignment horizontal="right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/>
    <xf numFmtId="166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/>
    <xf numFmtId="175" fontId="10" fillId="0" borderId="0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wrapText="1"/>
    </xf>
    <xf numFmtId="1" fontId="9" fillId="0" borderId="3" xfId="0" applyNumberFormat="1" applyFont="1" applyFill="1" applyBorder="1" applyAlignment="1">
      <alignment horizontal="center" vertical="top"/>
    </xf>
    <xf numFmtId="1" fontId="9" fillId="0" borderId="11" xfId="0" applyNumberFormat="1" applyFont="1" applyFill="1" applyBorder="1" applyAlignment="1">
      <alignment horizontal="center" vertical="top"/>
    </xf>
    <xf numFmtId="0" fontId="15" fillId="0" borderId="2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173" fontId="15" fillId="0" borderId="1" xfId="0" applyNumberFormat="1" applyFont="1" applyFill="1" applyBorder="1" applyAlignment="1">
      <alignment vertical="center"/>
    </xf>
    <xf numFmtId="181" fontId="15" fillId="0" borderId="2" xfId="0" applyNumberFormat="1" applyFont="1" applyFill="1" applyBorder="1" applyAlignment="1">
      <alignment vertical="center"/>
    </xf>
    <xf numFmtId="173" fontId="15" fillId="0" borderId="28" xfId="0" applyNumberFormat="1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/>
    </xf>
    <xf numFmtId="173" fontId="15" fillId="0" borderId="1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69" fontId="10" fillId="0" borderId="9" xfId="0" applyNumberFormat="1" applyFont="1" applyFill="1" applyBorder="1" applyAlignment="1">
      <alignment horizontal="center" vertical="center"/>
    </xf>
    <xf numFmtId="169" fontId="10" fillId="0" borderId="1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horizontal="center" vertical="top"/>
    </xf>
    <xf numFmtId="0" fontId="10" fillId="0" borderId="31" xfId="0" applyFont="1" applyFill="1" applyBorder="1"/>
    <xf numFmtId="0" fontId="9" fillId="0" borderId="11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173" fontId="10" fillId="0" borderId="3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176" fontId="9" fillId="0" borderId="11" xfId="0" applyNumberFormat="1" applyFont="1" applyFill="1" applyBorder="1" applyAlignment="1"/>
    <xf numFmtId="176" fontId="9" fillId="0" borderId="0" xfId="0" applyNumberFormat="1" applyFont="1" applyFill="1" applyBorder="1" applyAlignment="1"/>
    <xf numFmtId="169" fontId="9" fillId="0" borderId="0" xfId="0" applyNumberFormat="1" applyFont="1" applyFill="1" applyBorder="1" applyAlignment="1" applyProtection="1">
      <alignment horizontal="left" vertical="center"/>
    </xf>
    <xf numFmtId="169" fontId="10" fillId="0" borderId="0" xfId="0" applyNumberFormat="1" applyFont="1" applyFill="1" applyBorder="1" applyAlignment="1" applyProtection="1">
      <alignment horizontal="center" vertical="center"/>
    </xf>
    <xf numFmtId="169" fontId="9" fillId="0" borderId="35" xfId="0" applyNumberFormat="1" applyFont="1" applyFill="1" applyBorder="1" applyAlignment="1">
      <alignment vertical="center"/>
    </xf>
    <xf numFmtId="169" fontId="9" fillId="0" borderId="36" xfId="0" applyNumberFormat="1" applyFont="1" applyFill="1" applyBorder="1" applyAlignment="1" applyProtection="1">
      <alignment horizontal="centerContinuous"/>
    </xf>
    <xf numFmtId="169" fontId="9" fillId="0" borderId="12" xfId="0" applyNumberFormat="1" applyFont="1" applyFill="1" applyBorder="1" applyAlignment="1" applyProtection="1">
      <alignment horizontal="centerContinuous"/>
    </xf>
    <xf numFmtId="169" fontId="10" fillId="0" borderId="0" xfId="0" applyNumberFormat="1" applyFont="1" applyFill="1" applyBorder="1" applyAlignment="1" applyProtection="1">
      <alignment horizontal="centerContinuous" vertical="center"/>
    </xf>
    <xf numFmtId="169" fontId="10" fillId="0" borderId="4" xfId="0" applyNumberFormat="1" applyFont="1" applyFill="1" applyBorder="1" applyAlignment="1" applyProtection="1">
      <alignment horizontal="centerContinuous" vertical="center"/>
    </xf>
    <xf numFmtId="169" fontId="9" fillId="0" borderId="11" xfId="0" applyNumberFormat="1" applyFont="1" applyFill="1" applyBorder="1" applyAlignment="1" applyProtection="1">
      <alignment horizontal="centerContinuous" vertical="center"/>
    </xf>
    <xf numFmtId="169" fontId="9" fillId="0" borderId="3" xfId="0" applyNumberFormat="1" applyFont="1" applyFill="1" applyBorder="1" applyAlignment="1">
      <alignment horizontal="centerContinuous" vertical="center"/>
    </xf>
    <xf numFmtId="169" fontId="9" fillId="0" borderId="5" xfId="0" applyNumberFormat="1" applyFont="1" applyFill="1" applyBorder="1" applyAlignment="1" applyProtection="1">
      <alignment horizontal="centerContinuous" vertical="center"/>
    </xf>
    <xf numFmtId="169" fontId="9" fillId="0" borderId="6" xfId="0" applyNumberFormat="1" applyFont="1" applyFill="1" applyBorder="1" applyAlignment="1">
      <alignment horizontal="centerContinuous" vertical="center"/>
    </xf>
    <xf numFmtId="169" fontId="9" fillId="0" borderId="8" xfId="0" applyNumberFormat="1" applyFont="1" applyFill="1" applyBorder="1" applyAlignment="1">
      <alignment horizontal="centerContinuous" vertical="center"/>
    </xf>
    <xf numFmtId="169" fontId="9" fillId="0" borderId="4" xfId="0" applyNumberFormat="1" applyFont="1" applyFill="1" applyBorder="1" applyAlignment="1" applyProtection="1">
      <alignment horizontal="fill" vertical="center"/>
    </xf>
    <xf numFmtId="169" fontId="9" fillId="0" borderId="7" xfId="0" applyNumberFormat="1" applyFont="1" applyFill="1" applyBorder="1" applyAlignment="1">
      <alignment horizontal="center" vertical="center"/>
    </xf>
    <xf numFmtId="169" fontId="9" fillId="0" borderId="27" xfId="0" applyNumberFormat="1" applyFont="1" applyFill="1" applyBorder="1" applyAlignment="1">
      <alignment horizontal="center" vertical="center"/>
    </xf>
    <xf numFmtId="169" fontId="21" fillId="0" borderId="3" xfId="0" quotePrefix="1" applyNumberFormat="1" applyFont="1" applyFill="1" applyBorder="1" applyAlignment="1">
      <alignment wrapText="1"/>
    </xf>
    <xf numFmtId="169" fontId="21" fillId="0" borderId="3" xfId="0" quotePrefix="1" applyNumberFormat="1" applyFont="1" applyFill="1" applyBorder="1" applyAlignment="1">
      <alignment horizontal="left" wrapText="1"/>
    </xf>
    <xf numFmtId="169" fontId="9" fillId="0" borderId="0" xfId="0" applyNumberFormat="1" applyFont="1" applyFill="1" applyBorder="1" applyAlignment="1" applyProtection="1">
      <alignment horizontal="center" vertical="center"/>
    </xf>
    <xf numFmtId="169" fontId="21" fillId="0" borderId="3" xfId="0" quotePrefix="1" applyNumberFormat="1" applyFont="1" applyFill="1" applyBorder="1" applyAlignment="1">
      <alignment vertical="center" wrapText="1"/>
    </xf>
    <xf numFmtId="169" fontId="10" fillId="0" borderId="3" xfId="0" applyNumberFormat="1" applyFont="1" applyFill="1" applyBorder="1" applyAlignment="1" applyProtection="1">
      <alignment horizontal="left" vertical="center"/>
    </xf>
    <xf numFmtId="169" fontId="9" fillId="0" borderId="24" xfId="0" applyNumberFormat="1" applyFont="1" applyFill="1" applyBorder="1" applyAlignment="1">
      <alignment horizontal="center" vertical="center"/>
    </xf>
    <xf numFmtId="169" fontId="9" fillId="0" borderId="29" xfId="0" applyNumberFormat="1" applyFont="1" applyFill="1" applyBorder="1" applyAlignment="1" applyProtection="1">
      <alignment horizontal="left" vertical="center"/>
    </xf>
    <xf numFmtId="169" fontId="9" fillId="0" borderId="25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Alignment="1">
      <alignment horizontal="center" vertical="center"/>
    </xf>
    <xf numFmtId="169" fontId="7" fillId="0" borderId="0" xfId="0" applyNumberFormat="1" applyFont="1" applyFill="1" applyBorder="1" applyAlignment="1" applyProtection="1">
      <alignment horizontal="center" vertical="center"/>
    </xf>
    <xf numFmtId="169" fontId="7" fillId="0" borderId="0" xfId="0" applyNumberFormat="1" applyFont="1" applyFill="1" applyAlignment="1">
      <alignment vertical="center"/>
    </xf>
    <xf numFmtId="169" fontId="9" fillId="0" borderId="0" xfId="0" applyNumberFormat="1" applyFont="1" applyFill="1" applyAlignment="1">
      <alignment horizontal="center" vertical="center"/>
    </xf>
    <xf numFmtId="169" fontId="10" fillId="0" borderId="0" xfId="0" applyNumberFormat="1" applyFont="1" applyFill="1" applyBorder="1" applyAlignment="1">
      <alignment horizontal="center" vertical="center"/>
    </xf>
    <xf numFmtId="169" fontId="9" fillId="0" borderId="12" xfId="0" applyNumberFormat="1" applyFont="1" applyFill="1" applyBorder="1" applyAlignment="1">
      <alignment vertical="center"/>
    </xf>
    <xf numFmtId="169" fontId="10" fillId="0" borderId="1" xfId="0" applyNumberFormat="1" applyFont="1" applyFill="1" applyBorder="1" applyAlignment="1" applyProtection="1">
      <alignment horizontal="center" vertical="center"/>
    </xf>
    <xf numFmtId="169" fontId="9" fillId="0" borderId="3" xfId="0" applyNumberFormat="1" applyFont="1" applyFill="1" applyBorder="1" applyAlignment="1" applyProtection="1">
      <alignment horizontal="left" vertical="center"/>
    </xf>
    <xf numFmtId="169" fontId="9" fillId="0" borderId="25" xfId="0" applyNumberFormat="1" applyFont="1" applyFill="1" applyBorder="1" applyAlignment="1" applyProtection="1">
      <alignment vertical="center"/>
    </xf>
    <xf numFmtId="169" fontId="10" fillId="0" borderId="18" xfId="0" applyNumberFormat="1" applyFont="1" applyFill="1" applyBorder="1" applyAlignment="1" applyProtection="1">
      <alignment horizontal="right" vertical="center"/>
    </xf>
    <xf numFmtId="169" fontId="10" fillId="0" borderId="25" xfId="0" applyNumberFormat="1" applyFont="1" applyFill="1" applyBorder="1" applyAlignment="1" applyProtection="1">
      <alignment horizontal="right" vertical="center"/>
    </xf>
    <xf numFmtId="169" fontId="9" fillId="0" borderId="3" xfId="0" applyNumberFormat="1" applyFont="1" applyFill="1" applyBorder="1" applyAlignment="1">
      <alignment horizontal="center" vertical="center"/>
    </xf>
    <xf numFmtId="169" fontId="9" fillId="0" borderId="7" xfId="0" applyNumberFormat="1" applyFont="1" applyFill="1" applyBorder="1" applyAlignment="1" applyProtection="1">
      <alignment horizontal="center" vertical="center"/>
    </xf>
    <xf numFmtId="169" fontId="9" fillId="0" borderId="1" xfId="0" applyNumberFormat="1" applyFont="1" applyFill="1" applyBorder="1" applyAlignment="1">
      <alignment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horizontal="right" vertical="center"/>
    </xf>
    <xf numFmtId="169" fontId="9" fillId="0" borderId="3" xfId="0" quotePrefix="1" applyNumberFormat="1" applyFont="1" applyFill="1" applyBorder="1" applyAlignment="1" applyProtection="1">
      <alignment horizontal="left" vertical="center"/>
    </xf>
    <xf numFmtId="169" fontId="9" fillId="0" borderId="25" xfId="0" applyNumberFormat="1" applyFont="1" applyFill="1" applyBorder="1" applyAlignment="1">
      <alignment vertical="center"/>
    </xf>
    <xf numFmtId="169" fontId="9" fillId="0" borderId="0" xfId="0" quotePrefix="1" applyNumberFormat="1" applyFont="1" applyFill="1" applyBorder="1" applyAlignment="1" applyProtection="1">
      <alignment horizontal="left" vertical="center"/>
    </xf>
    <xf numFmtId="169" fontId="9" fillId="0" borderId="2" xfId="0" applyNumberFormat="1" applyFont="1" applyFill="1" applyBorder="1" applyAlignment="1">
      <alignment vertical="center"/>
    </xf>
    <xf numFmtId="169" fontId="9" fillId="0" borderId="20" xfId="0" applyNumberFormat="1" applyFont="1" applyFill="1" applyBorder="1" applyAlignment="1">
      <alignment horizontal="center" vertical="center"/>
    </xf>
    <xf numFmtId="169" fontId="9" fillId="0" borderId="24" xfId="0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>
      <alignment vertical="center"/>
    </xf>
    <xf numFmtId="190" fontId="10" fillId="0" borderId="0" xfId="2" applyNumberFormat="1" applyFont="1" applyFill="1" applyBorder="1" applyAlignment="1">
      <alignment wrapText="1"/>
    </xf>
    <xf numFmtId="0" fontId="10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173" fontId="15" fillId="0" borderId="33" xfId="2" applyNumberFormat="1" applyFont="1" applyFill="1" applyBorder="1" applyAlignment="1" applyProtection="1">
      <alignment horizontal="center"/>
    </xf>
    <xf numFmtId="173" fontId="15" fillId="0" borderId="10" xfId="2" applyNumberFormat="1" applyFont="1" applyFill="1" applyBorder="1" applyAlignment="1" applyProtection="1">
      <alignment horizontal="center"/>
    </xf>
    <xf numFmtId="173" fontId="16" fillId="0" borderId="1" xfId="2" applyNumberFormat="1" applyFont="1" applyFill="1" applyBorder="1" applyAlignment="1" applyProtection="1">
      <alignment horizontal="center"/>
    </xf>
    <xf numFmtId="173" fontId="15" fillId="0" borderId="1" xfId="2" applyNumberFormat="1" applyFont="1" applyFill="1" applyBorder="1" applyAlignment="1" applyProtection="1">
      <alignment horizont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173" fontId="9" fillId="0" borderId="4" xfId="0" applyNumberFormat="1" applyFont="1" applyFill="1" applyBorder="1"/>
    <xf numFmtId="173" fontId="9" fillId="0" borderId="11" xfId="0" applyNumberFormat="1" applyFont="1" applyFill="1" applyBorder="1" applyAlignment="1" applyProtection="1">
      <alignment horizontal="right" vertical="center"/>
    </xf>
    <xf numFmtId="173" fontId="9" fillId="0" borderId="5" xfId="0" applyNumberFormat="1" applyFont="1" applyFill="1" applyBorder="1" applyAlignment="1" applyProtection="1"/>
    <xf numFmtId="173" fontId="9" fillId="0" borderId="6" xfId="0" applyNumberFormat="1" applyFont="1" applyFill="1" applyBorder="1" applyAlignment="1" applyProtection="1"/>
    <xf numFmtId="173" fontId="10" fillId="0" borderId="8" xfId="0" applyNumberFormat="1" applyFont="1" applyFill="1" applyBorder="1" applyAlignment="1" applyProtection="1"/>
    <xf numFmtId="173" fontId="9" fillId="0" borderId="8" xfId="0" applyNumberFormat="1" applyFont="1" applyFill="1" applyBorder="1" applyAlignment="1" applyProtection="1"/>
    <xf numFmtId="173" fontId="9" fillId="0" borderId="21" xfId="0" applyNumberFormat="1" applyFont="1" applyFill="1" applyBorder="1" applyAlignment="1" applyProtection="1"/>
    <xf numFmtId="169" fontId="9" fillId="0" borderId="0" xfId="0" applyNumberFormat="1" applyFont="1" applyFill="1" applyBorder="1" applyAlignment="1" applyProtection="1">
      <alignment horizontal="right"/>
    </xf>
    <xf numFmtId="169" fontId="9" fillId="0" borderId="3" xfId="0" applyNumberFormat="1" applyFont="1" applyFill="1" applyBorder="1" applyAlignment="1" applyProtection="1">
      <alignment horizontal="right"/>
    </xf>
    <xf numFmtId="169" fontId="9" fillId="0" borderId="4" xfId="0" applyNumberFormat="1" applyFont="1" applyFill="1" applyBorder="1" applyAlignment="1" applyProtection="1">
      <alignment horizontal="right"/>
    </xf>
    <xf numFmtId="169" fontId="9" fillId="0" borderId="6" xfId="0" applyNumberFormat="1" applyFont="1" applyFill="1" applyBorder="1" applyAlignment="1" applyProtection="1">
      <alignment horizontal="right" vertical="top"/>
    </xf>
    <xf numFmtId="169" fontId="9" fillId="0" borderId="8" xfId="0" applyNumberFormat="1" applyFont="1" applyFill="1" applyBorder="1" applyAlignment="1" applyProtection="1">
      <alignment horizontal="right" vertical="top"/>
    </xf>
    <xf numFmtId="169" fontId="9" fillId="0" borderId="5" xfId="0" applyNumberFormat="1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centerContinuous" vertical="center"/>
    </xf>
    <xf numFmtId="0" fontId="9" fillId="0" borderId="0" xfId="0" applyFont="1" applyFill="1" applyAlignment="1" applyProtection="1">
      <alignment horizontal="fill"/>
    </xf>
    <xf numFmtId="0" fontId="9" fillId="0" borderId="0" xfId="0" applyFont="1" applyFill="1" applyAlignment="1" applyProtection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3" xfId="0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Continuous" vertical="center"/>
    </xf>
    <xf numFmtId="0" fontId="10" fillId="0" borderId="3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Continuous" vertical="center"/>
    </xf>
    <xf numFmtId="0" fontId="9" fillId="0" borderId="1" xfId="0" applyFont="1" applyFill="1" applyBorder="1" applyAlignment="1" applyProtection="1">
      <alignment horizontal="fill" vertical="center"/>
    </xf>
    <xf numFmtId="0" fontId="9" fillId="0" borderId="2" xfId="0" applyFont="1" applyFill="1" applyBorder="1" applyAlignment="1" applyProtection="1">
      <alignment horizontal="fill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Continuous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Continuous" vertical="center"/>
    </xf>
    <xf numFmtId="169" fontId="9" fillId="0" borderId="0" xfId="0" applyNumberFormat="1" applyFont="1" applyFill="1"/>
    <xf numFmtId="17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Continuous" vertical="center"/>
    </xf>
    <xf numFmtId="170" fontId="10" fillId="0" borderId="0" xfId="0" applyNumberFormat="1" applyFont="1" applyFill="1" applyAlignment="1">
      <alignment horizontal="centerContinuous" vertical="center"/>
    </xf>
    <xf numFmtId="0" fontId="9" fillId="0" borderId="12" xfId="0" applyFont="1" applyFill="1" applyBorder="1" applyAlignment="1">
      <alignment vertical="center"/>
    </xf>
    <xf numFmtId="170" fontId="9" fillId="0" borderId="12" xfId="0" applyNumberFormat="1" applyFont="1" applyFill="1" applyBorder="1" applyAlignment="1" applyProtection="1">
      <alignment horizontal="centerContinuous"/>
    </xf>
    <xf numFmtId="0" fontId="9" fillId="0" borderId="27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170" fontId="18" fillId="0" borderId="7" xfId="0" applyNumberFormat="1" applyFont="1" applyFill="1" applyBorder="1" applyAlignment="1">
      <alignment horizontal="centerContinuous" vertical="center"/>
    </xf>
    <xf numFmtId="0" fontId="19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0" fontId="9" fillId="0" borderId="9" xfId="0" applyNumberFormat="1" applyFont="1" applyFill="1" applyBorder="1" applyAlignment="1">
      <alignment horizontal="centerContinuous" vertical="center"/>
    </xf>
    <xf numFmtId="179" fontId="10" fillId="0" borderId="3" xfId="0" applyNumberFormat="1" applyFont="1" applyFill="1" applyBorder="1" applyAlignment="1" applyProtection="1">
      <alignment horizontal="right" vertical="center"/>
    </xf>
    <xf numFmtId="179" fontId="10" fillId="0" borderId="0" xfId="0" applyNumberFormat="1" applyFont="1" applyFill="1" applyBorder="1" applyAlignment="1" applyProtection="1">
      <alignment horizontal="right" vertical="center"/>
    </xf>
    <xf numFmtId="179" fontId="10" fillId="0" borderId="4" xfId="0" applyNumberFormat="1" applyFont="1" applyFill="1" applyBorder="1" applyAlignment="1" applyProtection="1">
      <alignment horizontal="right" vertical="center"/>
    </xf>
    <xf numFmtId="0" fontId="18" fillId="0" borderId="3" xfId="0" applyFont="1" applyFill="1" applyBorder="1" applyAlignment="1" applyProtection="1">
      <alignment horizontal="left" vertical="center"/>
    </xf>
    <xf numFmtId="179" fontId="9" fillId="0" borderId="3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179" fontId="9" fillId="0" borderId="4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left" vertical="center"/>
    </xf>
    <xf numFmtId="179" fontId="9" fillId="0" borderId="19" xfId="0" applyNumberFormat="1" applyFont="1" applyFill="1" applyBorder="1" applyAlignment="1">
      <alignment horizontal="right" vertical="center"/>
    </xf>
    <xf numFmtId="179" fontId="9" fillId="0" borderId="18" xfId="0" applyNumberFormat="1" applyFont="1" applyFill="1" applyBorder="1" applyAlignment="1">
      <alignment horizontal="right" vertical="center"/>
    </xf>
    <xf numFmtId="179" fontId="10" fillId="0" borderId="25" xfId="0" applyNumberFormat="1" applyFont="1" applyFill="1" applyBorder="1" applyAlignment="1" applyProtection="1">
      <alignment horizontal="right" vertical="center"/>
    </xf>
    <xf numFmtId="179" fontId="9" fillId="0" borderId="25" xfId="0" applyNumberFormat="1" applyFont="1" applyFill="1" applyBorder="1" applyAlignment="1">
      <alignment horizontal="right" vertical="center"/>
    </xf>
    <xf numFmtId="179" fontId="9" fillId="0" borderId="29" xfId="0" applyNumberFormat="1" applyFont="1" applyFill="1" applyBorder="1" applyAlignment="1">
      <alignment horizontal="right" vertical="center"/>
    </xf>
    <xf numFmtId="179" fontId="9" fillId="0" borderId="18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centerContinuous" vertical="center"/>
    </xf>
    <xf numFmtId="179" fontId="9" fillId="0" borderId="0" xfId="0" quotePrefix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79" fontId="10" fillId="0" borderId="1" xfId="0" applyNumberFormat="1" applyFont="1" applyFill="1" applyBorder="1" applyAlignment="1">
      <alignment vertical="center"/>
    </xf>
    <xf numFmtId="179" fontId="9" fillId="0" borderId="10" xfId="0" applyNumberFormat="1" applyFont="1" applyFill="1" applyBorder="1" applyAlignment="1">
      <alignment vertical="center"/>
    </xf>
    <xf numFmtId="179" fontId="9" fillId="0" borderId="2" xfId="0" applyNumberFormat="1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centerContinuous" vertical="center"/>
    </xf>
    <xf numFmtId="179" fontId="9" fillId="0" borderId="10" xfId="0" applyNumberFormat="1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179" fontId="9" fillId="0" borderId="4" xfId="0" applyNumberFormat="1" applyFont="1" applyFill="1" applyBorder="1" applyAlignment="1" applyProtection="1">
      <alignment horizontal="right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vertical="center"/>
    </xf>
    <xf numFmtId="179" fontId="9" fillId="0" borderId="25" xfId="0" applyNumberFormat="1" applyFont="1" applyFill="1" applyBorder="1" applyAlignment="1">
      <alignment vertical="center"/>
    </xf>
    <xf numFmtId="179" fontId="9" fillId="0" borderId="19" xfId="0" applyNumberFormat="1" applyFont="1" applyFill="1" applyBorder="1" applyAlignment="1">
      <alignment vertical="center"/>
    </xf>
    <xf numFmtId="179" fontId="9" fillId="0" borderId="29" xfId="0" applyNumberFormat="1" applyFont="1" applyFill="1" applyBorder="1" applyAlignment="1">
      <alignment vertical="center"/>
    </xf>
    <xf numFmtId="179" fontId="9" fillId="0" borderId="0" xfId="0" applyNumberFormat="1" applyFont="1" applyFill="1" applyAlignment="1">
      <alignment horizontal="centerContinuous" vertical="center"/>
    </xf>
    <xf numFmtId="0" fontId="18" fillId="0" borderId="0" xfId="0" applyFont="1" applyFill="1" applyAlignment="1">
      <alignment horizontal="centerContinuous" vertical="center"/>
    </xf>
    <xf numFmtId="179" fontId="10" fillId="0" borderId="0" xfId="0" applyNumberFormat="1" applyFont="1" applyFill="1" applyBorder="1" applyAlignment="1" applyProtection="1">
      <alignment horizontal="centerContinuous" vertical="center"/>
    </xf>
    <xf numFmtId="0" fontId="18" fillId="0" borderId="3" xfId="0" applyFont="1" applyFill="1" applyBorder="1" applyAlignment="1">
      <alignment horizontal="centerContinuous" vertical="center"/>
    </xf>
    <xf numFmtId="179" fontId="10" fillId="0" borderId="3" xfId="0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 applyProtection="1">
      <alignment horizontal="right" vertical="center"/>
    </xf>
    <xf numFmtId="179" fontId="9" fillId="0" borderId="3" xfId="0" applyNumberFormat="1" applyFont="1" applyFill="1" applyBorder="1" applyAlignment="1" applyProtection="1">
      <alignment horizontal="right" vertical="center"/>
    </xf>
    <xf numFmtId="179" fontId="9" fillId="0" borderId="0" xfId="1" applyNumberFormat="1" applyFont="1" applyFill="1" applyBorder="1" applyAlignment="1" applyProtection="1">
      <alignment horizontal="right" vertical="center"/>
    </xf>
    <xf numFmtId="0" fontId="9" fillId="0" borderId="24" xfId="0" applyFont="1" applyFill="1" applyBorder="1" applyAlignment="1" applyProtection="1">
      <alignment horizontal="center" vertical="center"/>
    </xf>
    <xf numFmtId="0" fontId="18" fillId="0" borderId="25" xfId="0" applyFont="1" applyFill="1" applyBorder="1" applyAlignment="1">
      <alignment vertical="center"/>
    </xf>
    <xf numFmtId="179" fontId="9" fillId="0" borderId="18" xfId="1" applyNumberFormat="1" applyFont="1" applyFill="1" applyBorder="1" applyAlignment="1" applyProtection="1">
      <alignment horizontal="right" vertical="center"/>
    </xf>
    <xf numFmtId="179" fontId="9" fillId="0" borderId="25" xfId="1" applyNumberFormat="1" applyFont="1" applyFill="1" applyBorder="1" applyAlignment="1" applyProtection="1">
      <alignment horizontal="right" vertical="center"/>
    </xf>
    <xf numFmtId="179" fontId="9" fillId="0" borderId="19" xfId="1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left" vertical="center"/>
    </xf>
    <xf numFmtId="18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Continuous" vertical="center"/>
    </xf>
    <xf numFmtId="0" fontId="9" fillId="0" borderId="9" xfId="0" applyFont="1" applyFill="1" applyBorder="1" applyAlignment="1">
      <alignment vertical="center"/>
    </xf>
    <xf numFmtId="175" fontId="9" fillId="0" borderId="0" xfId="0" applyNumberFormat="1" applyFont="1" applyFill="1" applyBorder="1" applyAlignment="1" applyProtection="1">
      <alignment horizontal="right" vertical="center"/>
    </xf>
    <xf numFmtId="169" fontId="9" fillId="0" borderId="43" xfId="0" applyNumberFormat="1" applyFont="1" applyFill="1" applyBorder="1" applyAlignment="1" applyProtection="1">
      <alignment horizontal="centerContinuous"/>
    </xf>
    <xf numFmtId="169" fontId="9" fillId="0" borderId="4" xfId="0" applyNumberFormat="1" applyFont="1" applyFill="1" applyBorder="1" applyAlignment="1" applyProtection="1">
      <alignment horizontal="centerContinuous" vertical="center"/>
    </xf>
    <xf numFmtId="0" fontId="9" fillId="0" borderId="22" xfId="0" applyFont="1" applyFill="1" applyBorder="1" applyAlignment="1" applyProtection="1">
      <alignment horizontal="centerContinuous" vertical="center"/>
    </xf>
    <xf numFmtId="0" fontId="9" fillId="0" borderId="33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9" fillId="0" borderId="7" xfId="0" applyFont="1" applyFill="1" applyBorder="1" applyAlignment="1" applyProtection="1">
      <alignment horizontal="centerContinuous" vertical="center"/>
    </xf>
    <xf numFmtId="0" fontId="9" fillId="0" borderId="5" xfId="0" applyFont="1" applyFill="1" applyBorder="1" applyAlignment="1" applyProtection="1">
      <alignment horizontal="fill" vertical="center"/>
    </xf>
    <xf numFmtId="0" fontId="9" fillId="0" borderId="5" xfId="0" applyFont="1" applyFill="1" applyBorder="1" applyAlignment="1">
      <alignment vertical="center"/>
    </xf>
    <xf numFmtId="169" fontId="9" fillId="0" borderId="7" xfId="0" applyNumberFormat="1" applyFont="1" applyFill="1" applyBorder="1" applyAlignment="1" applyProtection="1">
      <alignment horizontal="centerContinuous" vertical="center"/>
    </xf>
    <xf numFmtId="169" fontId="9" fillId="0" borderId="8" xfId="0" applyNumberFormat="1" applyFont="1" applyFill="1" applyBorder="1" applyAlignment="1" applyProtection="1">
      <alignment horizontal="centerContinuous" vertical="center"/>
    </xf>
    <xf numFmtId="0" fontId="9" fillId="0" borderId="8" xfId="0" applyFont="1" applyFill="1" applyBorder="1" applyAlignment="1" applyProtection="1">
      <alignment horizontal="fill" vertical="center"/>
    </xf>
    <xf numFmtId="0" fontId="5" fillId="0" borderId="0" xfId="0" applyFont="1" applyFill="1" applyBorder="1" applyAlignment="1">
      <alignment horizontal="centerContinuous" vertical="center"/>
    </xf>
    <xf numFmtId="170" fontId="5" fillId="0" borderId="0" xfId="0" applyNumberFormat="1" applyFont="1" applyFill="1" applyBorder="1" applyAlignment="1">
      <alignment horizontal="centerContinuous" vertical="center"/>
    </xf>
    <xf numFmtId="0" fontId="4" fillId="0" borderId="0" xfId="0" quotePrefix="1" applyFont="1" applyFill="1" applyAlignment="1">
      <alignment horizontal="center" vertical="center"/>
    </xf>
    <xf numFmtId="170" fontId="4" fillId="0" borderId="0" xfId="0" quotePrefix="1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 applyProtection="1">
      <alignment horizontal="centerContinuous" vertical="center"/>
    </xf>
    <xf numFmtId="0" fontId="9" fillId="0" borderId="31" xfId="0" applyFont="1" applyFill="1" applyBorder="1" applyAlignment="1">
      <alignment horizontal="centerContinuous" vertical="center"/>
    </xf>
    <xf numFmtId="0" fontId="9" fillId="0" borderId="3" xfId="0" applyFont="1" applyFill="1" applyBorder="1" applyAlignment="1" applyProtection="1">
      <alignment horizontal="fill" vertical="center"/>
    </xf>
    <xf numFmtId="171" fontId="9" fillId="0" borderId="3" xfId="0" applyNumberFormat="1" applyFont="1" applyFill="1" applyBorder="1" applyAlignment="1">
      <alignment horizontal="right"/>
    </xf>
    <xf numFmtId="0" fontId="10" fillId="0" borderId="11" xfId="0" applyFont="1" applyFill="1" applyBorder="1" applyAlignment="1" applyProtection="1">
      <alignment horizontal="fill"/>
    </xf>
    <xf numFmtId="171" fontId="10" fillId="0" borderId="5" xfId="0" applyNumberFormat="1" applyFont="1" applyFill="1" applyBorder="1" applyAlignment="1" applyProtection="1">
      <alignment vertical="center"/>
    </xf>
    <xf numFmtId="171" fontId="10" fillId="0" borderId="22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horizontal="right"/>
    </xf>
    <xf numFmtId="183" fontId="7" fillId="0" borderId="18" xfId="0" applyNumberFormat="1" applyFont="1" applyFill="1" applyBorder="1" applyAlignment="1" applyProtection="1">
      <alignment horizontal="right"/>
    </xf>
    <xf numFmtId="173" fontId="9" fillId="0" borderId="0" xfId="0" applyNumberFormat="1" applyFont="1" applyFill="1" applyBorder="1" applyAlignment="1" applyProtection="1">
      <alignment horizontal="right"/>
    </xf>
    <xf numFmtId="173" fontId="10" fillId="0" borderId="28" xfId="0" applyNumberFormat="1" applyFont="1" applyFill="1" applyBorder="1" applyAlignment="1">
      <alignment horizontal="right" vertical="center"/>
    </xf>
    <xf numFmtId="173" fontId="15" fillId="0" borderId="0" xfId="0" quotePrefix="1" applyNumberFormat="1" applyFont="1" applyAlignment="1">
      <alignment horizontal="right" vertical="center"/>
    </xf>
    <xf numFmtId="49" fontId="36" fillId="0" borderId="0" xfId="0" applyNumberFormat="1" applyFont="1" applyFill="1" applyAlignment="1">
      <alignment horizontal="right"/>
    </xf>
    <xf numFmtId="185" fontId="10" fillId="0" borderId="0" xfId="0" applyNumberFormat="1" applyFont="1" applyFill="1" applyBorder="1" applyAlignment="1" applyProtection="1">
      <alignment horizontal="center" vertical="center"/>
    </xf>
    <xf numFmtId="173" fontId="9" fillId="0" borderId="32" xfId="0" applyNumberFormat="1" applyFont="1" applyFill="1" applyBorder="1" applyAlignment="1"/>
    <xf numFmtId="0" fontId="10" fillId="0" borderId="22" xfId="0" applyFont="1" applyFill="1" applyBorder="1"/>
    <xf numFmtId="0" fontId="9" fillId="0" borderId="22" xfId="0" applyFont="1" applyFill="1" applyBorder="1" applyAlignment="1" applyProtection="1">
      <alignment horizontal="center"/>
    </xf>
    <xf numFmtId="49" fontId="9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right"/>
    </xf>
    <xf numFmtId="0" fontId="10" fillId="0" borderId="33" xfId="0" applyFont="1" applyFill="1" applyBorder="1" applyAlignment="1">
      <alignment horizontal="centerContinuous"/>
    </xf>
    <xf numFmtId="0" fontId="9" fillId="0" borderId="31" xfId="0" applyFont="1" applyFill="1" applyBorder="1"/>
    <xf numFmtId="0" fontId="9" fillId="0" borderId="6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169" fontId="9" fillId="0" borderId="28" xfId="0" applyNumberFormat="1" applyFont="1" applyFill="1" applyBorder="1" applyAlignment="1" applyProtection="1">
      <alignment horizontal="right"/>
    </xf>
    <xf numFmtId="0" fontId="10" fillId="0" borderId="4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/>
    </xf>
    <xf numFmtId="0" fontId="23" fillId="0" borderId="4" xfId="0" applyFont="1" applyFill="1" applyBorder="1" applyAlignment="1" applyProtection="1">
      <alignment horizontal="center"/>
    </xf>
    <xf numFmtId="169" fontId="9" fillId="0" borderId="33" xfId="0" applyNumberFormat="1" applyFont="1" applyFill="1" applyBorder="1" applyAlignment="1" applyProtection="1">
      <alignment horizontal="fill" vertical="center"/>
    </xf>
    <xf numFmtId="0" fontId="10" fillId="0" borderId="28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169" fontId="9" fillId="0" borderId="8" xfId="0" applyNumberFormat="1" applyFont="1" applyFill="1" applyBorder="1" applyAlignment="1">
      <alignment vertical="center"/>
    </xf>
    <xf numFmtId="169" fontId="9" fillId="0" borderId="31" xfId="0" applyNumberFormat="1" applyFont="1" applyFill="1" applyBorder="1" applyAlignment="1">
      <alignment vertical="center"/>
    </xf>
    <xf numFmtId="169" fontId="9" fillId="0" borderId="1" xfId="0" applyNumberFormat="1" applyFont="1" applyFill="1" applyBorder="1" applyAlignment="1" applyProtection="1">
      <alignment horizontal="center" vertical="center"/>
    </xf>
    <xf numFmtId="169" fontId="10" fillId="0" borderId="7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Continuous" vertical="center"/>
    </xf>
    <xf numFmtId="169" fontId="9" fillId="0" borderId="2" xfId="0" applyNumberFormat="1" applyFont="1" applyFill="1" applyBorder="1" applyAlignment="1" applyProtection="1"/>
    <xf numFmtId="169" fontId="9" fillId="0" borderId="0" xfId="0" applyNumberFormat="1" applyFont="1" applyFill="1" applyBorder="1" applyAlignment="1" applyProtection="1"/>
    <xf numFmtId="169" fontId="9" fillId="0" borderId="4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center"/>
    </xf>
    <xf numFmtId="169" fontId="10" fillId="0" borderId="4" xfId="0" applyNumberFormat="1" applyFont="1" applyFill="1" applyBorder="1" applyAlignment="1" applyProtection="1">
      <alignment horizontal="right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179" fontId="9" fillId="0" borderId="19" xfId="0" applyNumberFormat="1" applyFont="1" applyFill="1" applyBorder="1" applyAlignment="1">
      <alignment horizontal="center" vertical="center"/>
    </xf>
    <xf numFmtId="179" fontId="10" fillId="0" borderId="9" xfId="0" applyNumberFormat="1" applyFont="1" applyFill="1" applyBorder="1" applyAlignment="1">
      <alignment vertical="center"/>
    </xf>
    <xf numFmtId="179" fontId="10" fillId="0" borderId="29" xfId="1" applyNumberFormat="1" applyFont="1" applyFill="1" applyBorder="1" applyAlignment="1" applyProtection="1">
      <alignment horizontal="right" vertical="center"/>
    </xf>
    <xf numFmtId="179" fontId="10" fillId="0" borderId="3" xfId="0" applyNumberFormat="1" applyFont="1" applyFill="1" applyBorder="1" applyAlignment="1">
      <alignment horizontal="right" vertical="center"/>
    </xf>
    <xf numFmtId="169" fontId="10" fillId="0" borderId="11" xfId="0" applyNumberFormat="1" applyFont="1" applyFill="1" applyBorder="1" applyAlignment="1" applyProtection="1">
      <alignment horizontal="right"/>
    </xf>
    <xf numFmtId="169" fontId="10" fillId="0" borderId="28" xfId="0" applyNumberFormat="1" applyFont="1" applyFill="1" applyBorder="1" applyAlignment="1" applyProtection="1">
      <alignment horizontal="right"/>
    </xf>
    <xf numFmtId="169" fontId="10" fillId="0" borderId="0" xfId="0" applyNumberFormat="1" applyFont="1" applyFill="1" applyBorder="1" applyAlignment="1" applyProtection="1">
      <alignment horizontal="right"/>
    </xf>
    <xf numFmtId="175" fontId="16" fillId="0" borderId="0" xfId="0" applyNumberFormat="1" applyFont="1" applyFill="1" applyBorder="1" applyAlignment="1" applyProtection="1">
      <alignment horizontal="right" vertical="center"/>
    </xf>
    <xf numFmtId="189" fontId="10" fillId="0" borderId="0" xfId="0" applyNumberFormat="1" applyFont="1" applyFill="1" applyBorder="1" applyAlignment="1" applyProtection="1">
      <alignment horizontal="right" vertical="center"/>
    </xf>
    <xf numFmtId="173" fontId="9" fillId="0" borderId="4" xfId="0" applyNumberFormat="1" applyFont="1" applyFill="1" applyBorder="1" applyAlignment="1" applyProtection="1">
      <alignment horizontal="right"/>
    </xf>
    <xf numFmtId="173" fontId="9" fillId="0" borderId="11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/>
    </xf>
    <xf numFmtId="173" fontId="16" fillId="0" borderId="0" xfId="0" applyNumberFormat="1" applyFont="1" applyFill="1" applyBorder="1" applyAlignment="1" applyProtection="1">
      <alignment horizontal="right" vertical="center"/>
    </xf>
    <xf numFmtId="173" fontId="16" fillId="0" borderId="0" xfId="0" applyNumberFormat="1" applyFont="1" applyFill="1" applyBorder="1" applyAlignment="1" applyProtection="1">
      <alignment horizontal="center" vertical="center"/>
    </xf>
    <xf numFmtId="181" fontId="29" fillId="0" borderId="0" xfId="0" applyNumberFormat="1" applyFont="1" applyFill="1" applyBorder="1" applyAlignment="1">
      <alignment vertical="center"/>
    </xf>
    <xf numFmtId="171" fontId="10" fillId="0" borderId="0" xfId="0" applyNumberFormat="1" applyFont="1" applyFill="1" applyBorder="1" applyAlignment="1">
      <alignment horizontal="right" vertical="center"/>
    </xf>
    <xf numFmtId="173" fontId="10" fillId="0" borderId="40" xfId="0" applyNumberFormat="1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/>
    <xf numFmtId="0" fontId="9" fillId="0" borderId="4" xfId="0" applyFont="1" applyFill="1" applyBorder="1" applyAlignment="1" applyProtection="1">
      <alignment horizontal="left"/>
    </xf>
    <xf numFmtId="176" fontId="9" fillId="0" borderId="4" xfId="0" applyNumberFormat="1" applyFont="1" applyFill="1" applyBorder="1" applyAlignment="1"/>
    <xf numFmtId="176" fontId="9" fillId="0" borderId="22" xfId="0" applyNumberFormat="1" applyFont="1" applyFill="1" applyBorder="1" applyAlignment="1"/>
    <xf numFmtId="0" fontId="9" fillId="0" borderId="0" xfId="0" applyFont="1" applyFill="1" applyAlignment="1"/>
    <xf numFmtId="0" fontId="9" fillId="0" borderId="3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left" vertical="center"/>
    </xf>
    <xf numFmtId="176" fontId="9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6" fontId="13" fillId="0" borderId="0" xfId="0" applyNumberFormat="1" applyFont="1" applyFill="1" applyBorder="1" applyAlignment="1" applyProtection="1">
      <alignment horizontal="left" vertical="center"/>
    </xf>
    <xf numFmtId="0" fontId="9" fillId="0" borderId="46" xfId="0" applyFont="1" applyFill="1" applyBorder="1" applyAlignment="1"/>
    <xf numFmtId="0" fontId="10" fillId="0" borderId="34" xfId="0" applyFont="1" applyFill="1" applyBorder="1" applyAlignment="1" applyProtection="1">
      <alignment horizontal="center"/>
    </xf>
    <xf numFmtId="0" fontId="10" fillId="0" borderId="47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/>
    <xf numFmtId="0" fontId="10" fillId="0" borderId="4" xfId="0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left" vertical="top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41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centerContinuous" vertical="center"/>
    </xf>
    <xf numFmtId="0" fontId="10" fillId="0" borderId="4" xfId="0" applyFont="1" applyFill="1" applyBorder="1" applyAlignment="1">
      <alignment horizontal="centerContinuous" vertical="center"/>
    </xf>
    <xf numFmtId="0" fontId="10" fillId="0" borderId="2" xfId="0" applyFont="1" applyFill="1" applyBorder="1" applyAlignment="1" applyProtection="1">
      <alignment horizontal="left"/>
    </xf>
    <xf numFmtId="169" fontId="18" fillId="0" borderId="43" xfId="0" applyNumberFormat="1" applyFont="1" applyFill="1" applyBorder="1" applyAlignment="1">
      <alignment vertical="center"/>
    </xf>
    <xf numFmtId="169" fontId="18" fillId="0" borderId="4" xfId="0" applyNumberFormat="1" applyFont="1" applyFill="1" applyBorder="1" applyAlignment="1">
      <alignment vertical="center"/>
    </xf>
    <xf numFmtId="164" fontId="9" fillId="0" borderId="20" xfId="3" applyFont="1" applyFill="1" applyBorder="1" applyAlignment="1">
      <alignment horizontal="center" vertical="center"/>
    </xf>
    <xf numFmtId="0" fontId="9" fillId="0" borderId="0" xfId="2" applyFont="1" applyFill="1"/>
    <xf numFmtId="169" fontId="9" fillId="0" borderId="0" xfId="2" applyNumberFormat="1" applyFont="1" applyFill="1"/>
    <xf numFmtId="169" fontId="9" fillId="0" borderId="0" xfId="2" applyNumberFormat="1" applyFont="1" applyFill="1" applyBorder="1" applyAlignment="1" applyProtection="1">
      <alignment horizontal="right" vertical="center"/>
    </xf>
    <xf numFmtId="0" fontId="9" fillId="0" borderId="0" xfId="2" applyFont="1" applyFill="1" applyBorder="1" applyAlignment="1"/>
    <xf numFmtId="172" fontId="9" fillId="0" borderId="0" xfId="2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0" fontId="10" fillId="0" borderId="47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>
      <alignment vertical="top"/>
    </xf>
    <xf numFmtId="0" fontId="9" fillId="0" borderId="0" xfId="2" applyFont="1" applyFill="1" applyAlignment="1">
      <alignment vertical="top"/>
    </xf>
    <xf numFmtId="0" fontId="10" fillId="0" borderId="34" xfId="2" applyFont="1" applyFill="1" applyBorder="1" applyAlignment="1" applyProtection="1">
      <alignment horizontal="center" vertical="center"/>
    </xf>
    <xf numFmtId="0" fontId="9" fillId="0" borderId="31" xfId="2" applyFont="1" applyFill="1" applyBorder="1" applyAlignment="1">
      <alignment horizontal="centerContinuous" vertical="center"/>
    </xf>
    <xf numFmtId="0" fontId="9" fillId="0" borderId="7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centerContinuous" vertical="center"/>
    </xf>
    <xf numFmtId="0" fontId="9" fillId="0" borderId="3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vertical="center"/>
    </xf>
    <xf numFmtId="0" fontId="9" fillId="0" borderId="7" xfId="2" applyFont="1" applyFill="1" applyBorder="1" applyAlignment="1">
      <alignment horizontal="centerContinuous" vertical="center"/>
    </xf>
    <xf numFmtId="0" fontId="10" fillId="0" borderId="4" xfId="2" applyFont="1" applyFill="1" applyBorder="1" applyAlignment="1">
      <alignment horizontal="centerContinuous" vertical="center"/>
    </xf>
    <xf numFmtId="0" fontId="9" fillId="0" borderId="22" xfId="2" applyFont="1" applyFill="1" applyBorder="1" applyAlignment="1" applyProtection="1">
      <alignment horizontal="centerContinuous" vertical="center"/>
    </xf>
    <xf numFmtId="0" fontId="9" fillId="0" borderId="4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Continuous" vertical="center"/>
    </xf>
    <xf numFmtId="0" fontId="9" fillId="0" borderId="3" xfId="2" applyFont="1" applyFill="1" applyBorder="1" applyAlignment="1" applyProtection="1">
      <alignment horizontal="centerContinuous" vertical="center"/>
    </xf>
    <xf numFmtId="0" fontId="9" fillId="0" borderId="3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 applyProtection="1">
      <alignment horizontal="centerContinuous" vertical="center"/>
    </xf>
    <xf numFmtId="0" fontId="9" fillId="0" borderId="2" xfId="2" applyFont="1" applyFill="1" applyBorder="1" applyAlignment="1" applyProtection="1">
      <alignment horizontal="fill" vertical="center"/>
    </xf>
    <xf numFmtId="0" fontId="9" fillId="0" borderId="1" xfId="2" applyFont="1" applyFill="1" applyBorder="1" applyAlignment="1" applyProtection="1">
      <alignment horizontal="fill" vertical="center"/>
    </xf>
    <xf numFmtId="0" fontId="9" fillId="0" borderId="22" xfId="2" applyFont="1" applyFill="1" applyBorder="1" applyAlignment="1">
      <alignment horizontal="centerContinuous" vertical="center"/>
    </xf>
    <xf numFmtId="0" fontId="9" fillId="0" borderId="4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Continuous" vertical="center"/>
    </xf>
    <xf numFmtId="0" fontId="9" fillId="0" borderId="6" xfId="2" applyFont="1" applyFill="1" applyBorder="1" applyAlignment="1">
      <alignment horizontal="centerContinuous" vertical="center"/>
    </xf>
    <xf numFmtId="0" fontId="9" fillId="0" borderId="5" xfId="2" applyFont="1" applyFill="1" applyBorder="1" applyAlignment="1" applyProtection="1">
      <alignment horizontal="centerContinuous" vertical="center"/>
    </xf>
    <xf numFmtId="0" fontId="9" fillId="0" borderId="3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Continuous" vertical="center"/>
    </xf>
    <xf numFmtId="0" fontId="9" fillId="0" borderId="1" xfId="2" applyFont="1" applyFill="1" applyBorder="1" applyAlignment="1">
      <alignment horizontal="centerContinuous" vertical="center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2" xfId="2" applyFont="1" applyFill="1" applyBorder="1" applyAlignment="1" applyProtection="1">
      <alignment horizontal="centerContinuous"/>
    </xf>
    <xf numFmtId="0" fontId="9" fillId="0" borderId="0" xfId="2" applyFont="1" applyFill="1" applyAlignment="1" applyProtection="1">
      <alignment horizontal="fill"/>
    </xf>
    <xf numFmtId="0" fontId="9" fillId="0" borderId="0" xfId="2" applyFont="1" applyFill="1" applyAlignment="1" applyProtection="1">
      <alignment vertical="center"/>
    </xf>
    <xf numFmtId="0" fontId="9" fillId="0" borderId="0" xfId="2" applyFont="1" applyFill="1" applyAlignment="1">
      <alignment horizontal="centerContinuous"/>
    </xf>
    <xf numFmtId="0" fontId="9" fillId="0" borderId="0" xfId="2" applyFont="1" applyFill="1" applyAlignment="1">
      <alignment horizontal="centerContinuous" vertical="center"/>
    </xf>
    <xf numFmtId="0" fontId="9" fillId="0" borderId="0" xfId="2" applyFont="1" applyFill="1" applyAlignment="1" applyProtection="1">
      <alignment horizontal="centerContinuous"/>
    </xf>
    <xf numFmtId="49" fontId="9" fillId="0" borderId="0" xfId="2" applyNumberFormat="1" applyFont="1" applyFill="1" applyAlignment="1">
      <alignment horizontal="right"/>
    </xf>
    <xf numFmtId="0" fontId="10" fillId="0" borderId="0" xfId="2" applyFont="1" applyFill="1" applyBorder="1" applyAlignment="1">
      <alignment horizontal="centerContinuous" vertical="center"/>
    </xf>
    <xf numFmtId="0" fontId="9" fillId="0" borderId="0" xfId="2" quotePrefix="1" applyFont="1" applyFill="1" applyAlignment="1">
      <alignment horizontal="center" vertical="center"/>
    </xf>
    <xf numFmtId="170" fontId="10" fillId="0" borderId="0" xfId="2" applyNumberFormat="1" applyFont="1" applyFill="1" applyBorder="1" applyAlignment="1">
      <alignment horizontal="centerContinuous" vertical="center"/>
    </xf>
    <xf numFmtId="0" fontId="9" fillId="0" borderId="0" xfId="2" applyFont="1" applyFill="1" applyBorder="1" applyAlignment="1">
      <alignment horizontal="centerContinuous" vertical="center"/>
    </xf>
    <xf numFmtId="0" fontId="9" fillId="0" borderId="0" xfId="2" applyFont="1" applyFill="1" applyBorder="1" applyAlignment="1" applyProtection="1">
      <alignment horizontal="left" vertical="center"/>
    </xf>
    <xf numFmtId="0" fontId="28" fillId="0" borderId="0" xfId="2" applyFont="1" applyFill="1"/>
    <xf numFmtId="0" fontId="10" fillId="0" borderId="2" xfId="0" applyFont="1" applyFill="1" applyBorder="1" applyAlignment="1">
      <alignment horizontal="centerContinuous" vertical="center"/>
    </xf>
    <xf numFmtId="0" fontId="10" fillId="0" borderId="34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centerContinuous" vertical="center"/>
    </xf>
    <xf numFmtId="0" fontId="10" fillId="0" borderId="41" xfId="0" applyFont="1" applyFill="1" applyBorder="1" applyAlignment="1" applyProtection="1">
      <alignment horizontal="left"/>
    </xf>
    <xf numFmtId="171" fontId="9" fillId="0" borderId="4" xfId="0" applyNumberFormat="1" applyFont="1" applyFill="1" applyBorder="1" applyAlignment="1">
      <alignment horizontal="right"/>
    </xf>
    <xf numFmtId="0" fontId="15" fillId="0" borderId="2" xfId="2" applyFont="1" applyFill="1" applyBorder="1" applyAlignment="1" applyProtection="1">
      <alignment horizontal="center"/>
    </xf>
    <xf numFmtId="0" fontId="15" fillId="0" borderId="8" xfId="2" quotePrefix="1" applyFont="1" applyFill="1" applyBorder="1"/>
    <xf numFmtId="0" fontId="16" fillId="0" borderId="4" xfId="2" applyFont="1" applyFill="1" applyBorder="1" applyAlignment="1" applyProtection="1">
      <alignment horizontal="left" vertical="center"/>
    </xf>
    <xf numFmtId="179" fontId="9" fillId="0" borderId="35" xfId="0" applyNumberFormat="1" applyFont="1" applyFill="1" applyBorder="1" applyAlignment="1">
      <alignment vertical="center"/>
    </xf>
    <xf numFmtId="173" fontId="7" fillId="0" borderId="0" xfId="0" applyNumberFormat="1" applyFont="1" applyFill="1" applyAlignment="1">
      <alignment vertical="center"/>
    </xf>
    <xf numFmtId="173" fontId="9" fillId="0" borderId="0" xfId="0" applyNumberFormat="1" applyFont="1" applyFill="1"/>
    <xf numFmtId="169" fontId="9" fillId="0" borderId="19" xfId="0" applyNumberFormat="1" applyFont="1" applyFill="1" applyBorder="1" applyAlignment="1" applyProtection="1">
      <alignment horizontal="left" vertical="center"/>
    </xf>
    <xf numFmtId="169" fontId="10" fillId="0" borderId="2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Continuous" vertical="center"/>
    </xf>
    <xf numFmtId="0" fontId="36" fillId="0" borderId="0" xfId="0" applyFont="1" applyFill="1" applyAlignment="1">
      <alignment vertical="center"/>
    </xf>
    <xf numFmtId="169" fontId="38" fillId="0" borderId="0" xfId="0" applyNumberFormat="1" applyFont="1" applyFill="1" applyBorder="1" applyAlignment="1" applyProtection="1">
      <alignment horizontal="centerContinuous"/>
    </xf>
    <xf numFmtId="0" fontId="9" fillId="0" borderId="4" xfId="2" quotePrefix="1" applyFont="1" applyFill="1" applyBorder="1" applyAlignment="1">
      <alignment vertical="center"/>
    </xf>
    <xf numFmtId="190" fontId="9" fillId="0" borderId="4" xfId="2" applyNumberFormat="1" applyFont="1" applyFill="1" applyBorder="1" applyAlignment="1">
      <alignment wrapText="1"/>
    </xf>
    <xf numFmtId="0" fontId="9" fillId="0" borderId="4" xfId="2" applyFont="1" applyFill="1" applyBorder="1"/>
    <xf numFmtId="191" fontId="9" fillId="0" borderId="3" xfId="2" applyNumberFormat="1" applyFont="1" applyFill="1" applyBorder="1" applyAlignment="1" applyProtection="1"/>
    <xf numFmtId="173" fontId="9" fillId="0" borderId="22" xfId="0" applyNumberFormat="1" applyFont="1" applyFill="1" applyBorder="1" applyAlignment="1" applyProtection="1">
      <alignment horizontal="right"/>
    </xf>
    <xf numFmtId="191" fontId="9" fillId="0" borderId="0" xfId="2" applyNumberFormat="1" applyFont="1" applyFill="1" applyBorder="1" applyAlignment="1" applyProtection="1"/>
    <xf numFmtId="185" fontId="9" fillId="0" borderId="3" xfId="0" applyNumberFormat="1" applyFont="1" applyFill="1" applyBorder="1" applyAlignment="1" applyProtection="1">
      <alignment horizontal="center" vertical="center"/>
    </xf>
    <xf numFmtId="169" fontId="9" fillId="0" borderId="3" xfId="0" applyNumberFormat="1" applyFont="1" applyFill="1" applyBorder="1" applyAlignment="1" applyProtection="1"/>
    <xf numFmtId="169" fontId="10" fillId="0" borderId="3" xfId="0" applyNumberFormat="1" applyFont="1" applyFill="1" applyBorder="1" applyAlignment="1" applyProtection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9" fillId="0" borderId="4" xfId="0" applyNumberFormat="1" applyFont="1" applyFill="1" applyBorder="1" applyAlignment="1">
      <alignment horizontal="right"/>
    </xf>
    <xf numFmtId="0" fontId="9" fillId="0" borderId="28" xfId="0" applyFont="1" applyFill="1" applyBorder="1" applyAlignment="1"/>
    <xf numFmtId="169" fontId="10" fillId="0" borderId="0" xfId="0" applyNumberFormat="1" applyFont="1" applyFill="1" applyBorder="1" applyAlignment="1" applyProtection="1"/>
    <xf numFmtId="169" fontId="9" fillId="0" borderId="11" xfId="0" applyNumberFormat="1" applyFont="1" applyFill="1" applyBorder="1" applyAlignment="1" applyProtection="1"/>
    <xf numFmtId="169" fontId="9" fillId="0" borderId="28" xfId="0" applyNumberFormat="1" applyFont="1" applyFill="1" applyBorder="1" applyAlignment="1"/>
    <xf numFmtId="169" fontId="9" fillId="0" borderId="11" xfId="0" applyNumberFormat="1" applyFont="1" applyFill="1" applyBorder="1" applyAlignment="1">
      <alignment horizontal="right"/>
    </xf>
    <xf numFmtId="169" fontId="9" fillId="0" borderId="3" xfId="0" applyNumberFormat="1" applyFont="1" applyFill="1" applyBorder="1" applyAlignment="1">
      <alignment horizontal="right"/>
    </xf>
    <xf numFmtId="169" fontId="9" fillId="0" borderId="28" xfId="0" applyNumberFormat="1" applyFont="1" applyFill="1" applyBorder="1" applyAlignment="1" applyProtection="1"/>
    <xf numFmtId="169" fontId="9" fillId="0" borderId="0" xfId="0" applyNumberFormat="1" applyFont="1" applyFill="1" applyBorder="1" applyAlignment="1"/>
    <xf numFmtId="169" fontId="9" fillId="0" borderId="4" xfId="0" applyNumberFormat="1" applyFont="1" applyFill="1" applyBorder="1" applyAlignment="1"/>
    <xf numFmtId="169" fontId="9" fillId="0" borderId="3" xfId="0" applyNumberFormat="1" applyFont="1" applyFill="1" applyBorder="1" applyAlignment="1"/>
    <xf numFmtId="169" fontId="9" fillId="0" borderId="18" xfId="0" applyNumberFormat="1" applyFont="1" applyFill="1" applyBorder="1" applyAlignment="1"/>
    <xf numFmtId="169" fontId="10" fillId="0" borderId="25" xfId="0" applyNumberFormat="1" applyFont="1" applyFill="1" applyBorder="1" applyAlignment="1"/>
    <xf numFmtId="169" fontId="9" fillId="0" borderId="25" xfId="0" applyNumberFormat="1" applyFont="1" applyFill="1" applyBorder="1" applyAlignment="1"/>
    <xf numFmtId="169" fontId="10" fillId="0" borderId="18" xfId="0" applyNumberFormat="1" applyFont="1" applyFill="1" applyBorder="1" applyAlignment="1"/>
    <xf numFmtId="0" fontId="9" fillId="0" borderId="18" xfId="0" applyFont="1" applyFill="1" applyBorder="1" applyAlignment="1"/>
    <xf numFmtId="0" fontId="9" fillId="0" borderId="26" xfId="0" applyFont="1" applyFill="1" applyBorder="1" applyAlignment="1"/>
    <xf numFmtId="169" fontId="9" fillId="0" borderId="10" xfId="0" applyNumberFormat="1" applyFont="1" applyFill="1" applyBorder="1" applyAlignment="1" applyProtection="1"/>
    <xf numFmtId="169" fontId="9" fillId="0" borderId="10" xfId="0" applyNumberFormat="1" applyFont="1" applyFill="1" applyBorder="1" applyAlignment="1"/>
    <xf numFmtId="169" fontId="9" fillId="0" borderId="1" xfId="0" applyNumberFormat="1" applyFont="1" applyFill="1" applyBorder="1" applyAlignment="1"/>
    <xf numFmtId="0" fontId="9" fillId="0" borderId="10" xfId="0" applyFont="1" applyFill="1" applyBorder="1" applyAlignment="1"/>
    <xf numFmtId="169" fontId="10" fillId="0" borderId="11" xfId="0" applyNumberFormat="1" applyFont="1" applyFill="1" applyBorder="1" applyAlignment="1" applyProtection="1"/>
    <xf numFmtId="173" fontId="9" fillId="0" borderId="17" xfId="0" applyNumberFormat="1" applyFont="1" applyFill="1" applyBorder="1" applyAlignment="1">
      <alignment horizontal="centerContinuous" vertical="center" wrapText="1"/>
    </xf>
    <xf numFmtId="176" fontId="9" fillId="0" borderId="33" xfId="0" applyNumberFormat="1" applyFont="1" applyFill="1" applyBorder="1" applyAlignment="1"/>
    <xf numFmtId="182" fontId="15" fillId="0" borderId="30" xfId="0" applyNumberFormat="1" applyFont="1" applyFill="1" applyBorder="1" applyAlignment="1" applyProtection="1">
      <alignment horizontal="center" vertical="center"/>
    </xf>
    <xf numFmtId="0" fontId="15" fillId="0" borderId="46" xfId="0" applyFont="1" applyFill="1" applyBorder="1"/>
    <xf numFmtId="0" fontId="15" fillId="0" borderId="34" xfId="0" applyFont="1" applyFill="1" applyBorder="1"/>
    <xf numFmtId="0" fontId="16" fillId="0" borderId="34" xfId="0" applyFont="1" applyFill="1" applyBorder="1" applyAlignment="1" applyProtection="1">
      <alignment horizontal="left"/>
    </xf>
    <xf numFmtId="0" fontId="16" fillId="0" borderId="34" xfId="0" applyFont="1" applyFill="1" applyBorder="1" applyAlignment="1" applyProtection="1">
      <alignment horizontal="left" vertical="top"/>
    </xf>
    <xf numFmtId="0" fontId="16" fillId="0" borderId="34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horizontal="left"/>
    </xf>
    <xf numFmtId="0" fontId="15" fillId="0" borderId="47" xfId="0" applyFont="1" applyFill="1" applyBorder="1"/>
    <xf numFmtId="0" fontId="15" fillId="0" borderId="44" xfId="0" applyFont="1" applyFill="1" applyBorder="1"/>
    <xf numFmtId="169" fontId="10" fillId="0" borderId="7" xfId="0" applyNumberFormat="1" applyFont="1" applyFill="1" applyBorder="1" applyAlignment="1">
      <alignment horizontal="center" vertical="center"/>
    </xf>
    <xf numFmtId="169" fontId="9" fillId="0" borderId="7" xfId="0" applyNumberFormat="1" applyFont="1" applyFill="1" applyBorder="1" applyAlignment="1">
      <alignment horizontal="centerContinuous" vertical="center"/>
    </xf>
    <xf numFmtId="169" fontId="9" fillId="0" borderId="6" xfId="0" applyNumberFormat="1" applyFont="1" applyFill="1" applyBorder="1" applyAlignment="1">
      <alignment vertical="center"/>
    </xf>
    <xf numFmtId="169" fontId="9" fillId="0" borderId="7" xfId="0" applyNumberFormat="1" applyFont="1" applyFill="1" applyBorder="1" applyAlignment="1">
      <alignment vertical="center"/>
    </xf>
    <xf numFmtId="169" fontId="9" fillId="0" borderId="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0" fontId="10" fillId="0" borderId="0" xfId="0" applyNumberFormat="1" applyFont="1" applyFill="1" applyBorder="1" applyAlignment="1">
      <alignment horizontal="center" vertical="center"/>
    </xf>
    <xf numFmtId="0" fontId="9" fillId="0" borderId="0" xfId="0" quotePrefix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37" fillId="0" borderId="0" xfId="0" applyFont="1" applyFill="1"/>
    <xf numFmtId="0" fontId="36" fillId="0" borderId="34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173" fontId="9" fillId="0" borderId="4" xfId="0" applyNumberFormat="1" applyFont="1" applyFill="1" applyBorder="1" applyAlignment="1"/>
    <xf numFmtId="169" fontId="9" fillId="0" borderId="1" xfId="0" quotePrefix="1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Continuous" vertical="center"/>
    </xf>
    <xf numFmtId="170" fontId="9" fillId="0" borderId="0" xfId="2" quotePrefix="1" applyNumberFormat="1" applyFont="1" applyFill="1" applyBorder="1" applyAlignment="1">
      <alignment horizontal="right" vertical="center"/>
    </xf>
    <xf numFmtId="0" fontId="36" fillId="0" borderId="0" xfId="0" applyFont="1" applyFill="1"/>
    <xf numFmtId="173" fontId="9" fillId="0" borderId="0" xfId="2" applyNumberFormat="1" applyFont="1" applyFill="1"/>
    <xf numFmtId="179" fontId="10" fillId="0" borderId="0" xfId="0" applyNumberFormat="1" applyFont="1" applyFill="1" applyAlignment="1">
      <alignment vertical="center"/>
    </xf>
    <xf numFmtId="173" fontId="39" fillId="0" borderId="0" xfId="0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Alignment="1"/>
    <xf numFmtId="0" fontId="9" fillId="0" borderId="0" xfId="2" applyFont="1" applyFill="1" applyBorder="1"/>
    <xf numFmtId="169" fontId="9" fillId="0" borderId="0" xfId="2" quotePrefix="1" applyNumberFormat="1" applyFont="1" applyFill="1" applyAlignment="1">
      <alignment horizontal="right"/>
    </xf>
    <xf numFmtId="0" fontId="15" fillId="0" borderId="43" xfId="2" applyFont="1" applyFill="1" applyBorder="1" applyAlignment="1">
      <alignment horizontal="center"/>
    </xf>
    <xf numFmtId="0" fontId="15" fillId="0" borderId="4" xfId="2" applyFont="1" applyFill="1" applyBorder="1" applyAlignment="1">
      <alignment horizontal="center"/>
    </xf>
    <xf numFmtId="0" fontId="9" fillId="0" borderId="0" xfId="2" quotePrefix="1" applyFont="1" applyFill="1" applyBorder="1" applyAlignment="1">
      <alignment horizontal="center" vertical="center"/>
    </xf>
    <xf numFmtId="0" fontId="15" fillId="0" borderId="46" xfId="2" applyFont="1" applyFill="1" applyBorder="1" applyAlignment="1" applyProtection="1">
      <alignment horizontal="fill"/>
    </xf>
    <xf numFmtId="0" fontId="15" fillId="0" borderId="2" xfId="2" applyFont="1" applyFill="1" applyBorder="1" applyAlignment="1" applyProtection="1">
      <alignment horizontal="fill"/>
    </xf>
    <xf numFmtId="0" fontId="9" fillId="0" borderId="4" xfId="2" applyFont="1" applyFill="1" applyBorder="1" applyAlignment="1" applyProtection="1">
      <alignment horizontal="left" vertical="center"/>
    </xf>
    <xf numFmtId="173" fontId="9" fillId="0" borderId="0" xfId="2" applyNumberFormat="1" applyFont="1" applyFill="1" applyBorder="1"/>
    <xf numFmtId="0" fontId="16" fillId="0" borderId="44" xfId="2" applyFont="1" applyFill="1" applyBorder="1"/>
    <xf numFmtId="0" fontId="16" fillId="0" borderId="8" xfId="2" applyFont="1" applyFill="1" applyBorder="1"/>
    <xf numFmtId="0" fontId="18" fillId="0" borderId="0" xfId="2" applyFont="1" applyFill="1"/>
    <xf numFmtId="0" fontId="9" fillId="0" borderId="0" xfId="2" applyFont="1" applyFill="1" applyAlignment="1">
      <alignment horizontal="right"/>
    </xf>
    <xf numFmtId="0" fontId="10" fillId="0" borderId="0" xfId="2" applyFont="1" applyFill="1" applyBorder="1"/>
    <xf numFmtId="178" fontId="9" fillId="0" borderId="0" xfId="2" applyNumberFormat="1" applyFont="1" applyFill="1" applyBorder="1"/>
    <xf numFmtId="0" fontId="10" fillId="0" borderId="42" xfId="2" applyFont="1" applyFill="1" applyBorder="1" applyAlignment="1" applyProtection="1">
      <alignment horizontal="center" vertical="center"/>
    </xf>
    <xf numFmtId="0" fontId="16" fillId="0" borderId="25" xfId="2" applyFont="1" applyFill="1" applyBorder="1" applyAlignment="1" applyProtection="1">
      <alignment horizontal="left" vertical="center"/>
    </xf>
    <xf numFmtId="191" fontId="9" fillId="0" borderId="19" xfId="2" applyNumberFormat="1" applyFont="1" applyFill="1" applyBorder="1" applyAlignment="1" applyProtection="1"/>
    <xf numFmtId="173" fontId="9" fillId="0" borderId="29" xfId="0" applyNumberFormat="1" applyFont="1" applyFill="1" applyBorder="1" applyAlignment="1" applyProtection="1">
      <alignment horizontal="right"/>
    </xf>
    <xf numFmtId="173" fontId="9" fillId="0" borderId="25" xfId="0" applyNumberFormat="1" applyFont="1" applyFill="1" applyBorder="1" applyAlignment="1" applyProtection="1">
      <alignment horizontal="right"/>
    </xf>
    <xf numFmtId="173" fontId="9" fillId="0" borderId="18" xfId="0" applyNumberFormat="1" applyFont="1" applyFill="1" applyBorder="1" applyAlignment="1" applyProtection="1">
      <alignment horizontal="right"/>
    </xf>
    <xf numFmtId="173" fontId="9" fillId="0" borderId="48" xfId="0" applyNumberFormat="1" applyFont="1" applyFill="1" applyBorder="1" applyAlignment="1" applyProtection="1">
      <alignment horizontal="right"/>
    </xf>
    <xf numFmtId="0" fontId="9" fillId="0" borderId="3" xfId="2" applyFont="1" applyFill="1" applyBorder="1" applyAlignment="1" applyProtection="1">
      <alignment horizontal="left" vertical="center"/>
    </xf>
    <xf numFmtId="0" fontId="9" fillId="0" borderId="25" xfId="2" applyFont="1" applyFill="1" applyBorder="1" applyAlignment="1" applyProtection="1">
      <alignment horizontal="left" vertical="center"/>
    </xf>
    <xf numFmtId="0" fontId="15" fillId="0" borderId="8" xfId="2" applyFont="1" applyFill="1" applyBorder="1" applyAlignment="1">
      <alignment horizontal="center"/>
    </xf>
    <xf numFmtId="0" fontId="10" fillId="0" borderId="0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left" vertical="center"/>
    </xf>
    <xf numFmtId="0" fontId="14" fillId="0" borderId="0" xfId="2" applyFont="1" applyFill="1" applyBorder="1" applyAlignment="1">
      <alignment horizontal="centerContinuous" vertical="center"/>
    </xf>
    <xf numFmtId="170" fontId="14" fillId="0" borderId="0" xfId="2" applyNumberFormat="1" applyFont="1" applyFill="1" applyBorder="1" applyAlignment="1">
      <alignment horizontal="centerContinuous" vertical="center"/>
    </xf>
    <xf numFmtId="0" fontId="15" fillId="0" borderId="0" xfId="2" quotePrefix="1" applyFont="1" applyFill="1" applyAlignment="1">
      <alignment horizontal="center"/>
    </xf>
    <xf numFmtId="0" fontId="8" fillId="0" borderId="0" xfId="2" applyFont="1" applyFill="1"/>
    <xf numFmtId="0" fontId="17" fillId="0" borderId="0" xfId="2" applyFont="1" applyFill="1" applyBorder="1" applyAlignment="1" applyProtection="1">
      <alignment horizontal="centerContinuous"/>
    </xf>
    <xf numFmtId="0" fontId="8" fillId="0" borderId="0" xfId="2" applyFont="1" applyFill="1" applyBorder="1" applyAlignment="1">
      <alignment horizontal="centerContinuous"/>
    </xf>
    <xf numFmtId="0" fontId="14" fillId="0" borderId="0" xfId="2" applyFont="1" applyFill="1" applyBorder="1" applyAlignment="1">
      <alignment horizontal="centerContinuous"/>
    </xf>
    <xf numFmtId="0" fontId="8" fillId="0" borderId="0" xfId="2" applyFont="1" applyFill="1" applyBorder="1"/>
    <xf numFmtId="0" fontId="8" fillId="0" borderId="18" xfId="2" applyFont="1" applyFill="1" applyBorder="1"/>
    <xf numFmtId="0" fontId="8" fillId="0" borderId="18" xfId="2" applyFont="1" applyFill="1" applyBorder="1" applyAlignment="1">
      <alignment vertical="center"/>
    </xf>
    <xf numFmtId="0" fontId="14" fillId="0" borderId="18" xfId="2" applyFont="1" applyFill="1" applyBorder="1" applyAlignment="1">
      <alignment vertical="center"/>
    </xf>
    <xf numFmtId="0" fontId="14" fillId="0" borderId="0" xfId="2" applyFont="1" applyFill="1" applyBorder="1"/>
    <xf numFmtId="0" fontId="9" fillId="0" borderId="11" xfId="2" applyFont="1" applyFill="1" applyBorder="1" applyAlignment="1" applyProtection="1">
      <alignment horizontal="centerContinuous"/>
    </xf>
    <xf numFmtId="0" fontId="9" fillId="0" borderId="3" xfId="2" applyFont="1" applyFill="1" applyBorder="1" applyAlignment="1" applyProtection="1">
      <alignment horizontal="centerContinuous"/>
    </xf>
    <xf numFmtId="0" fontId="10" fillId="0" borderId="2" xfId="2" applyFont="1" applyFill="1" applyBorder="1" applyAlignment="1" applyProtection="1">
      <alignment horizontal="fill"/>
    </xf>
    <xf numFmtId="0" fontId="9" fillId="0" borderId="1" xfId="2" applyFont="1" applyFill="1" applyBorder="1" applyAlignment="1" applyProtection="1">
      <alignment horizontal="fill"/>
    </xf>
    <xf numFmtId="0" fontId="10" fillId="0" borderId="0" xfId="2" applyFont="1" applyFill="1" applyBorder="1" applyAlignment="1" applyProtection="1">
      <alignment horizontal="centerContinuous" vertical="center"/>
    </xf>
    <xf numFmtId="0" fontId="10" fillId="0" borderId="1" xfId="2" applyFont="1" applyFill="1" applyBorder="1" applyAlignment="1" applyProtection="1">
      <alignment horizontal="fill"/>
    </xf>
    <xf numFmtId="0" fontId="9" fillId="0" borderId="2" xfId="2" applyFont="1" applyFill="1" applyBorder="1" applyAlignment="1" applyProtection="1">
      <alignment horizontal="fill"/>
    </xf>
    <xf numFmtId="0" fontId="10" fillId="0" borderId="4" xfId="2" applyFont="1" applyFill="1" applyBorder="1"/>
    <xf numFmtId="0" fontId="9" fillId="0" borderId="3" xfId="2" applyFont="1" applyFill="1" applyBorder="1"/>
    <xf numFmtId="0" fontId="10" fillId="0" borderId="3" xfId="2" applyFont="1" applyFill="1" applyBorder="1"/>
    <xf numFmtId="0" fontId="19" fillId="0" borderId="0" xfId="2" applyFont="1" applyFill="1" applyBorder="1" applyAlignment="1">
      <alignment horizontal="centerContinuous" vertical="center"/>
    </xf>
    <xf numFmtId="170" fontId="19" fillId="0" borderId="0" xfId="2" applyNumberFormat="1" applyFont="1" applyFill="1" applyBorder="1" applyAlignment="1">
      <alignment horizontal="centerContinuous" vertical="center"/>
    </xf>
    <xf numFmtId="170" fontId="18" fillId="0" borderId="0" xfId="2" quotePrefix="1" applyNumberFormat="1" applyFont="1" applyFill="1" applyBorder="1" applyAlignment="1">
      <alignment horizontal="right" vertical="center"/>
    </xf>
    <xf numFmtId="0" fontId="10" fillId="0" borderId="4" xfId="2" applyFont="1" applyFill="1" applyBorder="1" applyAlignment="1" applyProtection="1">
      <alignment horizontal="center"/>
    </xf>
    <xf numFmtId="0" fontId="9" fillId="0" borderId="3" xfId="2" applyFont="1" applyFill="1" applyBorder="1" applyAlignment="1" applyProtection="1">
      <alignment horizontal="center"/>
    </xf>
    <xf numFmtId="0" fontId="9" fillId="0" borderId="11" xfId="2" applyFont="1" applyFill="1" applyBorder="1" applyAlignment="1" applyProtection="1">
      <alignment horizontal="center"/>
    </xf>
    <xf numFmtId="0" fontId="10" fillId="0" borderId="3" xfId="2" applyFont="1" applyFill="1" applyBorder="1" applyAlignment="1" applyProtection="1">
      <alignment horizontal="center"/>
    </xf>
    <xf numFmtId="0" fontId="9" fillId="0" borderId="4" xfId="2" applyFont="1" applyFill="1" applyBorder="1" applyAlignment="1" applyProtection="1">
      <alignment horizontal="center"/>
    </xf>
    <xf numFmtId="0" fontId="9" fillId="0" borderId="22" xfId="2" applyFont="1" applyFill="1" applyBorder="1" applyAlignment="1" applyProtection="1">
      <alignment horizontal="center"/>
    </xf>
    <xf numFmtId="0" fontId="10" fillId="0" borderId="8" xfId="2" applyFont="1" applyFill="1" applyBorder="1"/>
    <xf numFmtId="167" fontId="9" fillId="0" borderId="7" xfId="2" applyNumberFormat="1" applyFont="1" applyFill="1" applyBorder="1"/>
    <xf numFmtId="0" fontId="9" fillId="0" borderId="11" xfId="2" applyFont="1" applyFill="1" applyBorder="1"/>
    <xf numFmtId="0" fontId="9" fillId="0" borderId="7" xfId="2" applyFont="1" applyFill="1" applyBorder="1"/>
    <xf numFmtId="0" fontId="9" fillId="0" borderId="8" xfId="2" applyFont="1" applyFill="1" applyBorder="1"/>
    <xf numFmtId="0" fontId="9" fillId="0" borderId="5" xfId="2" applyFont="1" applyFill="1" applyBorder="1" applyAlignment="1" applyProtection="1">
      <alignment horizontal="centerContinuous"/>
    </xf>
    <xf numFmtId="0" fontId="9" fillId="0" borderId="7" xfId="2" applyFont="1" applyFill="1" applyBorder="1" applyAlignment="1" applyProtection="1">
      <alignment horizontal="centerContinuous"/>
    </xf>
    <xf numFmtId="0" fontId="10" fillId="0" borderId="7" xfId="2" applyFont="1" applyFill="1" applyBorder="1"/>
    <xf numFmtId="0" fontId="9" fillId="0" borderId="5" xfId="2" applyFont="1" applyFill="1" applyBorder="1"/>
    <xf numFmtId="0" fontId="9" fillId="0" borderId="31" xfId="2" applyFont="1" applyFill="1" applyBorder="1"/>
    <xf numFmtId="0" fontId="10" fillId="0" borderId="4" xfId="2" applyFont="1" applyFill="1" applyBorder="1" applyAlignment="1" applyProtection="1">
      <alignment horizontal="center" vertical="top"/>
    </xf>
    <xf numFmtId="0" fontId="8" fillId="0" borderId="0" xfId="2" applyFont="1" applyFill="1" applyBorder="1" applyAlignment="1"/>
    <xf numFmtId="0" fontId="8" fillId="0" borderId="0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Continuous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 applyProtection="1">
      <alignment horizontal="fill"/>
    </xf>
    <xf numFmtId="0" fontId="14" fillId="0" borderId="0" xfId="2" applyFont="1" applyFill="1" applyBorder="1" applyAlignment="1" applyProtection="1">
      <alignment horizontal="fill"/>
    </xf>
    <xf numFmtId="0" fontId="8" fillId="0" borderId="0" xfId="2" applyFont="1" applyFill="1" applyBorder="1" applyAlignment="1" applyProtection="1">
      <alignment horizontal="centerContinuous"/>
    </xf>
    <xf numFmtId="0" fontId="10" fillId="0" borderId="4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>
      <alignment vertical="center"/>
    </xf>
    <xf numFmtId="0" fontId="9" fillId="0" borderId="34" xfId="2" applyFont="1" applyFill="1" applyBorder="1" applyAlignment="1">
      <alignment horizontal="center"/>
    </xf>
    <xf numFmtId="173" fontId="15" fillId="0" borderId="8" xfId="2" applyNumberFormat="1" applyFont="1" applyFill="1" applyBorder="1"/>
    <xf numFmtId="173" fontId="15" fillId="0" borderId="7" xfId="2" applyNumberFormat="1" applyFont="1" applyFill="1" applyBorder="1"/>
    <xf numFmtId="173" fontId="15" fillId="0" borderId="6" xfId="2" applyNumberFormat="1" applyFont="1" applyFill="1" applyBorder="1"/>
    <xf numFmtId="0" fontId="10" fillId="0" borderId="41" xfId="2" applyFont="1" applyFill="1" applyBorder="1" applyAlignment="1" applyProtection="1">
      <alignment horizontal="center" vertical="center"/>
    </xf>
    <xf numFmtId="173" fontId="16" fillId="0" borderId="25" xfId="2" applyNumberFormat="1" applyFont="1" applyFill="1" applyBorder="1" applyAlignment="1" applyProtection="1">
      <alignment vertical="center"/>
    </xf>
    <xf numFmtId="0" fontId="8" fillId="0" borderId="0" xfId="2" applyFont="1" applyFill="1" applyAlignment="1">
      <alignment vertical="center"/>
    </xf>
    <xf numFmtId="173" fontId="16" fillId="0" borderId="0" xfId="2" applyNumberFormat="1" applyFont="1" applyFill="1" applyBorder="1" applyAlignment="1" applyProtection="1">
      <alignment vertical="center"/>
    </xf>
    <xf numFmtId="188" fontId="16" fillId="0" borderId="0" xfId="2" applyNumberFormat="1" applyFont="1" applyFill="1" applyBorder="1" applyAlignment="1" applyProtection="1">
      <alignment vertical="center"/>
    </xf>
    <xf numFmtId="173" fontId="16" fillId="0" borderId="0" xfId="2" applyNumberFormat="1" applyFont="1" applyFill="1" applyBorder="1" applyAlignment="1" applyProtection="1">
      <alignment horizontal="center" vertical="center"/>
    </xf>
    <xf numFmtId="173" fontId="16" fillId="0" borderId="0" xfId="2" applyNumberFormat="1" applyFont="1" applyFill="1" applyBorder="1" applyAlignment="1" applyProtection="1">
      <alignment horizontal="right" vertical="center"/>
    </xf>
    <xf numFmtId="187" fontId="16" fillId="0" borderId="0" xfId="2" applyNumberFormat="1" applyFont="1" applyFill="1" applyBorder="1" applyAlignment="1" applyProtection="1">
      <alignment horizontal="center" vertical="center"/>
    </xf>
    <xf numFmtId="173" fontId="10" fillId="0" borderId="0" xfId="2" applyNumberFormat="1" applyFont="1" applyFill="1" applyBorder="1" applyAlignment="1" applyProtection="1">
      <alignment horizontal="right" vertical="center"/>
    </xf>
    <xf numFmtId="0" fontId="14" fillId="0" borderId="0" xfId="2" applyFont="1" applyFill="1" applyAlignment="1">
      <alignment vertical="center"/>
    </xf>
    <xf numFmtId="188" fontId="8" fillId="0" borderId="0" xfId="2" applyNumberFormat="1" applyFont="1" applyFill="1" applyAlignment="1">
      <alignment vertical="center"/>
    </xf>
    <xf numFmtId="0" fontId="14" fillId="0" borderId="0" xfId="2" applyFont="1" applyFill="1"/>
    <xf numFmtId="173" fontId="8" fillId="0" borderId="0" xfId="2" applyNumberFormat="1" applyFont="1" applyFill="1"/>
    <xf numFmtId="0" fontId="8" fillId="0" borderId="0" xfId="2" applyFont="1" applyFill="1" applyBorder="1" applyAlignment="1" applyProtection="1">
      <alignment vertical="center"/>
    </xf>
    <xf numFmtId="0" fontId="9" fillId="0" borderId="0" xfId="2" applyFont="1" applyFill="1" applyAlignment="1"/>
    <xf numFmtId="49" fontId="9" fillId="0" borderId="0" xfId="0" applyNumberFormat="1" applyFont="1" applyFill="1" applyAlignment="1"/>
    <xf numFmtId="0" fontId="9" fillId="0" borderId="9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Continuous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9" fillId="0" borderId="0" xfId="0" quotePrefix="1" applyFont="1" applyFill="1" applyBorder="1" applyAlignment="1">
      <alignment horizontal="center" vertical="center"/>
    </xf>
    <xf numFmtId="0" fontId="9" fillId="0" borderId="43" xfId="0" applyFont="1" applyFill="1" applyBorder="1" applyAlignment="1" applyProtection="1">
      <alignment horizontal="center"/>
    </xf>
    <xf numFmtId="0" fontId="9" fillId="0" borderId="9" xfId="0" applyFont="1" applyFill="1" applyBorder="1" applyAlignment="1">
      <alignment horizontal="centerContinuous"/>
    </xf>
    <xf numFmtId="0" fontId="9" fillId="0" borderId="3" xfId="0" applyFont="1" applyFill="1" applyBorder="1" applyAlignment="1" applyProtection="1">
      <alignment horizontal="centerContinuous"/>
    </xf>
    <xf numFmtId="0" fontId="9" fillId="0" borderId="11" xfId="0" applyFont="1" applyFill="1" applyBorder="1" applyAlignment="1" applyProtection="1">
      <alignment horizontal="center"/>
    </xf>
    <xf numFmtId="0" fontId="10" fillId="0" borderId="4" xfId="0" applyFont="1" applyFill="1" applyBorder="1"/>
    <xf numFmtId="0" fontId="9" fillId="0" borderId="5" xfId="0" applyFont="1" applyFill="1" applyBorder="1"/>
    <xf numFmtId="0" fontId="9" fillId="0" borderId="3" xfId="0" applyFont="1" applyFill="1" applyBorder="1" applyAlignment="1">
      <alignment horizontal="centerContinuous"/>
    </xf>
    <xf numFmtId="170" fontId="14" fillId="0" borderId="0" xfId="0" applyNumberFormat="1" applyFont="1" applyFill="1" applyBorder="1" applyAlignment="1">
      <alignment horizontal="centerContinuous" vertical="center"/>
    </xf>
    <xf numFmtId="0" fontId="8" fillId="0" borderId="0" xfId="0" quotePrefix="1" applyFont="1" applyFill="1" applyAlignment="1">
      <alignment horizontal="center" vertical="center"/>
    </xf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Alignment="1" applyProtection="1">
      <alignment horizontal="centerContinuous"/>
    </xf>
    <xf numFmtId="0" fontId="7" fillId="0" borderId="0" xfId="0" applyFont="1" applyFill="1" applyAlignment="1" applyProtection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169" fontId="14" fillId="0" borderId="0" xfId="0" applyNumberFormat="1" applyFont="1" applyFill="1" applyAlignment="1">
      <alignment horizontal="centerContinuous"/>
    </xf>
    <xf numFmtId="0" fontId="14" fillId="0" borderId="0" xfId="0" applyFont="1" applyFill="1"/>
    <xf numFmtId="0" fontId="14" fillId="0" borderId="0" xfId="0" applyFont="1" applyFill="1" applyAlignment="1">
      <alignment horizontal="centerContinuous"/>
    </xf>
    <xf numFmtId="0" fontId="14" fillId="0" borderId="0" xfId="0" applyFont="1" applyFill="1" applyAlignment="1" applyProtection="1">
      <alignment horizontal="centerContinuous"/>
    </xf>
    <xf numFmtId="169" fontId="14" fillId="0" borderId="0" xfId="0" applyNumberFormat="1" applyFont="1" applyFill="1" applyAlignment="1" applyProtection="1">
      <alignment horizontal="centerContinuous"/>
    </xf>
    <xf numFmtId="16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Continuous"/>
    </xf>
    <xf numFmtId="169" fontId="8" fillId="0" borderId="0" xfId="0" applyNumberFormat="1" applyFont="1" applyFill="1" applyAlignment="1">
      <alignment horizontal="centerContinuous"/>
    </xf>
    <xf numFmtId="0" fontId="8" fillId="0" borderId="0" xfId="0" applyFont="1" applyFill="1" applyAlignment="1" applyProtection="1">
      <alignment horizontal="fill"/>
    </xf>
    <xf numFmtId="169" fontId="8" fillId="0" borderId="0" xfId="0" applyNumberFormat="1" applyFont="1" applyFill="1" applyAlignment="1" applyProtection="1">
      <alignment horizontal="fill"/>
    </xf>
    <xf numFmtId="177" fontId="9" fillId="0" borderId="12" xfId="0" applyNumberFormat="1" applyFont="1" applyFill="1" applyBorder="1" applyAlignment="1" applyProtection="1">
      <alignment horizontal="centerContinuous"/>
    </xf>
    <xf numFmtId="177" fontId="9" fillId="0" borderId="3" xfId="0" applyNumberFormat="1" applyFont="1" applyFill="1" applyBorder="1" applyAlignment="1" applyProtection="1">
      <alignment horizontal="centerContinuous" vertical="center"/>
    </xf>
    <xf numFmtId="177" fontId="9" fillId="0" borderId="3" xfId="0" applyNumberFormat="1" applyFont="1" applyFill="1" applyBorder="1" applyAlignment="1" applyProtection="1">
      <alignment horizontal="fill" vertical="center"/>
    </xf>
    <xf numFmtId="177" fontId="10" fillId="0" borderId="3" xfId="0" applyNumberFormat="1" applyFont="1" applyFill="1" applyBorder="1" applyAlignment="1" applyProtection="1">
      <alignment horizontal="centerContinuous" vertical="center"/>
    </xf>
    <xf numFmtId="177" fontId="10" fillId="0" borderId="4" xfId="0" applyNumberFormat="1" applyFont="1" applyFill="1" applyBorder="1" applyAlignment="1">
      <alignment horizontal="centerContinuous" vertical="center"/>
    </xf>
    <xf numFmtId="177" fontId="9" fillId="0" borderId="3" xfId="0" applyNumberFormat="1" applyFont="1" applyFill="1" applyBorder="1" applyAlignment="1">
      <alignment horizontal="centerContinuous" vertical="center"/>
    </xf>
    <xf numFmtId="177" fontId="9" fillId="0" borderId="0" xfId="0" applyNumberFormat="1" applyFont="1" applyFill="1" applyBorder="1" applyAlignment="1" applyProtection="1">
      <alignment horizontal="centerContinuous"/>
    </xf>
    <xf numFmtId="177" fontId="9" fillId="0" borderId="4" xfId="0" applyNumberFormat="1" applyFont="1" applyFill="1" applyBorder="1" applyAlignment="1" applyProtection="1">
      <alignment horizontal="centerContinuous"/>
    </xf>
    <xf numFmtId="177" fontId="9" fillId="0" borderId="3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horizontal="centerContinuous" vertical="center"/>
    </xf>
    <xf numFmtId="177" fontId="10" fillId="0" borderId="4" xfId="0" applyNumberFormat="1" applyFont="1" applyFill="1" applyBorder="1" applyAlignment="1" applyProtection="1">
      <alignment horizontal="centerContinuous" vertical="center"/>
    </xf>
    <xf numFmtId="177" fontId="9" fillId="0" borderId="5" xfId="0" applyNumberFormat="1" applyFont="1" applyFill="1" applyBorder="1" applyAlignment="1" applyProtection="1">
      <alignment horizontal="centerContinuous" vertical="center"/>
    </xf>
    <xf numFmtId="177" fontId="9" fillId="0" borderId="6" xfId="0" applyNumberFormat="1" applyFont="1" applyFill="1" applyBorder="1" applyAlignment="1">
      <alignment horizontal="centerContinuous"/>
    </xf>
    <xf numFmtId="177" fontId="9" fillId="0" borderId="8" xfId="0" applyNumberFormat="1" applyFont="1" applyFill="1" applyBorder="1" applyAlignment="1">
      <alignment horizontal="centerContinuous"/>
    </xf>
    <xf numFmtId="177" fontId="10" fillId="0" borderId="11" xfId="0" applyNumberFormat="1" applyFont="1" applyFill="1" applyBorder="1" applyAlignment="1">
      <alignment horizontal="centerContinuous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Continuous" vertical="center"/>
    </xf>
    <xf numFmtId="177" fontId="10" fillId="0" borderId="22" xfId="0" applyNumberFormat="1" applyFont="1" applyFill="1" applyBorder="1" applyAlignment="1">
      <alignment horizontal="centerContinuous" vertical="center"/>
    </xf>
    <xf numFmtId="177" fontId="9" fillId="0" borderId="9" xfId="0" applyNumberFormat="1" applyFont="1" applyFill="1" applyBorder="1" applyAlignment="1">
      <alignment vertical="center"/>
    </xf>
    <xf numFmtId="177" fontId="10" fillId="0" borderId="11" xfId="0" applyNumberFormat="1" applyFont="1" applyFill="1" applyBorder="1" applyAlignment="1" applyProtection="1">
      <alignment horizontal="centerContinuous" vertical="center"/>
    </xf>
    <xf numFmtId="177" fontId="9" fillId="0" borderId="3" xfId="0" applyNumberFormat="1" applyFont="1" applyFill="1" applyBorder="1" applyAlignment="1" applyProtection="1">
      <alignment horizontal="center" vertical="center"/>
    </xf>
    <xf numFmtId="177" fontId="9" fillId="0" borderId="11" xfId="0" applyNumberFormat="1" applyFont="1" applyFill="1" applyBorder="1" applyAlignment="1" applyProtection="1">
      <alignment horizontal="centerContinuous" vertical="center"/>
    </xf>
    <xf numFmtId="177" fontId="10" fillId="0" borderId="3" xfId="0" applyNumberFormat="1" applyFont="1" applyFill="1" applyBorder="1" applyAlignment="1" applyProtection="1">
      <alignment horizontal="center" vertical="center"/>
    </xf>
    <xf numFmtId="177" fontId="9" fillId="0" borderId="4" xfId="0" applyNumberFormat="1" applyFont="1" applyFill="1" applyBorder="1" applyAlignment="1" applyProtection="1">
      <alignment horizontal="center" vertical="center"/>
    </xf>
    <xf numFmtId="177" fontId="9" fillId="0" borderId="22" xfId="0" applyNumberFormat="1" applyFont="1" applyFill="1" applyBorder="1" applyAlignment="1" applyProtection="1">
      <alignment horizontal="centerContinuous" vertical="center"/>
    </xf>
    <xf numFmtId="177" fontId="9" fillId="0" borderId="11" xfId="0" applyNumberFormat="1" applyFont="1" applyFill="1" applyBorder="1" applyAlignment="1" applyProtection="1">
      <alignment horizontal="center" vertical="center"/>
    </xf>
    <xf numFmtId="177" fontId="9" fillId="0" borderId="11" xfId="0" applyNumberFormat="1" applyFont="1" applyFill="1" applyBorder="1" applyAlignment="1">
      <alignment horizontal="centerContinuous" vertical="center"/>
    </xf>
    <xf numFmtId="177" fontId="9" fillId="0" borderId="11" xfId="0" applyNumberFormat="1" applyFont="1" applyFill="1" applyBorder="1" applyAlignment="1" applyProtection="1">
      <alignment horizontal="fill" vertical="center"/>
    </xf>
    <xf numFmtId="177" fontId="9" fillId="0" borderId="11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 applyProtection="1">
      <alignment horizontal="centerContinuous" vertical="center"/>
    </xf>
    <xf numFmtId="177" fontId="9" fillId="0" borderId="7" xfId="0" applyNumberFormat="1" applyFont="1" applyFill="1" applyBorder="1" applyAlignment="1" applyProtection="1">
      <alignment horizontal="fill" vertical="center"/>
    </xf>
    <xf numFmtId="177" fontId="10" fillId="0" borderId="7" xfId="0" applyNumberFormat="1" applyFont="1" applyFill="1" applyBorder="1" applyAlignment="1" applyProtection="1">
      <alignment horizontal="center" vertical="center"/>
    </xf>
    <xf numFmtId="177" fontId="9" fillId="0" borderId="31" xfId="0" applyNumberFormat="1" applyFont="1" applyFill="1" applyBorder="1" applyAlignment="1" applyProtection="1">
      <alignment horizontal="centerContinuous" vertical="center"/>
    </xf>
    <xf numFmtId="169" fontId="8" fillId="0" borderId="0" xfId="0" applyNumberFormat="1" applyFont="1" applyFill="1" applyAlignment="1"/>
    <xf numFmtId="170" fontId="9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69" fontId="10" fillId="0" borderId="0" xfId="0" applyNumberFormat="1" applyFont="1" applyFill="1" applyAlignment="1">
      <alignment horizontal="centerContinuous"/>
    </xf>
    <xf numFmtId="169" fontId="10" fillId="0" borderId="0" xfId="0" applyNumberFormat="1" applyFont="1" applyFill="1" applyAlignment="1" applyProtection="1">
      <alignment horizontal="centerContinuous"/>
    </xf>
    <xf numFmtId="0" fontId="10" fillId="0" borderId="0" xfId="0" applyFont="1" applyFill="1" applyAlignment="1" applyProtection="1">
      <alignment horizontal="centerContinuous"/>
    </xf>
    <xf numFmtId="0" fontId="9" fillId="0" borderId="8" xfId="0" applyFont="1" applyFill="1" applyBorder="1" applyAlignment="1" applyProtection="1">
      <alignment horizontal="centerContinuous" vertical="center"/>
    </xf>
    <xf numFmtId="169" fontId="10" fillId="0" borderId="0" xfId="0" applyNumberFormat="1" applyFont="1" applyFill="1"/>
    <xf numFmtId="0" fontId="15" fillId="0" borderId="0" xfId="0" quotePrefix="1" applyFont="1" applyFill="1" applyAlignment="1">
      <alignment horizontal="right"/>
    </xf>
    <xf numFmtId="0" fontId="8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8" fillId="0" borderId="18" xfId="0" applyFont="1" applyFill="1" applyBorder="1"/>
    <xf numFmtId="0" fontId="9" fillId="0" borderId="11" xfId="0" applyFont="1" applyFill="1" applyBorder="1" applyAlignment="1" applyProtection="1">
      <alignment horizontal="centerContinuous"/>
    </xf>
    <xf numFmtId="0" fontId="9" fillId="0" borderId="9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fill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73" fontId="22" fillId="0" borderId="0" xfId="0" applyNumberFormat="1" applyFont="1" applyFill="1" applyBorder="1" applyAlignment="1">
      <alignment vertical="center"/>
    </xf>
    <xf numFmtId="181" fontId="35" fillId="0" borderId="0" xfId="0" applyNumberFormat="1" applyFont="1" applyFill="1" applyBorder="1" applyAlignment="1">
      <alignment vertical="center"/>
    </xf>
    <xf numFmtId="173" fontId="22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>
      <alignment horizontal="centerContinuous"/>
    </xf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left"/>
    </xf>
    <xf numFmtId="0" fontId="9" fillId="0" borderId="33" xfId="0" applyFont="1" applyFill="1" applyBorder="1" applyAlignment="1">
      <alignment horizontal="center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center"/>
    </xf>
    <xf numFmtId="0" fontId="9" fillId="0" borderId="9" xfId="0" applyFont="1" applyFill="1" applyBorder="1" applyAlignment="1" applyProtection="1">
      <alignment horizontal="fill"/>
    </xf>
    <xf numFmtId="171" fontId="10" fillId="0" borderId="9" xfId="0" applyNumberFormat="1" applyFont="1" applyFill="1" applyBorder="1" applyAlignment="1" applyProtection="1">
      <alignment horizontal="center"/>
    </xf>
    <xf numFmtId="171" fontId="9" fillId="0" borderId="1" xfId="0" applyNumberFormat="1" applyFont="1" applyFill="1" applyBorder="1" applyAlignment="1" applyProtection="1">
      <alignment horizontal="center"/>
    </xf>
    <xf numFmtId="171" fontId="9" fillId="0" borderId="9" xfId="0" applyNumberFormat="1" applyFont="1" applyFill="1" applyBorder="1" applyAlignment="1">
      <alignment horizontal="center"/>
    </xf>
    <xf numFmtId="171" fontId="9" fillId="0" borderId="10" xfId="0" applyNumberFormat="1" applyFont="1" applyFill="1" applyBorder="1" applyAlignment="1" applyProtection="1">
      <alignment horizontal="center"/>
    </xf>
    <xf numFmtId="171" fontId="9" fillId="0" borderId="2" xfId="0" applyNumberFormat="1" applyFont="1" applyFill="1" applyBorder="1" applyAlignment="1" applyProtection="1">
      <alignment horizontal="center"/>
    </xf>
    <xf numFmtId="171" fontId="10" fillId="0" borderId="41" xfId="0" applyNumberFormat="1" applyFont="1" applyFill="1" applyBorder="1" applyAlignment="1">
      <alignment horizontal="right" vertical="center"/>
    </xf>
    <xf numFmtId="168" fontId="7" fillId="0" borderId="0" xfId="0" applyNumberFormat="1" applyFont="1" applyFill="1"/>
    <xf numFmtId="168" fontId="7" fillId="0" borderId="0" xfId="0" applyNumberFormat="1" applyFont="1" applyFill="1" applyBorder="1"/>
    <xf numFmtId="168" fontId="13" fillId="0" borderId="0" xfId="0" applyNumberFormat="1" applyFont="1" applyFill="1"/>
    <xf numFmtId="0" fontId="39" fillId="0" borderId="0" xfId="0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 applyProtection="1">
      <alignment horizontal="centerContinuous" vertical="center"/>
    </xf>
    <xf numFmtId="0" fontId="9" fillId="0" borderId="10" xfId="0" applyFont="1" applyFill="1" applyBorder="1" applyAlignment="1">
      <alignment horizontal="centerContinuous" vertical="center"/>
    </xf>
    <xf numFmtId="0" fontId="9" fillId="0" borderId="2" xfId="0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31" xfId="0" applyNumberFormat="1" applyFont="1" applyFill="1" applyBorder="1" applyAlignment="1">
      <alignment vertical="center"/>
    </xf>
    <xf numFmtId="166" fontId="9" fillId="0" borderId="0" xfId="0" applyNumberFormat="1" applyFont="1" applyFill="1" applyAlignment="1">
      <alignment vertical="center"/>
    </xf>
    <xf numFmtId="0" fontId="9" fillId="0" borderId="1" xfId="2" applyFont="1" applyFill="1" applyBorder="1" applyAlignment="1" applyProtection="1">
      <alignment horizontal="centerContinuous"/>
    </xf>
    <xf numFmtId="0" fontId="9" fillId="0" borderId="6" xfId="0" applyFont="1" applyFill="1" applyBorder="1" applyAlignment="1" applyProtection="1">
      <alignment horizontal="center" vertical="center"/>
    </xf>
    <xf numFmtId="173" fontId="40" fillId="0" borderId="0" xfId="0" applyNumberFormat="1" applyFont="1" applyFill="1" applyBorder="1" applyAlignment="1" applyProtection="1">
      <alignment horizontal="left" vertical="center"/>
    </xf>
    <xf numFmtId="169" fontId="21" fillId="0" borderId="7" xfId="0" quotePrefix="1" applyNumberFormat="1" applyFont="1" applyFill="1" applyBorder="1" applyAlignment="1">
      <alignment wrapText="1"/>
    </xf>
    <xf numFmtId="0" fontId="9" fillId="0" borderId="6" xfId="0" applyFont="1" applyFill="1" applyBorder="1" applyAlignment="1" applyProtection="1">
      <alignment horizontal="fill"/>
    </xf>
    <xf numFmtId="0" fontId="10" fillId="0" borderId="6" xfId="0" applyFont="1" applyFill="1" applyBorder="1" applyAlignment="1" applyProtection="1">
      <alignment horizontal="fill"/>
    </xf>
    <xf numFmtId="0" fontId="10" fillId="0" borderId="6" xfId="0" applyFont="1" applyFill="1" applyBorder="1" applyAlignment="1">
      <alignment horizontal="centerContinuous"/>
    </xf>
    <xf numFmtId="0" fontId="9" fillId="0" borderId="6" xfId="0" applyFont="1" applyFill="1" applyBorder="1" applyAlignment="1" applyProtection="1">
      <alignment horizontal="center"/>
    </xf>
    <xf numFmtId="0" fontId="10" fillId="0" borderId="6" xfId="0" applyFont="1" applyFill="1" applyBorder="1" applyAlignment="1">
      <alignment horizontal="centerContinuous" vertical="center"/>
    </xf>
    <xf numFmtId="169" fontId="21" fillId="0" borderId="7" xfId="0" quotePrefix="1" applyNumberFormat="1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15" fillId="0" borderId="4" xfId="2" applyFont="1" applyFill="1" applyBorder="1" applyAlignment="1" applyProtection="1">
      <alignment horizontal="fill"/>
    </xf>
    <xf numFmtId="173" fontId="16" fillId="0" borderId="3" xfId="2" applyNumberFormat="1" applyFont="1" applyFill="1" applyBorder="1" applyAlignment="1" applyProtection="1">
      <alignment horizontal="center"/>
    </xf>
    <xf numFmtId="173" fontId="15" fillId="0" borderId="0" xfId="2" applyNumberFormat="1" applyFont="1" applyFill="1" applyBorder="1" applyAlignment="1" applyProtection="1">
      <alignment horizontal="center"/>
    </xf>
    <xf numFmtId="173" fontId="15" fillId="0" borderId="3" xfId="2" applyNumberFormat="1" applyFont="1" applyFill="1" applyBorder="1" applyAlignment="1" applyProtection="1">
      <alignment horizontal="center"/>
    </xf>
    <xf numFmtId="173" fontId="16" fillId="0" borderId="19" xfId="2" applyNumberFormat="1" applyFont="1" applyFill="1" applyBorder="1" applyAlignment="1" applyProtection="1">
      <alignment horizontal="center"/>
    </xf>
    <xf numFmtId="173" fontId="15" fillId="0" borderId="18" xfId="2" applyNumberFormat="1" applyFont="1" applyFill="1" applyBorder="1" applyAlignment="1" applyProtection="1">
      <alignment horizontal="center"/>
    </xf>
    <xf numFmtId="173" fontId="15" fillId="0" borderId="19" xfId="2" applyNumberFormat="1" applyFont="1" applyFill="1" applyBorder="1" applyAlignment="1" applyProtection="1">
      <alignment horizontal="center"/>
    </xf>
    <xf numFmtId="0" fontId="15" fillId="0" borderId="25" xfId="2" applyFont="1" applyFill="1" applyBorder="1" applyAlignment="1" applyProtection="1">
      <alignment horizontal="fill"/>
    </xf>
    <xf numFmtId="0" fontId="15" fillId="0" borderId="0" xfId="2" applyFont="1" applyFill="1" applyBorder="1" applyAlignment="1" applyProtection="1">
      <alignment horizontal="fill"/>
    </xf>
    <xf numFmtId="173" fontId="16" fillId="0" borderId="0" xfId="2" applyNumberFormat="1" applyFont="1" applyFill="1" applyBorder="1" applyAlignment="1" applyProtection="1">
      <alignment horizontal="center"/>
    </xf>
    <xf numFmtId="0" fontId="10" fillId="0" borderId="27" xfId="0" applyFont="1" applyFill="1" applyBorder="1" applyAlignment="1" applyProtection="1">
      <alignment horizontal="center" vertical="center"/>
    </xf>
    <xf numFmtId="179" fontId="10" fillId="0" borderId="3" xfId="1" applyNumberFormat="1" applyFont="1" applyFill="1" applyBorder="1" applyAlignment="1" applyProtection="1">
      <alignment horizontal="right" vertical="center"/>
    </xf>
    <xf numFmtId="179" fontId="10" fillId="0" borderId="11" xfId="0" applyNumberFormat="1" applyFont="1" applyFill="1" applyBorder="1" applyAlignment="1" applyProtection="1">
      <alignment horizontal="right" vertical="center"/>
    </xf>
    <xf numFmtId="173" fontId="9" fillId="0" borderId="0" xfId="0" quotePrefix="1" applyNumberFormat="1" applyFont="1" applyFill="1" applyAlignment="1">
      <alignment horizontal="right" vertical="center"/>
    </xf>
    <xf numFmtId="173" fontId="15" fillId="0" borderId="32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15" fillId="0" borderId="0" xfId="0" quotePrefix="1" applyFont="1" applyFill="1" applyBorder="1" applyAlignment="1">
      <alignment horizontal="left"/>
    </xf>
    <xf numFmtId="0" fontId="11" fillId="0" borderId="0" xfId="0" applyFont="1" applyFill="1"/>
    <xf numFmtId="0" fontId="10" fillId="0" borderId="3" xfId="0" applyFont="1" applyFill="1" applyBorder="1" applyAlignment="1" applyProtection="1">
      <alignment horizontal="left" vertical="center"/>
    </xf>
    <xf numFmtId="0" fontId="17" fillId="0" borderId="0" xfId="0" applyFont="1" applyFill="1" applyAlignment="1" applyProtection="1">
      <alignment horizontal="centerContinuous"/>
    </xf>
    <xf numFmtId="0" fontId="24" fillId="0" borderId="0" xfId="0" applyFont="1" applyFill="1" applyAlignment="1" applyProtection="1">
      <alignment horizontal="centerContinuous"/>
    </xf>
    <xf numFmtId="0" fontId="1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177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Continuous"/>
    </xf>
    <xf numFmtId="0" fontId="17" fillId="0" borderId="0" xfId="0" applyFont="1" applyFill="1" applyBorder="1" applyAlignment="1" applyProtection="1">
      <alignment horizontal="centerContinuous"/>
    </xf>
    <xf numFmtId="0" fontId="18" fillId="0" borderId="0" xfId="0" applyFont="1" applyFill="1"/>
    <xf numFmtId="0" fontId="19" fillId="0" borderId="0" xfId="0" applyFont="1" applyFill="1" applyBorder="1" applyAlignment="1">
      <alignment horizontal="centerContinuous" vertical="center"/>
    </xf>
    <xf numFmtId="170" fontId="19" fillId="0" borderId="0" xfId="0" applyNumberFormat="1" applyFont="1" applyFill="1" applyBorder="1" applyAlignment="1">
      <alignment horizontal="centerContinuous" vertical="center"/>
    </xf>
    <xf numFmtId="170" fontId="18" fillId="0" borderId="0" xfId="0" quotePrefix="1" applyNumberFormat="1" applyFont="1" applyFill="1" applyBorder="1" applyAlignment="1">
      <alignment horizontal="right" vertical="center"/>
    </xf>
    <xf numFmtId="0" fontId="31" fillId="0" borderId="0" xfId="0" applyFont="1" applyFill="1"/>
    <xf numFmtId="0" fontId="9" fillId="0" borderId="0" xfId="0" quotePrefix="1" applyFont="1" applyFill="1" applyAlignment="1">
      <alignment horizontal="right" vertical="top" wrapText="1"/>
    </xf>
    <xf numFmtId="170" fontId="8" fillId="0" borderId="0" xfId="0" quotePrefix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9" fillId="0" borderId="34" xfId="0" applyFont="1" applyFill="1" applyBorder="1" applyAlignment="1" applyProtection="1">
      <alignment horizontal="centerContinuous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46" xfId="0" applyFont="1" applyFill="1" applyBorder="1" applyAlignment="1" applyProtection="1">
      <alignment horizontal="fill"/>
    </xf>
    <xf numFmtId="171" fontId="9" fillId="0" borderId="0" xfId="0" applyNumberFormat="1" applyFont="1" applyFill="1" applyBorder="1" applyAlignment="1" applyProtection="1">
      <alignment horizontal="center"/>
    </xf>
    <xf numFmtId="0" fontId="9" fillId="0" borderId="46" xfId="0" applyFont="1" applyFill="1" applyBorder="1" applyAlignment="1" applyProtection="1"/>
    <xf numFmtId="0" fontId="9" fillId="0" borderId="2" xfId="0" applyFont="1" applyFill="1" applyBorder="1" applyAlignment="1" applyProtection="1">
      <alignment horizontal="left"/>
    </xf>
    <xf numFmtId="0" fontId="10" fillId="0" borderId="34" xfId="0" applyFont="1" applyFill="1" applyBorder="1" applyAlignment="1" applyProtection="1">
      <alignment vertical="center"/>
    </xf>
    <xf numFmtId="0" fontId="9" fillId="0" borderId="42" xfId="0" applyFont="1" applyFill="1" applyBorder="1" applyAlignment="1" applyProtection="1"/>
    <xf numFmtId="183" fontId="7" fillId="0" borderId="28" xfId="0" applyNumberFormat="1" applyFont="1" applyFill="1" applyBorder="1" applyAlignment="1" applyProtection="1">
      <alignment horizontal="right"/>
    </xf>
    <xf numFmtId="183" fontId="7" fillId="0" borderId="26" xfId="0" applyNumberFormat="1" applyFont="1" applyFill="1" applyBorder="1" applyAlignment="1" applyProtection="1">
      <alignment horizontal="right"/>
    </xf>
    <xf numFmtId="183" fontId="7" fillId="0" borderId="3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0" xfId="2" quotePrefix="1" applyFont="1" applyFill="1"/>
    <xf numFmtId="179" fontId="9" fillId="0" borderId="11" xfId="0" applyNumberFormat="1" applyFont="1" applyFill="1" applyBorder="1" applyAlignment="1" applyProtection="1">
      <alignment horizontal="right" vertical="center"/>
    </xf>
    <xf numFmtId="179" fontId="9" fillId="0" borderId="9" xfId="0" applyNumberFormat="1" applyFont="1" applyFill="1" applyBorder="1" applyAlignment="1">
      <alignment vertical="center"/>
    </xf>
    <xf numFmtId="179" fontId="9" fillId="0" borderId="29" xfId="1" applyNumberFormat="1" applyFont="1" applyFill="1" applyBorder="1" applyAlignment="1" applyProtection="1">
      <alignment horizontal="right" vertical="center"/>
    </xf>
    <xf numFmtId="171" fontId="9" fillId="0" borderId="33" xfId="0" applyNumberFormat="1" applyFont="1" applyFill="1" applyBorder="1" applyAlignment="1" applyProtection="1">
      <alignment horizontal="center"/>
    </xf>
    <xf numFmtId="176" fontId="9" fillId="0" borderId="5" xfId="0" applyNumberFormat="1" applyFont="1" applyFill="1" applyBorder="1" applyAlignment="1">
      <alignment vertical="center"/>
    </xf>
    <xf numFmtId="173" fontId="15" fillId="0" borderId="7" xfId="2" applyNumberFormat="1" applyFont="1" applyFill="1" applyBorder="1" applyAlignment="1">
      <alignment horizontal="center"/>
    </xf>
    <xf numFmtId="173" fontId="16" fillId="0" borderId="26" xfId="2" applyNumberFormat="1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horizontal="left" wrapText="1"/>
    </xf>
    <xf numFmtId="0" fontId="15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18" xfId="0" applyFont="1" applyFill="1" applyBorder="1" applyAlignment="1" applyProtection="1">
      <alignment horizontal="left" wrapText="1"/>
    </xf>
    <xf numFmtId="0" fontId="9" fillId="0" borderId="0" xfId="2" applyFont="1" applyFill="1" applyBorder="1" applyAlignment="1" applyProtection="1">
      <alignment wrapText="1"/>
    </xf>
    <xf numFmtId="0" fontId="9" fillId="0" borderId="27" xfId="0" applyFont="1" applyFill="1" applyBorder="1" applyAlignment="1">
      <alignment horizontal="center" vertical="center"/>
    </xf>
    <xf numFmtId="0" fontId="13" fillId="0" borderId="0" xfId="2" applyFont="1" applyFill="1" applyAlignment="1" applyProtection="1">
      <alignment horizontal="center"/>
    </xf>
    <xf numFmtId="173" fontId="9" fillId="0" borderId="28" xfId="0" applyNumberFormat="1" applyFont="1" applyFill="1" applyBorder="1" applyAlignment="1">
      <alignment horizontal="right"/>
    </xf>
    <xf numFmtId="173" fontId="9" fillId="0" borderId="3" xfId="0" applyNumberFormat="1" applyFont="1" applyFill="1" applyBorder="1"/>
    <xf numFmtId="173" fontId="9" fillId="0" borderId="28" xfId="0" applyNumberFormat="1" applyFont="1" applyFill="1" applyBorder="1"/>
    <xf numFmtId="173" fontId="10" fillId="0" borderId="45" xfId="0" applyNumberFormat="1" applyFont="1" applyFill="1" applyBorder="1" applyAlignment="1" applyProtection="1">
      <alignment vertical="center"/>
    </xf>
    <xf numFmtId="169" fontId="9" fillId="0" borderId="11" xfId="0" applyNumberFormat="1" applyFont="1" applyFill="1" applyBorder="1" applyAlignment="1" applyProtection="1">
      <alignment horizontal="right"/>
    </xf>
    <xf numFmtId="169" fontId="10" fillId="0" borderId="11" xfId="0" applyNumberFormat="1" applyFont="1" applyFill="1" applyBorder="1" applyAlignment="1">
      <alignment horizontal="right"/>
    </xf>
    <xf numFmtId="169" fontId="9" fillId="0" borderId="7" xfId="0" applyNumberFormat="1" applyFont="1" applyFill="1" applyBorder="1" applyAlignment="1" applyProtection="1"/>
    <xf numFmtId="169" fontId="9" fillId="0" borderId="6" xfId="0" applyNumberFormat="1" applyFont="1" applyFill="1" applyBorder="1" applyAlignment="1" applyProtection="1"/>
    <xf numFmtId="169" fontId="9" fillId="0" borderId="8" xfId="0" applyNumberFormat="1" applyFont="1" applyFill="1" applyBorder="1" applyAlignment="1" applyProtection="1"/>
    <xf numFmtId="169" fontId="9" fillId="0" borderId="21" xfId="0" applyNumberFormat="1" applyFont="1" applyFill="1" applyBorder="1" applyAlignment="1" applyProtection="1"/>
    <xf numFmtId="169" fontId="10" fillId="0" borderId="5" xfId="0" applyNumberFormat="1" applyFont="1" applyFill="1" applyBorder="1" applyAlignment="1" applyProtection="1"/>
    <xf numFmtId="179" fontId="10" fillId="0" borderId="11" xfId="0" applyNumberFormat="1" applyFont="1" applyFill="1" applyBorder="1" applyAlignment="1">
      <alignment horizontal="right" vertical="center"/>
    </xf>
    <xf numFmtId="173" fontId="9" fillId="0" borderId="22" xfId="0" applyNumberFormat="1" applyFont="1" applyFill="1" applyBorder="1" applyAlignment="1">
      <alignment vertical="center"/>
    </xf>
    <xf numFmtId="173" fontId="10" fillId="0" borderId="15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/>
    <xf numFmtId="176" fontId="9" fillId="0" borderId="2" xfId="0" applyNumberFormat="1" applyFont="1" applyFill="1" applyBorder="1" applyAlignment="1"/>
    <xf numFmtId="176" fontId="9" fillId="0" borderId="10" xfId="0" applyNumberFormat="1" applyFont="1" applyFill="1" applyBorder="1" applyAlignment="1"/>
    <xf numFmtId="0" fontId="0" fillId="0" borderId="27" xfId="0" applyFill="1" applyBorder="1" applyAlignment="1">
      <alignment horizontal="center" vertical="center"/>
    </xf>
    <xf numFmtId="173" fontId="15" fillId="0" borderId="2" xfId="2" applyNumberFormat="1" applyFont="1" applyFill="1" applyBorder="1" applyAlignment="1" applyProtection="1"/>
    <xf numFmtId="173" fontId="15" fillId="0" borderId="32" xfId="2" applyNumberFormat="1" applyFont="1" applyFill="1" applyBorder="1" applyAlignment="1" applyProtection="1"/>
    <xf numFmtId="173" fontId="15" fillId="0" borderId="4" xfId="2" applyNumberFormat="1" applyFont="1" applyFill="1" applyBorder="1" applyAlignment="1" applyProtection="1"/>
    <xf numFmtId="173" fontId="15" fillId="0" borderId="28" xfId="2" applyNumberFormat="1" applyFont="1" applyFill="1" applyBorder="1" applyAlignment="1" applyProtection="1"/>
    <xf numFmtId="173" fontId="15" fillId="0" borderId="22" xfId="2" applyNumberFormat="1" applyFont="1" applyFill="1" applyBorder="1" applyAlignment="1" applyProtection="1"/>
    <xf numFmtId="0" fontId="9" fillId="0" borderId="4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9" fillId="0" borderId="27" xfId="0" applyFont="1" applyFill="1" applyBorder="1" applyAlignment="1">
      <alignment horizontal="center" vertical="center"/>
    </xf>
    <xf numFmtId="173" fontId="9" fillId="0" borderId="0" xfId="0" applyNumberFormat="1" applyFont="1" applyFill="1" applyBorder="1" applyAlignment="1">
      <alignment horizontal="right"/>
    </xf>
    <xf numFmtId="173" fontId="9" fillId="0" borderId="4" xfId="0" applyNumberFormat="1" applyFont="1" applyFill="1" applyBorder="1" applyAlignment="1">
      <alignment horizontal="right"/>
    </xf>
    <xf numFmtId="173" fontId="10" fillId="0" borderId="41" xfId="0" applyNumberFormat="1" applyFont="1" applyFill="1" applyBorder="1" applyAlignment="1" applyProtection="1">
      <alignment vertical="center"/>
    </xf>
    <xf numFmtId="173" fontId="10" fillId="0" borderId="14" xfId="0" applyNumberFormat="1" applyFont="1" applyFill="1" applyBorder="1" applyAlignment="1" applyProtection="1">
      <alignment vertical="center"/>
    </xf>
    <xf numFmtId="173" fontId="9" fillId="0" borderId="1" xfId="0" applyNumberFormat="1" applyFont="1" applyFill="1" applyBorder="1"/>
    <xf numFmtId="173" fontId="10" fillId="0" borderId="39" xfId="0" applyNumberFormat="1" applyFont="1" applyFill="1" applyBorder="1" applyAlignment="1" applyProtection="1">
      <alignment vertical="center"/>
    </xf>
    <xf numFmtId="173" fontId="10" fillId="0" borderId="11" xfId="0" applyNumberFormat="1" applyFont="1" applyFill="1" applyBorder="1"/>
    <xf numFmtId="173" fontId="10" fillId="0" borderId="11" xfId="0" applyNumberFormat="1" applyFont="1" applyFill="1" applyBorder="1" applyAlignment="1">
      <alignment horizontal="right"/>
    </xf>
    <xf numFmtId="173" fontId="10" fillId="0" borderId="9" xfId="0" applyNumberFormat="1" applyFont="1" applyFill="1" applyBorder="1" applyAlignment="1"/>
    <xf numFmtId="173" fontId="10" fillId="0" borderId="11" xfId="0" applyNumberFormat="1" applyFont="1" applyFill="1" applyBorder="1" applyAlignment="1"/>
    <xf numFmtId="173" fontId="10" fillId="0" borderId="5" xfId="0" applyNumberFormat="1" applyFont="1" applyFill="1" applyBorder="1" applyAlignment="1" applyProtection="1"/>
    <xf numFmtId="192" fontId="9" fillId="0" borderId="0" xfId="0" applyNumberFormat="1" applyFont="1" applyFill="1" applyBorder="1" applyAlignment="1">
      <alignment horizontal="right"/>
    </xf>
    <xf numFmtId="192" fontId="10" fillId="0" borderId="11" xfId="0" applyNumberFormat="1" applyFont="1" applyFill="1" applyBorder="1" applyAlignment="1">
      <alignment horizontal="right"/>
    </xf>
    <xf numFmtId="173" fontId="9" fillId="0" borderId="10" xfId="0" applyNumberFormat="1" applyFont="1" applyFill="1" applyBorder="1"/>
    <xf numFmtId="173" fontId="9" fillId="0" borderId="2" xfId="0" applyNumberFormat="1" applyFont="1" applyFill="1" applyBorder="1"/>
    <xf numFmtId="173" fontId="10" fillId="0" borderId="9" xfId="0" applyNumberFormat="1" applyFont="1" applyFill="1" applyBorder="1"/>
    <xf numFmtId="173" fontId="9" fillId="0" borderId="3" xfId="0" applyNumberFormat="1" applyFont="1" applyFill="1" applyBorder="1" applyAlignment="1" applyProtection="1">
      <alignment horizontal="right" vertical="center"/>
    </xf>
    <xf numFmtId="173" fontId="10" fillId="0" borderId="10" xfId="0" applyNumberFormat="1" applyFont="1" applyFill="1" applyBorder="1"/>
    <xf numFmtId="173" fontId="10" fillId="0" borderId="0" xfId="0" applyNumberFormat="1" applyFont="1" applyFill="1" applyBorder="1"/>
    <xf numFmtId="173" fontId="10" fillId="0" borderId="0" xfId="0" applyNumberFormat="1" applyFont="1" applyFill="1" applyBorder="1" applyAlignment="1">
      <alignment horizontal="right"/>
    </xf>
    <xf numFmtId="169" fontId="10" fillId="0" borderId="6" xfId="0" applyNumberFormat="1" applyFont="1" applyFill="1" applyBorder="1" applyAlignment="1" applyProtection="1">
      <alignment horizontal="right" vertical="top"/>
    </xf>
    <xf numFmtId="173" fontId="9" fillId="0" borderId="32" xfId="0" applyNumberFormat="1" applyFont="1" applyFill="1" applyBorder="1"/>
    <xf numFmtId="169" fontId="9" fillId="0" borderId="21" xfId="0" applyNumberFormat="1" applyFont="1" applyFill="1" applyBorder="1" applyAlignment="1" applyProtection="1">
      <alignment horizontal="right" vertical="top"/>
    </xf>
    <xf numFmtId="169" fontId="9" fillId="0" borderId="8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top"/>
    </xf>
    <xf numFmtId="0" fontId="9" fillId="0" borderId="41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 vertical="center"/>
    </xf>
    <xf numFmtId="169" fontId="10" fillId="0" borderId="4" xfId="0" applyNumberFormat="1" applyFont="1" applyFill="1" applyBorder="1" applyAlignment="1">
      <alignment vertical="center"/>
    </xf>
    <xf numFmtId="169" fontId="9" fillId="0" borderId="28" xfId="0" applyNumberFormat="1" applyFont="1" applyFill="1" applyBorder="1" applyAlignment="1">
      <alignment vertical="center"/>
    </xf>
    <xf numFmtId="169" fontId="10" fillId="0" borderId="29" xfId="0" applyNumberFormat="1" applyFont="1" applyFill="1" applyBorder="1" applyAlignment="1">
      <alignment horizontal="right" vertical="center"/>
    </xf>
    <xf numFmtId="169" fontId="9" fillId="0" borderId="29" xfId="0" applyNumberFormat="1" applyFont="1" applyFill="1" applyBorder="1" applyAlignment="1">
      <alignment horizontal="right" vertical="center"/>
    </xf>
    <xf numFmtId="169" fontId="9" fillId="0" borderId="28" xfId="0" applyNumberFormat="1" applyFont="1" applyFill="1" applyBorder="1" applyAlignment="1">
      <alignment horizontal="right"/>
    </xf>
    <xf numFmtId="169" fontId="9" fillId="0" borderId="29" xfId="0" applyNumberFormat="1" applyFont="1" applyFill="1" applyBorder="1" applyAlignment="1" applyProtection="1">
      <alignment vertical="center"/>
    </xf>
    <xf numFmtId="169" fontId="9" fillId="0" borderId="10" xfId="0" applyNumberFormat="1" applyFont="1" applyFill="1" applyBorder="1" applyAlignment="1">
      <alignment horizontal="centerContinuous" vertical="center"/>
    </xf>
    <xf numFmtId="169" fontId="10" fillId="0" borderId="10" xfId="0" applyNumberFormat="1" applyFont="1" applyFill="1" applyBorder="1" applyAlignment="1">
      <alignment vertical="center"/>
    </xf>
    <xf numFmtId="169" fontId="9" fillId="0" borderId="32" xfId="0" applyNumberFormat="1" applyFont="1" applyFill="1" applyBorder="1" applyAlignment="1">
      <alignment vertical="center"/>
    </xf>
    <xf numFmtId="169" fontId="9" fillId="0" borderId="2" xfId="0" applyNumberFormat="1" applyFont="1" applyFill="1" applyBorder="1" applyAlignment="1" applyProtection="1">
      <alignment horizontal="centerContinuous" vertical="center"/>
    </xf>
    <xf numFmtId="169" fontId="10" fillId="0" borderId="11" xfId="0" applyNumberFormat="1" applyFont="1" applyFill="1" applyBorder="1" applyAlignment="1">
      <alignment horizontal="center"/>
    </xf>
    <xf numFmtId="169" fontId="10" fillId="0" borderId="5" xfId="0" applyNumberFormat="1" applyFont="1" applyFill="1" applyBorder="1" applyAlignment="1" applyProtection="1">
      <alignment horizontal="right"/>
    </xf>
    <xf numFmtId="169" fontId="10" fillId="0" borderId="29" xfId="0" applyNumberFormat="1" applyFont="1" applyFill="1" applyBorder="1" applyAlignment="1">
      <alignment horizontal="center" vertical="center"/>
    </xf>
    <xf numFmtId="169" fontId="10" fillId="0" borderId="9" xfId="0" applyNumberFormat="1" applyFont="1" applyFill="1" applyBorder="1" applyAlignment="1" applyProtection="1">
      <alignment horizontal="center" vertical="center"/>
    </xf>
    <xf numFmtId="169" fontId="10" fillId="0" borderId="5" xfId="0" applyNumberFormat="1" applyFont="1" applyFill="1" applyBorder="1" applyAlignment="1">
      <alignment vertical="center"/>
    </xf>
    <xf numFmtId="169" fontId="10" fillId="0" borderId="9" xfId="0" applyNumberFormat="1" applyFont="1" applyFill="1" applyBorder="1" applyAlignment="1">
      <alignment horizontal="right" vertical="center"/>
    </xf>
    <xf numFmtId="169" fontId="9" fillId="0" borderId="9" xfId="0" applyNumberFormat="1" applyFont="1" applyFill="1" applyBorder="1" applyAlignment="1">
      <alignment horizontal="right" vertical="center"/>
    </xf>
    <xf numFmtId="169" fontId="9" fillId="0" borderId="29" xfId="0" applyNumberFormat="1" applyFont="1" applyFill="1" applyBorder="1" applyAlignment="1"/>
    <xf numFmtId="169" fontId="10" fillId="0" borderId="7" xfId="0" applyNumberFormat="1" applyFont="1" applyFill="1" applyBorder="1" applyAlignment="1">
      <alignment horizontal="centerContinuous" vertical="center"/>
    </xf>
    <xf numFmtId="169" fontId="10" fillId="0" borderId="31" xfId="0" applyNumberFormat="1" applyFont="1" applyFill="1" applyBorder="1" applyAlignment="1">
      <alignment vertical="center"/>
    </xf>
    <xf numFmtId="169" fontId="9" fillId="0" borderId="28" xfId="0" applyNumberFormat="1" applyFont="1" applyFill="1" applyBorder="1" applyAlignment="1" applyProtection="1">
      <alignment horizontal="center" vertical="center"/>
    </xf>
    <xf numFmtId="169" fontId="9" fillId="0" borderId="28" xfId="0" applyNumberFormat="1" applyFont="1" applyFill="1" applyBorder="1" applyAlignment="1">
      <alignment horizontal="center" vertical="center"/>
    </xf>
    <xf numFmtId="169" fontId="9" fillId="0" borderId="2" xfId="0" applyNumberFormat="1" applyFont="1" applyFill="1" applyBorder="1" applyAlignment="1" applyProtection="1">
      <alignment horizontal="center" vertical="center"/>
    </xf>
    <xf numFmtId="169" fontId="9" fillId="0" borderId="1" xfId="0" applyNumberFormat="1" applyFont="1" applyFill="1" applyBorder="1" applyAlignment="1" applyProtection="1">
      <alignment horizontal="centerContinuous" vertical="center"/>
    </xf>
    <xf numFmtId="0" fontId="9" fillId="0" borderId="10" xfId="0" applyFont="1" applyFill="1" applyBorder="1" applyAlignment="1" applyProtection="1">
      <alignment horizontal="centerContinuous" vertical="center"/>
    </xf>
    <xf numFmtId="169" fontId="10" fillId="0" borderId="10" xfId="0" applyNumberFormat="1" applyFont="1" applyFill="1" applyBorder="1" applyAlignment="1" applyProtection="1">
      <alignment horizontal="centerContinuous" vertical="center"/>
    </xf>
    <xf numFmtId="169" fontId="10" fillId="0" borderId="2" xfId="0" applyNumberFormat="1" applyFont="1" applyFill="1" applyBorder="1" applyAlignment="1" applyProtection="1">
      <alignment horizontal="centerContinuous" vertical="center"/>
    </xf>
    <xf numFmtId="169" fontId="10" fillId="0" borderId="11" xfId="0" applyNumberFormat="1" applyFont="1" applyFill="1" applyBorder="1" applyAlignment="1"/>
    <xf numFmtId="169" fontId="10" fillId="0" borderId="9" xfId="0" applyNumberFormat="1" applyFont="1" applyFill="1" applyBorder="1" applyAlignment="1" applyProtection="1"/>
    <xf numFmtId="169" fontId="9" fillId="0" borderId="29" xfId="0" applyNumberFormat="1" applyFont="1" applyFill="1" applyBorder="1" applyAlignment="1">
      <alignment vertical="center"/>
    </xf>
    <xf numFmtId="169" fontId="10" fillId="0" borderId="11" xfId="0" applyNumberFormat="1" applyFont="1" applyFill="1" applyBorder="1" applyAlignment="1" applyProtection="1">
      <alignment horizontal="center"/>
    </xf>
    <xf numFmtId="0" fontId="8" fillId="0" borderId="4" xfId="0" applyFont="1" applyFill="1" applyBorder="1"/>
    <xf numFmtId="0" fontId="8" fillId="0" borderId="3" xfId="0" applyFont="1" applyFill="1" applyBorder="1"/>
    <xf numFmtId="177" fontId="10" fillId="0" borderId="4" xfId="0" applyNumberFormat="1" applyFont="1" applyFill="1" applyBorder="1" applyAlignment="1" applyProtection="1">
      <alignment horizontal="center" vertical="center"/>
    </xf>
    <xf numFmtId="177" fontId="9" fillId="0" borderId="3" xfId="0" applyNumberFormat="1" applyFont="1" applyFill="1" applyBorder="1" applyAlignment="1" applyProtection="1">
      <alignment horizontal="center" vertical="top"/>
    </xf>
    <xf numFmtId="0" fontId="9" fillId="0" borderId="31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/>
    <xf numFmtId="176" fontId="10" fillId="0" borderId="3" xfId="0" applyNumberFormat="1" applyFont="1" applyFill="1" applyBorder="1" applyAlignment="1"/>
    <xf numFmtId="176" fontId="10" fillId="0" borderId="4" xfId="0" applyNumberFormat="1" applyFont="1" applyFill="1" applyBorder="1" applyAlignment="1"/>
    <xf numFmtId="176" fontId="10" fillId="0" borderId="0" xfId="0" applyNumberFormat="1" applyFont="1" applyFill="1" applyBorder="1" applyAlignment="1"/>
    <xf numFmtId="170" fontId="9" fillId="0" borderId="1" xfId="0" applyNumberFormat="1" applyFont="1" applyFill="1" applyBorder="1" applyAlignment="1" applyProtection="1">
      <alignment horizontal="center" vertical="center"/>
    </xf>
    <xf numFmtId="170" fontId="9" fillId="0" borderId="3" xfId="0" applyNumberFormat="1" applyFont="1" applyFill="1" applyBorder="1" applyAlignment="1" applyProtection="1">
      <alignment horizontal="center" vertical="center"/>
    </xf>
    <xf numFmtId="170" fontId="10" fillId="0" borderId="14" xfId="0" applyNumberFormat="1" applyFont="1" applyFill="1" applyBorder="1" applyAlignment="1" applyProtection="1">
      <alignment horizontal="center"/>
    </xf>
    <xf numFmtId="170" fontId="10" fillId="0" borderId="15" xfId="0" applyNumberFormat="1" applyFont="1" applyFill="1" applyBorder="1" applyAlignment="1" applyProtection="1">
      <alignment horizontal="center"/>
    </xf>
    <xf numFmtId="170" fontId="9" fillId="0" borderId="22" xfId="0" applyNumberFormat="1" applyFont="1" applyFill="1" applyBorder="1" applyAlignment="1" applyProtection="1">
      <alignment horizontal="center"/>
    </xf>
    <xf numFmtId="170" fontId="9" fillId="0" borderId="3" xfId="0" applyNumberFormat="1" applyFont="1" applyFill="1" applyBorder="1" applyAlignment="1" applyProtection="1">
      <alignment horizontal="center"/>
    </xf>
    <xf numFmtId="170" fontId="10" fillId="0" borderId="0" xfId="0" applyNumberFormat="1" applyFont="1" applyFill="1" applyBorder="1" applyAlignment="1" applyProtection="1">
      <alignment horizontal="center"/>
    </xf>
    <xf numFmtId="0" fontId="15" fillId="0" borderId="35" xfId="0" applyFont="1" applyFill="1" applyBorder="1"/>
    <xf numFmtId="0" fontId="16" fillId="0" borderId="35" xfId="0" applyFont="1" applyFill="1" applyBorder="1" applyAlignment="1" applyProtection="1">
      <alignment horizontal="center" wrapText="1"/>
    </xf>
    <xf numFmtId="183" fontId="7" fillId="0" borderId="16" xfId="0" applyNumberFormat="1" applyFont="1" applyFill="1" applyBorder="1" applyAlignment="1" applyProtection="1">
      <alignment horizontal="right"/>
    </xf>
    <xf numFmtId="170" fontId="10" fillId="0" borderId="55" xfId="0" applyNumberFormat="1" applyFont="1" applyFill="1" applyBorder="1" applyAlignment="1" applyProtection="1">
      <alignment horizontal="center"/>
    </xf>
    <xf numFmtId="0" fontId="15" fillId="0" borderId="55" xfId="0" applyFont="1" applyFill="1" applyBorder="1"/>
    <xf numFmtId="0" fontId="16" fillId="0" borderId="55" xfId="0" applyFont="1" applyFill="1" applyBorder="1" applyAlignment="1" applyProtection="1">
      <alignment horizont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5" fillId="0" borderId="47" xfId="0" applyFont="1" applyFill="1" applyBorder="1" applyAlignment="1">
      <alignment vertical="center"/>
    </xf>
    <xf numFmtId="0" fontId="33" fillId="0" borderId="40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173" fontId="10" fillId="0" borderId="0" xfId="0" applyNumberFormat="1" applyFont="1" applyFill="1" applyBorder="1" applyAlignment="1">
      <alignment horizontal="right" vertical="center"/>
    </xf>
    <xf numFmtId="173" fontId="9" fillId="0" borderId="4" xfId="0" applyNumberFormat="1" applyFont="1" applyFill="1" applyBorder="1" applyAlignment="1">
      <alignment vertical="top"/>
    </xf>
    <xf numFmtId="181" fontId="9" fillId="0" borderId="25" xfId="0" applyNumberFormat="1" applyFont="1" applyFill="1" applyBorder="1" applyAlignment="1">
      <alignment vertical="top"/>
    </xf>
    <xf numFmtId="173" fontId="9" fillId="0" borderId="25" xfId="0" applyNumberFormat="1" applyFont="1" applyFill="1" applyBorder="1" applyAlignment="1">
      <alignment vertical="center"/>
    </xf>
    <xf numFmtId="173" fontId="9" fillId="0" borderId="0" xfId="0" applyNumberFormat="1" applyFont="1" applyFill="1" applyBorder="1" applyAlignment="1">
      <alignment horizontal="right" vertical="center"/>
    </xf>
    <xf numFmtId="173" fontId="9" fillId="0" borderId="25" xfId="0" applyNumberFormat="1" applyFont="1" applyFill="1" applyBorder="1" applyAlignment="1"/>
    <xf numFmtId="0" fontId="10" fillId="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6" fillId="0" borderId="4" xfId="2" applyFont="1" applyFill="1" applyBorder="1" applyAlignment="1" applyProtection="1">
      <alignment horizontal="center"/>
    </xf>
    <xf numFmtId="0" fontId="16" fillId="0" borderId="4" xfId="2" applyFont="1" applyFill="1" applyBorder="1" applyAlignment="1">
      <alignment horizontal="center"/>
    </xf>
    <xf numFmtId="0" fontId="10" fillId="0" borderId="47" xfId="2" applyFont="1" applyFill="1" applyBorder="1" applyAlignment="1" applyProtection="1">
      <alignment vertical="center"/>
    </xf>
    <xf numFmtId="0" fontId="10" fillId="0" borderId="41" xfId="2" applyFont="1" applyFill="1" applyBorder="1" applyAlignment="1" applyProtection="1">
      <alignment vertical="center"/>
    </xf>
    <xf numFmtId="0" fontId="9" fillId="0" borderId="1" xfId="2" applyFont="1" applyFill="1" applyBorder="1" applyAlignment="1">
      <alignment horizontal="centerContinuous"/>
    </xf>
    <xf numFmtId="0" fontId="10" fillId="0" borderId="9" xfId="2" applyFont="1" applyFill="1" applyBorder="1" applyAlignment="1">
      <alignment horizontal="centerContinuous"/>
    </xf>
    <xf numFmtId="0" fontId="9" fillId="0" borderId="1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Continuous"/>
    </xf>
    <xf numFmtId="0" fontId="10" fillId="0" borderId="11" xfId="2" applyFont="1" applyFill="1" applyBorder="1" applyAlignment="1">
      <alignment horizontal="centerContinuous"/>
    </xf>
    <xf numFmtId="0" fontId="9" fillId="0" borderId="3" xfId="2" applyFont="1" applyFill="1" applyBorder="1" applyAlignment="1"/>
    <xf numFmtId="0" fontId="10" fillId="0" borderId="9" xfId="2" applyFont="1" applyFill="1" applyBorder="1" applyAlignment="1" applyProtection="1">
      <alignment horizontal="centerContinuous"/>
    </xf>
    <xf numFmtId="0" fontId="10" fillId="0" borderId="11" xfId="2" applyFont="1" applyFill="1" applyBorder="1" applyAlignment="1" applyProtection="1">
      <alignment horizontal="centerContinuous"/>
    </xf>
    <xf numFmtId="0" fontId="9" fillId="0" borderId="31" xfId="2" applyFont="1" applyFill="1" applyBorder="1" applyAlignment="1">
      <alignment horizontal="center"/>
    </xf>
    <xf numFmtId="0" fontId="10" fillId="0" borderId="5" xfId="2" applyFont="1" applyFill="1" applyBorder="1" applyAlignment="1" applyProtection="1">
      <alignment horizontal="centerContinuous"/>
    </xf>
    <xf numFmtId="0" fontId="9" fillId="0" borderId="7" xfId="2" applyFont="1" applyFill="1" applyBorder="1" applyAlignment="1" applyProtection="1">
      <alignment horizontal="center"/>
    </xf>
    <xf numFmtId="170" fontId="9" fillId="0" borderId="3" xfId="2" applyNumberFormat="1" applyFont="1" applyFill="1" applyBorder="1" applyAlignment="1" applyProtection="1"/>
    <xf numFmtId="170" fontId="9" fillId="0" borderId="11" xfId="2" applyNumberFormat="1" applyFont="1" applyFill="1" applyBorder="1" applyAlignment="1" applyProtection="1"/>
    <xf numFmtId="170" fontId="9" fillId="0" borderId="0" xfId="2" applyNumberFormat="1" applyFont="1" applyFill="1" applyBorder="1" applyAlignment="1" applyProtection="1"/>
    <xf numFmtId="170" fontId="9" fillId="0" borderId="11" xfId="0" applyNumberFormat="1" applyFont="1" applyFill="1" applyBorder="1" applyAlignment="1" applyProtection="1"/>
    <xf numFmtId="170" fontId="9" fillId="0" borderId="4" xfId="0" applyNumberFormat="1" applyFont="1" applyFill="1" applyBorder="1" applyAlignment="1" applyProtection="1"/>
    <xf numFmtId="170" fontId="9" fillId="0" borderId="22" xfId="0" applyNumberFormat="1" applyFont="1" applyFill="1" applyBorder="1" applyAlignment="1" applyProtection="1"/>
    <xf numFmtId="170" fontId="9" fillId="0" borderId="0" xfId="0" applyNumberFormat="1" applyFont="1" applyFill="1" applyBorder="1" applyAlignment="1" applyProtection="1"/>
    <xf numFmtId="170" fontId="9" fillId="0" borderId="3" xfId="0" applyNumberFormat="1" applyFont="1" applyFill="1" applyBorder="1" applyAlignment="1" applyProtection="1"/>
    <xf numFmtId="170" fontId="9" fillId="0" borderId="4" xfId="2" applyNumberFormat="1" applyFont="1" applyFill="1" applyBorder="1" applyAlignment="1" applyProtection="1"/>
    <xf numFmtId="170" fontId="10" fillId="0" borderId="3" xfId="2" applyNumberFormat="1" applyFont="1" applyFill="1" applyBorder="1" applyAlignment="1" applyProtection="1"/>
    <xf numFmtId="170" fontId="10" fillId="0" borderId="4" xfId="0" applyNumberFormat="1" applyFont="1" applyFill="1" applyBorder="1" applyAlignment="1" applyProtection="1"/>
    <xf numFmtId="170" fontId="10" fillId="0" borderId="11" xfId="0" applyNumberFormat="1" applyFont="1" applyFill="1" applyBorder="1" applyAlignment="1" applyProtection="1"/>
    <xf numFmtId="173" fontId="16" fillId="0" borderId="2" xfId="2" applyNumberFormat="1" applyFont="1" applyFill="1" applyBorder="1" applyAlignment="1" applyProtection="1"/>
    <xf numFmtId="173" fontId="16" fillId="0" borderId="4" xfId="2" applyNumberFormat="1" applyFont="1" applyFill="1" applyBorder="1" applyAlignment="1" applyProtection="1"/>
    <xf numFmtId="173" fontId="16" fillId="0" borderId="3" xfId="2" applyNumberFormat="1" applyFont="1" applyFill="1" applyBorder="1" applyAlignment="1" applyProtection="1"/>
    <xf numFmtId="173" fontId="15" fillId="0" borderId="5" xfId="2" applyNumberFormat="1" applyFont="1" applyFill="1" applyBorder="1" applyAlignment="1"/>
    <xf numFmtId="173" fontId="15" fillId="0" borderId="5" xfId="2" applyNumberFormat="1" applyFont="1" applyFill="1" applyBorder="1" applyAlignment="1" applyProtection="1"/>
    <xf numFmtId="173" fontId="15" fillId="0" borderId="7" xfId="2" applyNumberFormat="1" applyFont="1" applyFill="1" applyBorder="1" applyAlignment="1"/>
    <xf numFmtId="173" fontId="15" fillId="0" borderId="31" xfId="2" applyNumberFormat="1" applyFont="1" applyFill="1" applyBorder="1"/>
    <xf numFmtId="179" fontId="10" fillId="0" borderId="0" xfId="0" applyNumberFormat="1" applyFont="1" applyFill="1" applyBorder="1" applyAlignment="1" applyProtection="1">
      <alignment horizontal="right"/>
    </xf>
    <xf numFmtId="179" fontId="10" fillId="0" borderId="28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179" fontId="9" fillId="0" borderId="28" xfId="0" applyNumberFormat="1" applyFont="1" applyFill="1" applyBorder="1" applyAlignment="1" applyProtection="1">
      <alignment horizontal="right"/>
    </xf>
    <xf numFmtId="179" fontId="9" fillId="0" borderId="28" xfId="0" applyNumberFormat="1" applyFont="1" applyFill="1" applyBorder="1" applyAlignment="1" applyProtection="1">
      <alignment horizontal="left"/>
    </xf>
    <xf numFmtId="179" fontId="9" fillId="0" borderId="0" xfId="2" applyNumberFormat="1" applyFont="1" applyBorder="1" applyAlignment="1"/>
    <xf numFmtId="179" fontId="10" fillId="0" borderId="28" xfId="0" applyNumberFormat="1" applyFont="1" applyFill="1" applyBorder="1" applyAlignment="1">
      <alignment vertical="center"/>
    </xf>
    <xf numFmtId="179" fontId="9" fillId="0" borderId="0" xfId="0" applyNumberFormat="1" applyFont="1" applyBorder="1" applyAlignment="1"/>
    <xf numFmtId="179" fontId="9" fillId="0" borderId="28" xfId="0" applyNumberFormat="1" applyFont="1" applyFill="1" applyBorder="1" applyAlignment="1">
      <alignment vertical="center"/>
    </xf>
    <xf numFmtId="179" fontId="9" fillId="0" borderId="11" xfId="0" applyNumberFormat="1" applyFont="1" applyFill="1" applyBorder="1" applyAlignment="1" applyProtection="1">
      <alignment horizontal="right"/>
    </xf>
    <xf numFmtId="179" fontId="9" fillId="0" borderId="26" xfId="0" applyNumberFormat="1" applyFont="1" applyFill="1" applyBorder="1" applyAlignment="1">
      <alignment vertical="center"/>
    </xf>
    <xf numFmtId="179" fontId="10" fillId="0" borderId="19" xfId="0" applyNumberFormat="1" applyFont="1" applyFill="1" applyBorder="1" applyAlignment="1">
      <alignment horizontal="right" vertical="center"/>
    </xf>
    <xf numFmtId="179" fontId="10" fillId="0" borderId="18" xfId="0" applyNumberFormat="1" applyFont="1" applyFill="1" applyBorder="1" applyAlignment="1">
      <alignment horizontal="right" vertical="center"/>
    </xf>
    <xf numFmtId="179" fontId="10" fillId="0" borderId="25" xfId="0" applyNumberFormat="1" applyFont="1" applyFill="1" applyBorder="1" applyAlignment="1">
      <alignment horizontal="right" vertical="center"/>
    </xf>
    <xf numFmtId="179" fontId="10" fillId="0" borderId="29" xfId="0" applyNumberFormat="1" applyFont="1" applyFill="1" applyBorder="1" applyAlignment="1">
      <alignment horizontal="right" vertical="center"/>
    </xf>
    <xf numFmtId="179" fontId="9" fillId="0" borderId="28" xfId="0" applyNumberFormat="1" applyFont="1" applyFill="1" applyBorder="1" applyAlignment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79" fontId="10" fillId="0" borderId="4" xfId="1" applyNumberFormat="1" applyFont="1" applyFill="1" applyBorder="1" applyAlignment="1" applyProtection="1">
      <alignment horizontal="right" vertical="center"/>
    </xf>
    <xf numFmtId="170" fontId="10" fillId="0" borderId="3" xfId="0" applyNumberFormat="1" applyFont="1" applyFill="1" applyBorder="1" applyAlignment="1" applyProtection="1"/>
    <xf numFmtId="0" fontId="9" fillId="0" borderId="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169" fontId="10" fillId="0" borderId="11" xfId="0" applyNumberFormat="1" applyFont="1" applyFill="1" applyBorder="1" applyAlignment="1">
      <alignment horizontal="center" vertical="center"/>
    </xf>
    <xf numFmtId="169" fontId="10" fillId="0" borderId="4" xfId="0" applyNumberFormat="1" applyFont="1" applyFill="1" applyBorder="1" applyAlignment="1">
      <alignment horizontal="center" vertical="center"/>
    </xf>
    <xf numFmtId="169" fontId="10" fillId="0" borderId="11" xfId="0" applyNumberFormat="1" applyFont="1" applyFill="1" applyBorder="1" applyAlignment="1" applyProtection="1">
      <alignment horizontal="center" vertical="center"/>
    </xf>
    <xf numFmtId="170" fontId="9" fillId="0" borderId="3" xfId="0" applyNumberFormat="1" applyFont="1" applyFill="1" applyBorder="1" applyAlignment="1" applyProtection="1">
      <alignment horizontal="centerContinuous" vertical="center"/>
    </xf>
    <xf numFmtId="0" fontId="10" fillId="0" borderId="3" xfId="0" applyFont="1" applyFill="1" applyBorder="1" applyAlignment="1" applyProtection="1">
      <alignment horizontal="fill" vertical="center"/>
    </xf>
    <xf numFmtId="0" fontId="10" fillId="0" borderId="11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9" fillId="0" borderId="2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/>
    </xf>
    <xf numFmtId="0" fontId="10" fillId="0" borderId="27" xfId="0" applyFont="1" applyFill="1" applyBorder="1" applyAlignment="1" applyProtection="1">
      <alignment horizontal="center"/>
    </xf>
    <xf numFmtId="179" fontId="10" fillId="0" borderId="1" xfId="0" applyNumberFormat="1" applyFont="1" applyFill="1" applyBorder="1" applyAlignment="1" applyProtection="1">
      <alignment horizontal="right"/>
    </xf>
    <xf numFmtId="179" fontId="10" fillId="0" borderId="9" xfId="0" applyNumberFormat="1" applyFont="1" applyFill="1" applyBorder="1" applyAlignment="1" applyProtection="1">
      <alignment horizontal="right"/>
    </xf>
    <xf numFmtId="179" fontId="10" fillId="0" borderId="10" xfId="0" applyNumberFormat="1" applyFont="1" applyFill="1" applyBorder="1" applyAlignment="1" applyProtection="1">
      <alignment horizontal="right"/>
    </xf>
    <xf numFmtId="179" fontId="10" fillId="0" borderId="11" xfId="0" applyNumberFormat="1" applyFont="1" applyFill="1" applyBorder="1" applyAlignment="1" applyProtection="1">
      <alignment horizontal="right"/>
    </xf>
    <xf numFmtId="179" fontId="10" fillId="0" borderId="3" xfId="0" applyNumberFormat="1" applyFont="1" applyFill="1" applyBorder="1" applyAlignment="1" applyProtection="1">
      <alignment horizontal="right"/>
    </xf>
    <xf numFmtId="179" fontId="10" fillId="0" borderId="4" xfId="0" applyNumberFormat="1" applyFont="1" applyFill="1" applyBorder="1" applyAlignment="1" applyProtection="1">
      <alignment horizontal="right"/>
    </xf>
    <xf numFmtId="0" fontId="10" fillId="0" borderId="20" xfId="0" applyFont="1" applyFill="1" applyBorder="1" applyAlignment="1" applyProtection="1">
      <alignment horizontal="center"/>
    </xf>
    <xf numFmtId="0" fontId="9" fillId="0" borderId="27" xfId="0" applyFont="1" applyFill="1" applyBorder="1" applyAlignment="1">
      <alignment horizontal="center" vertical="center"/>
    </xf>
    <xf numFmtId="179" fontId="10" fillId="0" borderId="19" xfId="0" applyNumberFormat="1" applyFont="1" applyFill="1" applyBorder="1" applyAlignment="1" applyProtection="1">
      <alignment horizontal="right" vertical="center"/>
    </xf>
    <xf numFmtId="0" fontId="16" fillId="0" borderId="34" xfId="0" applyFont="1" applyFill="1" applyBorder="1" applyAlignment="1" applyProtection="1">
      <alignment horizontal="left" wrapText="1"/>
    </xf>
    <xf numFmtId="0" fontId="15" fillId="0" borderId="8" xfId="0" applyFont="1" applyFill="1" applyBorder="1" applyAlignment="1" applyProtection="1">
      <alignment horizontal="left" wrapText="1"/>
    </xf>
    <xf numFmtId="0" fontId="10" fillId="2" borderId="34" xfId="2" applyFont="1" applyFill="1" applyBorder="1" applyAlignment="1" applyProtection="1">
      <alignment horizontal="center" vertical="center"/>
    </xf>
    <xf numFmtId="0" fontId="15" fillId="2" borderId="4" xfId="2" applyFont="1" applyFill="1" applyBorder="1" applyAlignment="1" applyProtection="1">
      <alignment horizontal="fill"/>
    </xf>
    <xf numFmtId="0" fontId="9" fillId="2" borderId="4" xfId="2" applyFont="1" applyFill="1" applyBorder="1" applyAlignment="1" applyProtection="1">
      <alignment horizontal="left" vertical="center"/>
    </xf>
    <xf numFmtId="170" fontId="10" fillId="2" borderId="3" xfId="2" applyNumberFormat="1" applyFont="1" applyFill="1" applyBorder="1" applyAlignment="1" applyProtection="1"/>
    <xf numFmtId="170" fontId="9" fillId="2" borderId="11" xfId="2" applyNumberFormat="1" applyFont="1" applyFill="1" applyBorder="1" applyAlignment="1" applyProtection="1"/>
    <xf numFmtId="170" fontId="9" fillId="2" borderId="0" xfId="2" applyNumberFormat="1" applyFont="1" applyFill="1" applyBorder="1" applyAlignment="1" applyProtection="1"/>
    <xf numFmtId="170" fontId="9" fillId="2" borderId="3" xfId="2" applyNumberFormat="1" applyFont="1" applyFill="1" applyBorder="1" applyAlignment="1" applyProtection="1"/>
    <xf numFmtId="170" fontId="10" fillId="2" borderId="11" xfId="0" applyNumberFormat="1" applyFont="1" applyFill="1" applyBorder="1" applyAlignment="1" applyProtection="1"/>
    <xf numFmtId="170" fontId="9" fillId="2" borderId="11" xfId="0" applyNumberFormat="1" applyFont="1" applyFill="1" applyBorder="1" applyAlignment="1" applyProtection="1"/>
    <xf numFmtId="170" fontId="9" fillId="2" borderId="4" xfId="0" applyNumberFormat="1" applyFont="1" applyFill="1" applyBorder="1" applyAlignment="1" applyProtection="1"/>
    <xf numFmtId="170" fontId="9" fillId="2" borderId="22" xfId="0" applyNumberFormat="1" applyFont="1" applyFill="1" applyBorder="1" applyAlignment="1" applyProtection="1"/>
    <xf numFmtId="0" fontId="16" fillId="2" borderId="4" xfId="2" applyFont="1" applyFill="1" applyBorder="1" applyAlignment="1" applyProtection="1">
      <alignment horizontal="left" vertical="center"/>
    </xf>
    <xf numFmtId="0" fontId="9" fillId="2" borderId="0" xfId="2" applyFont="1" applyFill="1" applyBorder="1" applyAlignment="1" applyProtection="1">
      <alignment horizontal="left" vertical="center"/>
    </xf>
    <xf numFmtId="170" fontId="10" fillId="2" borderId="3" xfId="0" applyNumberFormat="1" applyFont="1" applyFill="1" applyBorder="1" applyAlignment="1" applyProtection="1">
      <alignment horizontal="center"/>
    </xf>
    <xf numFmtId="170" fontId="9" fillId="2" borderId="11" xfId="0" applyNumberFormat="1" applyFont="1" applyFill="1" applyBorder="1" applyAlignment="1" applyProtection="1">
      <alignment horizontal="center"/>
    </xf>
    <xf numFmtId="170" fontId="9" fillId="2" borderId="4" xfId="0" applyNumberFormat="1" applyFont="1" applyFill="1" applyBorder="1" applyAlignment="1" applyProtection="1">
      <alignment horizontal="center"/>
    </xf>
    <xf numFmtId="170" fontId="9" fillId="2" borderId="3" xfId="0" applyNumberFormat="1" applyFont="1" applyFill="1" applyBorder="1" applyAlignment="1" applyProtection="1">
      <alignment horizontal="center"/>
    </xf>
    <xf numFmtId="170" fontId="9" fillId="2" borderId="22" xfId="0" applyNumberFormat="1" applyFont="1" applyFill="1" applyBorder="1" applyAlignment="1" applyProtection="1">
      <alignment horizontal="center"/>
    </xf>
    <xf numFmtId="0" fontId="9" fillId="2" borderId="4" xfId="2" applyFont="1" applyFill="1" applyBorder="1"/>
    <xf numFmtId="190" fontId="9" fillId="2" borderId="4" xfId="2" applyNumberFormat="1" applyFont="1" applyFill="1" applyBorder="1" applyAlignment="1">
      <alignment wrapText="1"/>
    </xf>
    <xf numFmtId="0" fontId="9" fillId="0" borderId="0" xfId="0" applyFont="1" applyFill="1" applyBorder="1" applyAlignment="1" applyProtection="1">
      <alignment horizontal="center" vertical="center"/>
    </xf>
    <xf numFmtId="169" fontId="16" fillId="0" borderId="3" xfId="0" applyNumberFormat="1" applyFont="1" applyFill="1" applyBorder="1" applyAlignment="1" applyProtection="1">
      <alignment horizontal="left" vertical="center"/>
    </xf>
    <xf numFmtId="169" fontId="16" fillId="0" borderId="11" xfId="0" applyNumberFormat="1" applyFont="1" applyFill="1" applyBorder="1" applyAlignment="1" applyProtection="1"/>
    <xf numFmtId="169" fontId="16" fillId="0" borderId="0" xfId="0" applyNumberFormat="1" applyFont="1" applyFill="1" applyBorder="1" applyAlignment="1" applyProtection="1"/>
    <xf numFmtId="169" fontId="16" fillId="0" borderId="4" xfId="0" applyNumberFormat="1" applyFont="1" applyFill="1" applyBorder="1" applyAlignment="1" applyProtection="1"/>
    <xf numFmtId="169" fontId="16" fillId="0" borderId="28" xfId="0" applyNumberFormat="1" applyFont="1" applyFill="1" applyBorder="1" applyAlignment="1" applyProtection="1"/>
    <xf numFmtId="169" fontId="15" fillId="0" borderId="3" xfId="0" applyNumberFormat="1" applyFont="1" applyFill="1" applyBorder="1" applyAlignment="1">
      <alignment vertical="center"/>
    </xf>
    <xf numFmtId="169" fontId="16" fillId="0" borderId="3" xfId="0" applyNumberFormat="1" applyFont="1" applyFill="1" applyBorder="1" applyAlignment="1" applyProtection="1"/>
    <xf numFmtId="186" fontId="16" fillId="0" borderId="11" xfId="0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/>
    <xf numFmtId="0" fontId="15" fillId="0" borderId="28" xfId="0" applyFont="1" applyFill="1" applyBorder="1" applyAlignment="1"/>
    <xf numFmtId="169" fontId="15" fillId="0" borderId="3" xfId="0" applyNumberFormat="1" applyFont="1" applyFill="1" applyBorder="1" applyAlignment="1" applyProtection="1">
      <alignment horizontal="left" vertical="center"/>
    </xf>
    <xf numFmtId="169" fontId="15" fillId="0" borderId="0" xfId="0" applyNumberFormat="1" applyFont="1" applyFill="1" applyBorder="1" applyAlignment="1" applyProtection="1"/>
    <xf numFmtId="169" fontId="15" fillId="0" borderId="4" xfId="0" applyNumberFormat="1" applyFont="1" applyFill="1" applyBorder="1" applyAlignment="1" applyProtection="1"/>
    <xf numFmtId="169" fontId="15" fillId="0" borderId="28" xfId="0" applyNumberFormat="1" applyFont="1" applyFill="1" applyBorder="1" applyAlignment="1" applyProtection="1"/>
    <xf numFmtId="169" fontId="15" fillId="0" borderId="11" xfId="0" applyNumberFormat="1" applyFont="1" applyFill="1" applyBorder="1" applyAlignment="1" applyProtection="1"/>
    <xf numFmtId="169" fontId="15" fillId="0" borderId="3" xfId="0" applyNumberFormat="1" applyFont="1" applyFill="1" applyBorder="1" applyAlignment="1" applyProtection="1"/>
    <xf numFmtId="0" fontId="9" fillId="0" borderId="27" xfId="0" applyFont="1" applyFill="1" applyBorder="1" applyAlignment="1">
      <alignment horizontal="center" vertical="center"/>
    </xf>
    <xf numFmtId="169" fontId="9" fillId="0" borderId="5" xfId="0" applyNumberFormat="1" applyFont="1" applyFill="1" applyBorder="1" applyAlignment="1" applyProtection="1"/>
    <xf numFmtId="170" fontId="16" fillId="0" borderId="14" xfId="0" applyNumberFormat="1" applyFont="1" applyFill="1" applyBorder="1" applyAlignment="1" applyProtection="1">
      <alignment horizontal="center" vertical="center"/>
    </xf>
    <xf numFmtId="170" fontId="16" fillId="0" borderId="15" xfId="0" applyNumberFormat="1" applyFont="1" applyFill="1" applyBorder="1" applyAlignment="1" applyProtection="1">
      <alignment horizontal="center" vertical="center"/>
    </xf>
    <xf numFmtId="170" fontId="9" fillId="0" borderId="33" xfId="0" applyNumberFormat="1" applyFont="1" applyFill="1" applyBorder="1" applyAlignment="1" applyProtection="1">
      <alignment horizontal="center" vertical="center"/>
    </xf>
    <xf numFmtId="170" fontId="9" fillId="0" borderId="22" xfId="0" applyNumberFormat="1" applyFont="1" applyFill="1" applyBorder="1" applyAlignment="1" applyProtection="1">
      <alignment horizontal="center" vertical="center"/>
    </xf>
    <xf numFmtId="0" fontId="16" fillId="0" borderId="40" xfId="2" applyFont="1" applyFill="1" applyBorder="1" applyAlignment="1" applyProtection="1">
      <alignment horizontal="left" vertical="center"/>
    </xf>
    <xf numFmtId="170" fontId="16" fillId="0" borderId="14" xfId="2" applyNumberFormat="1" applyFont="1" applyFill="1" applyBorder="1" applyAlignment="1" applyProtection="1">
      <alignment horizontal="right" vertical="center"/>
    </xf>
    <xf numFmtId="170" fontId="16" fillId="0" borderId="39" xfId="2" applyNumberFormat="1" applyFont="1" applyFill="1" applyBorder="1" applyAlignment="1" applyProtection="1">
      <alignment horizontal="right" vertical="center"/>
    </xf>
    <xf numFmtId="170" fontId="16" fillId="0" borderId="40" xfId="2" applyNumberFormat="1" applyFont="1" applyFill="1" applyBorder="1" applyAlignment="1" applyProtection="1">
      <alignment horizontal="right" vertical="center"/>
    </xf>
    <xf numFmtId="170" fontId="16" fillId="0" borderId="39" xfId="0" applyNumberFormat="1" applyFont="1" applyFill="1" applyBorder="1" applyAlignment="1" applyProtection="1">
      <alignment horizontal="right" vertical="center"/>
    </xf>
    <xf numFmtId="170" fontId="16" fillId="0" borderId="41" xfId="0" applyNumberFormat="1" applyFont="1" applyFill="1" applyBorder="1" applyAlignment="1" applyProtection="1">
      <alignment horizontal="right" vertical="center"/>
    </xf>
    <xf numFmtId="170" fontId="16" fillId="0" borderId="15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3" fontId="10" fillId="0" borderId="3" xfId="0" applyNumberFormat="1" applyFont="1" applyFill="1" applyBorder="1" applyAlignment="1">
      <alignment vertical="center"/>
    </xf>
    <xf numFmtId="173" fontId="10" fillId="0" borderId="0" xfId="0" applyNumberFormat="1" applyFont="1" applyFill="1" applyBorder="1" applyAlignment="1">
      <alignment vertical="center"/>
    </xf>
    <xf numFmtId="173" fontId="10" fillId="0" borderId="4" xfId="0" applyNumberFormat="1" applyFont="1" applyFill="1" applyBorder="1" applyAlignment="1">
      <alignment vertical="center"/>
    </xf>
    <xf numFmtId="173" fontId="10" fillId="0" borderId="28" xfId="0" applyNumberFormat="1" applyFont="1" applyFill="1" applyBorder="1" applyAlignment="1">
      <alignment vertical="center"/>
    </xf>
    <xf numFmtId="1" fontId="10" fillId="0" borderId="4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73" fontId="10" fillId="3" borderId="39" xfId="0" applyNumberFormat="1" applyFont="1" applyFill="1" applyBorder="1" applyAlignment="1" applyProtection="1">
      <alignment vertical="center"/>
    </xf>
    <xf numFmtId="173" fontId="10" fillId="3" borderId="40" xfId="0" applyNumberFormat="1" applyFont="1" applyFill="1" applyBorder="1" applyAlignment="1" applyProtection="1">
      <alignment vertical="center"/>
    </xf>
    <xf numFmtId="173" fontId="10" fillId="3" borderId="41" xfId="0" applyNumberFormat="1" applyFont="1" applyFill="1" applyBorder="1" applyAlignment="1" applyProtection="1">
      <alignment vertical="center"/>
    </xf>
    <xf numFmtId="173" fontId="46" fillId="4" borderId="40" xfId="0" applyNumberFormat="1" applyFont="1" applyFill="1" applyBorder="1" applyAlignment="1" applyProtection="1">
      <alignment vertical="center"/>
    </xf>
    <xf numFmtId="173" fontId="46" fillId="4" borderId="41" xfId="0" applyNumberFormat="1" applyFont="1" applyFill="1" applyBorder="1" applyAlignment="1" applyProtection="1">
      <alignment vertical="center"/>
    </xf>
    <xf numFmtId="173" fontId="45" fillId="3" borderId="40" xfId="0" applyNumberFormat="1" applyFont="1" applyFill="1" applyBorder="1" applyAlignment="1" applyProtection="1">
      <alignment vertical="center"/>
    </xf>
    <xf numFmtId="173" fontId="45" fillId="3" borderId="41" xfId="0" applyNumberFormat="1" applyFont="1" applyFill="1" applyBorder="1" applyAlignment="1" applyProtection="1">
      <alignment vertical="center"/>
    </xf>
    <xf numFmtId="169" fontId="47" fillId="3" borderId="0" xfId="0" applyNumberFormat="1" applyFont="1" applyFill="1" applyBorder="1" applyAlignment="1">
      <alignment vertical="center"/>
    </xf>
    <xf numFmtId="169" fontId="9" fillId="3" borderId="0" xfId="0" applyNumberFormat="1" applyFont="1" applyFill="1" applyBorder="1" applyAlignment="1">
      <alignment vertical="center"/>
    </xf>
    <xf numFmtId="169" fontId="9" fillId="2" borderId="0" xfId="0" applyNumberFormat="1" applyFont="1" applyFill="1" applyBorder="1" applyAlignment="1">
      <alignment vertical="center"/>
    </xf>
    <xf numFmtId="173" fontId="10" fillId="2" borderId="41" xfId="0" applyNumberFormat="1" applyFont="1" applyFill="1" applyBorder="1" applyAlignment="1" applyProtection="1">
      <alignment vertical="center"/>
    </xf>
    <xf numFmtId="173" fontId="10" fillId="2" borderId="39" xfId="0" applyNumberFormat="1" applyFont="1" applyFill="1" applyBorder="1" applyAlignment="1" applyProtection="1">
      <alignment vertical="center"/>
    </xf>
    <xf numFmtId="173" fontId="10" fillId="2" borderId="40" xfId="0" applyNumberFormat="1" applyFont="1" applyFill="1" applyBorder="1" applyAlignment="1" applyProtection="1">
      <alignment vertical="center"/>
    </xf>
    <xf numFmtId="173" fontId="45" fillId="2" borderId="40" xfId="0" applyNumberFormat="1" applyFont="1" applyFill="1" applyBorder="1" applyAlignment="1" applyProtection="1">
      <alignment vertical="center"/>
    </xf>
    <xf numFmtId="169" fontId="9" fillId="2" borderId="0" xfId="0" applyNumberFormat="1" applyFont="1" applyFill="1" applyAlignment="1">
      <alignment vertical="center"/>
    </xf>
    <xf numFmtId="169" fontId="9" fillId="3" borderId="0" xfId="0" applyNumberFormat="1" applyFont="1" applyFill="1" applyAlignment="1">
      <alignment vertical="center"/>
    </xf>
    <xf numFmtId="169" fontId="46" fillId="4" borderId="0" xfId="0" applyNumberFormat="1" applyFont="1" applyFill="1" applyBorder="1" applyAlignment="1">
      <alignment vertical="center"/>
    </xf>
    <xf numFmtId="173" fontId="10" fillId="0" borderId="3" xfId="0" applyNumberFormat="1" applyFont="1" applyFill="1" applyBorder="1" applyAlignment="1">
      <alignment vertical="top"/>
    </xf>
    <xf numFmtId="173" fontId="10" fillId="0" borderId="0" xfId="0" applyNumberFormat="1" applyFont="1" applyFill="1" applyBorder="1" applyAlignment="1">
      <alignment vertical="top"/>
    </xf>
    <xf numFmtId="173" fontId="45" fillId="2" borderId="41" xfId="0" applyNumberFormat="1" applyFont="1" applyFill="1" applyBorder="1" applyAlignment="1" applyProtection="1">
      <alignment vertical="center"/>
    </xf>
    <xf numFmtId="1" fontId="10" fillId="0" borderId="11" xfId="0" applyNumberFormat="1" applyFont="1" applyFill="1" applyBorder="1" applyAlignment="1">
      <alignment horizontal="center" vertical="top"/>
    </xf>
    <xf numFmtId="173" fontId="10" fillId="0" borderId="4" xfId="0" applyNumberFormat="1" applyFont="1" applyFill="1" applyBorder="1" applyAlignment="1">
      <alignment vertical="top"/>
    </xf>
    <xf numFmtId="173" fontId="10" fillId="3" borderId="56" xfId="0" applyNumberFormat="1" applyFont="1" applyFill="1" applyBorder="1" applyAlignment="1" applyProtection="1">
      <alignment vertical="center"/>
    </xf>
    <xf numFmtId="179" fontId="46" fillId="4" borderId="0" xfId="1" applyNumberFormat="1" applyFont="1" applyFill="1" applyBorder="1" applyAlignment="1" applyProtection="1">
      <alignment horizontal="right" vertical="center"/>
    </xf>
    <xf numFmtId="169" fontId="10" fillId="2" borderId="0" xfId="0" applyNumberFormat="1" applyFont="1" applyFill="1" applyBorder="1" applyAlignment="1">
      <alignment vertical="center"/>
    </xf>
    <xf numFmtId="169" fontId="46" fillId="4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173" fontId="45" fillId="3" borderId="39" xfId="0" applyNumberFormat="1" applyFont="1" applyFill="1" applyBorder="1" applyAlignment="1" applyProtection="1">
      <alignment vertical="center"/>
    </xf>
    <xf numFmtId="173" fontId="45" fillId="3" borderId="56" xfId="0" applyNumberFormat="1" applyFont="1" applyFill="1" applyBorder="1" applyAlignment="1" applyProtection="1">
      <alignment vertical="center"/>
    </xf>
    <xf numFmtId="173" fontId="45" fillId="2" borderId="56" xfId="0" applyNumberFormat="1" applyFont="1" applyFill="1" applyBorder="1" applyAlignment="1" applyProtection="1">
      <alignment vertical="center"/>
    </xf>
    <xf numFmtId="1" fontId="10" fillId="0" borderId="0" xfId="0" applyNumberFormat="1" applyFont="1" applyFill="1" applyBorder="1" applyAlignment="1">
      <alignment horizontal="center" vertical="center"/>
    </xf>
    <xf numFmtId="173" fontId="10" fillId="0" borderId="11" xfId="0" applyNumberFormat="1" applyFont="1" applyFill="1" applyBorder="1" applyAlignment="1">
      <alignment vertical="center"/>
    </xf>
    <xf numFmtId="173" fontId="46" fillId="4" borderId="56" xfId="0" applyNumberFormat="1" applyFont="1" applyFill="1" applyBorder="1" applyAlignment="1" applyProtection="1">
      <alignment vertical="center"/>
    </xf>
    <xf numFmtId="173" fontId="45" fillId="2" borderId="39" xfId="0" applyNumberFormat="1" applyFont="1" applyFill="1" applyBorder="1" applyAlignment="1" applyProtection="1">
      <alignment vertical="center"/>
    </xf>
    <xf numFmtId="173" fontId="46" fillId="4" borderId="39" xfId="0" applyNumberFormat="1" applyFont="1" applyFill="1" applyBorder="1" applyAlignment="1" applyProtection="1">
      <alignment vertical="center"/>
    </xf>
    <xf numFmtId="179" fontId="9" fillId="3" borderId="0" xfId="1" applyNumberFormat="1" applyFont="1" applyFill="1" applyBorder="1" applyAlignment="1" applyProtection="1">
      <alignment horizontal="right" vertical="center"/>
    </xf>
    <xf numFmtId="170" fontId="9" fillId="3" borderId="0" xfId="0" applyNumberFormat="1" applyFont="1" applyFill="1" applyAlignment="1">
      <alignment vertical="center"/>
    </xf>
    <xf numFmtId="170" fontId="46" fillId="4" borderId="0" xfId="0" applyNumberFormat="1" applyFont="1" applyFill="1" applyAlignment="1">
      <alignment vertical="center"/>
    </xf>
    <xf numFmtId="170" fontId="9" fillId="2" borderId="0" xfId="0" applyNumberFormat="1" applyFont="1" applyFill="1" applyAlignment="1">
      <alignment vertical="center"/>
    </xf>
    <xf numFmtId="1" fontId="10" fillId="0" borderId="3" xfId="0" applyNumberFormat="1" applyFont="1" applyFill="1" applyBorder="1" applyAlignment="1">
      <alignment horizontal="center" vertical="center"/>
    </xf>
    <xf numFmtId="173" fontId="10" fillId="3" borderId="14" xfId="0" applyNumberFormat="1" applyFont="1" applyFill="1" applyBorder="1" applyAlignment="1" applyProtection="1">
      <alignment vertical="center"/>
    </xf>
    <xf numFmtId="173" fontId="10" fillId="2" borderId="14" xfId="0" applyNumberFormat="1" applyFont="1" applyFill="1" applyBorder="1" applyAlignment="1" applyProtection="1">
      <alignment vertical="center"/>
    </xf>
    <xf numFmtId="173" fontId="46" fillId="4" borderId="14" xfId="0" applyNumberFormat="1" applyFont="1" applyFill="1" applyBorder="1" applyAlignment="1" applyProtection="1">
      <alignment vertical="center"/>
    </xf>
    <xf numFmtId="173" fontId="45" fillId="3" borderId="14" xfId="0" applyNumberFormat="1" applyFont="1" applyFill="1" applyBorder="1" applyAlignment="1" applyProtection="1">
      <alignment vertical="center"/>
    </xf>
    <xf numFmtId="173" fontId="45" fillId="2" borderId="14" xfId="0" applyNumberFormat="1" applyFont="1" applyFill="1" applyBorder="1" applyAlignment="1" applyProtection="1">
      <alignment vertical="center"/>
    </xf>
    <xf numFmtId="173" fontId="48" fillId="0" borderId="14" xfId="0" applyNumberFormat="1" applyFont="1" applyFill="1" applyBorder="1" applyAlignment="1" applyProtection="1">
      <alignment vertical="center"/>
    </xf>
    <xf numFmtId="0" fontId="9" fillId="0" borderId="27" xfId="0" applyFont="1" applyFill="1" applyBorder="1" applyAlignment="1">
      <alignment horizontal="center" vertical="center"/>
    </xf>
    <xf numFmtId="173" fontId="10" fillId="3" borderId="45" xfId="0" applyNumberFormat="1" applyFont="1" applyFill="1" applyBorder="1" applyAlignment="1" applyProtection="1">
      <alignment vertical="center"/>
    </xf>
    <xf numFmtId="173" fontId="10" fillId="2" borderId="45" xfId="0" applyNumberFormat="1" applyFont="1" applyFill="1" applyBorder="1" applyAlignment="1" applyProtection="1">
      <alignment vertical="center"/>
    </xf>
    <xf numFmtId="0" fontId="9" fillId="3" borderId="0" xfId="0" applyFont="1" applyFill="1" applyBorder="1" applyAlignment="1">
      <alignment vertical="center"/>
    </xf>
    <xf numFmtId="169" fontId="10" fillId="0" borderId="29" xfId="0" applyNumberFormat="1" applyFont="1" applyFill="1" applyBorder="1" applyAlignment="1"/>
    <xf numFmtId="169" fontId="9" fillId="0" borderId="5" xfId="0" applyNumberFormat="1" applyFont="1" applyFill="1" applyBorder="1" applyAlignment="1" applyProtection="1">
      <alignment horizontal="right"/>
    </xf>
    <xf numFmtId="169" fontId="9" fillId="0" borderId="11" xfId="0" applyNumberFormat="1" applyFont="1" applyFill="1" applyBorder="1" applyAlignment="1">
      <alignment horizontal="center"/>
    </xf>
    <xf numFmtId="179" fontId="9" fillId="2" borderId="0" xfId="0" applyNumberFormat="1" applyFont="1" applyFill="1" applyBorder="1" applyAlignment="1" applyProtection="1">
      <alignment horizontal="right" vertical="center"/>
    </xf>
    <xf numFmtId="179" fontId="9" fillId="2" borderId="0" xfId="1" applyNumberFormat="1" applyFont="1" applyFill="1" applyBorder="1" applyAlignment="1" applyProtection="1">
      <alignment horizontal="right" vertical="center"/>
    </xf>
    <xf numFmtId="173" fontId="46" fillId="4" borderId="45" xfId="0" applyNumberFormat="1" applyFont="1" applyFill="1" applyBorder="1" applyAlignment="1" applyProtection="1">
      <alignment vertical="center"/>
    </xf>
    <xf numFmtId="173" fontId="45" fillId="2" borderId="45" xfId="0" applyNumberFormat="1" applyFont="1" applyFill="1" applyBorder="1" applyAlignment="1" applyProtection="1">
      <alignment vertical="center"/>
    </xf>
    <xf numFmtId="173" fontId="10" fillId="0" borderId="4" xfId="0" applyNumberFormat="1" applyFont="1" applyFill="1" applyBorder="1" applyAlignment="1">
      <alignment horizontal="right" vertical="center"/>
    </xf>
    <xf numFmtId="173" fontId="10" fillId="0" borderId="3" xfId="0" applyNumberFormat="1" applyFont="1" applyFill="1" applyBorder="1" applyAlignment="1">
      <alignment horizontal="right" vertical="center"/>
    </xf>
    <xf numFmtId="173" fontId="45" fillId="3" borderId="45" xfId="0" applyNumberFormat="1" applyFont="1" applyFill="1" applyBorder="1" applyAlignment="1" applyProtection="1">
      <alignment vertical="center"/>
    </xf>
    <xf numFmtId="0" fontId="9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173" fontId="9" fillId="2" borderId="3" xfId="0" applyNumberFormat="1" applyFont="1" applyFill="1" applyBorder="1" applyAlignment="1">
      <alignment vertical="center"/>
    </xf>
    <xf numFmtId="173" fontId="9" fillId="2" borderId="0" xfId="0" applyNumberFormat="1" applyFont="1" applyFill="1" applyBorder="1" applyAlignment="1">
      <alignment vertical="center"/>
    </xf>
    <xf numFmtId="173" fontId="9" fillId="2" borderId="4" xfId="0" applyNumberFormat="1" applyFont="1" applyFill="1" applyBorder="1" applyAlignment="1">
      <alignment vertical="center"/>
    </xf>
    <xf numFmtId="173" fontId="9" fillId="2" borderId="28" xfId="0" applyNumberFormat="1" applyFont="1" applyFill="1" applyBorder="1" applyAlignment="1">
      <alignment vertical="center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/>
    </xf>
    <xf numFmtId="173" fontId="10" fillId="0" borderId="3" xfId="0" applyNumberFormat="1" applyFont="1" applyFill="1" applyBorder="1" applyAlignment="1"/>
    <xf numFmtId="173" fontId="10" fillId="0" borderId="0" xfId="0" applyNumberFormat="1" applyFont="1" applyFill="1" applyBorder="1" applyAlignment="1"/>
    <xf numFmtId="173" fontId="10" fillId="0" borderId="4" xfId="0" applyNumberFormat="1" applyFont="1" applyFill="1" applyBorder="1" applyAlignment="1"/>
    <xf numFmtId="0" fontId="9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vertical="center"/>
    </xf>
    <xf numFmtId="173" fontId="9" fillId="0" borderId="59" xfId="0" applyNumberFormat="1" applyFont="1" applyFill="1" applyBorder="1" applyAlignment="1">
      <alignment vertical="center"/>
    </xf>
    <xf numFmtId="173" fontId="9" fillId="0" borderId="60" xfId="0" applyNumberFormat="1" applyFont="1" applyFill="1" applyBorder="1" applyAlignment="1">
      <alignment vertical="center"/>
    </xf>
    <xf numFmtId="173" fontId="9" fillId="0" borderId="61" xfId="0" applyNumberFormat="1" applyFont="1" applyFill="1" applyBorder="1" applyAlignment="1">
      <alignment vertical="center"/>
    </xf>
    <xf numFmtId="173" fontId="9" fillId="0" borderId="62" xfId="0" applyNumberFormat="1" applyFont="1" applyFill="1" applyBorder="1" applyAlignment="1">
      <alignment vertical="center"/>
    </xf>
    <xf numFmtId="0" fontId="9" fillId="0" borderId="57" xfId="0" applyFont="1" applyFill="1" applyBorder="1"/>
    <xf numFmtId="0" fontId="9" fillId="0" borderId="60" xfId="0" applyFont="1" applyFill="1" applyBorder="1"/>
    <xf numFmtId="173" fontId="9" fillId="0" borderId="59" xfId="0" applyNumberFormat="1" applyFont="1" applyFill="1" applyBorder="1" applyAlignment="1"/>
    <xf numFmtId="173" fontId="9" fillId="0" borderId="60" xfId="0" applyNumberFormat="1" applyFont="1" applyFill="1" applyBorder="1" applyAlignment="1"/>
    <xf numFmtId="173" fontId="9" fillId="0" borderId="61" xfId="0" applyNumberFormat="1" applyFont="1" applyFill="1" applyBorder="1" applyAlignment="1"/>
    <xf numFmtId="173" fontId="9" fillId="0" borderId="62" xfId="0" applyNumberFormat="1" applyFont="1" applyFill="1" applyBorder="1" applyAlignment="1"/>
    <xf numFmtId="0" fontId="9" fillId="0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vertical="center"/>
    </xf>
    <xf numFmtId="173" fontId="9" fillId="0" borderId="65" xfId="0" applyNumberFormat="1" applyFont="1" applyFill="1" applyBorder="1" applyAlignment="1">
      <alignment vertical="center"/>
    </xf>
    <xf numFmtId="173" fontId="9" fillId="0" borderId="66" xfId="0" applyNumberFormat="1" applyFont="1" applyFill="1" applyBorder="1" applyAlignment="1">
      <alignment vertical="center"/>
    </xf>
    <xf numFmtId="173" fontId="9" fillId="0" borderId="64" xfId="0" applyNumberFormat="1" applyFont="1" applyFill="1" applyBorder="1" applyAlignment="1">
      <alignment vertical="center"/>
    </xf>
    <xf numFmtId="173" fontId="9" fillId="0" borderId="67" xfId="0" applyNumberFormat="1" applyFont="1" applyFill="1" applyBorder="1" applyAlignment="1">
      <alignment vertical="center"/>
    </xf>
    <xf numFmtId="0" fontId="9" fillId="0" borderId="63" xfId="0" applyFont="1" applyFill="1" applyBorder="1" applyAlignment="1">
      <alignment vertical="center"/>
    </xf>
    <xf numFmtId="1" fontId="9" fillId="0" borderId="66" xfId="0" applyNumberFormat="1" applyFont="1" applyFill="1" applyBorder="1" applyAlignment="1">
      <alignment horizontal="center" vertical="center"/>
    </xf>
    <xf numFmtId="1" fontId="9" fillId="0" borderId="64" xfId="0" applyNumberFormat="1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vertical="center"/>
    </xf>
    <xf numFmtId="180" fontId="26" fillId="0" borderId="66" xfId="0" applyNumberFormat="1" applyFont="1" applyFill="1" applyBorder="1" applyAlignment="1">
      <alignment vertical="center"/>
    </xf>
    <xf numFmtId="180" fontId="26" fillId="0" borderId="64" xfId="0" applyNumberFormat="1" applyFont="1" applyFill="1" applyBorder="1" applyAlignment="1">
      <alignment vertical="center"/>
    </xf>
    <xf numFmtId="0" fontId="52" fillId="0" borderId="0" xfId="0" applyFont="1" applyFill="1"/>
    <xf numFmtId="0" fontId="57" fillId="0" borderId="0" xfId="2" applyFont="1" applyFill="1"/>
    <xf numFmtId="0" fontId="54" fillId="0" borderId="0" xfId="2" applyFont="1" applyFill="1"/>
    <xf numFmtId="0" fontId="56" fillId="0" borderId="0" xfId="2" applyFont="1" applyFill="1" applyAlignment="1" applyProtection="1">
      <alignment horizontal="centerContinuous" vertical="center"/>
    </xf>
    <xf numFmtId="0" fontId="53" fillId="0" borderId="0" xfId="0" applyFont="1" applyFill="1" applyAlignment="1">
      <alignment horizontal="left"/>
    </xf>
    <xf numFmtId="0" fontId="55" fillId="0" borderId="0" xfId="0" applyFont="1" applyFill="1" applyAlignment="1"/>
    <xf numFmtId="0" fontId="55" fillId="0" borderId="0" xfId="0" applyFont="1" applyFill="1" applyAlignment="1">
      <alignment vertical="center" wrapText="1"/>
    </xf>
    <xf numFmtId="0" fontId="53" fillId="0" borderId="0" xfId="0" applyFont="1" applyFill="1"/>
    <xf numFmtId="0" fontId="58" fillId="0" borderId="0" xfId="7" applyFill="1" applyAlignment="1">
      <alignment horizontal="left"/>
    </xf>
    <xf numFmtId="0" fontId="58" fillId="0" borderId="0" xfId="7"/>
    <xf numFmtId="0" fontId="51" fillId="0" borderId="0" xfId="8" applyAlignment="1">
      <alignment horizontal="centerContinuous"/>
    </xf>
    <xf numFmtId="0" fontId="57" fillId="0" borderId="0" xfId="2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59" fillId="0" borderId="0" xfId="8" applyFont="1" applyAlignment="1">
      <alignment horizontal="centerContinuous" vertical="center"/>
    </xf>
    <xf numFmtId="2" fontId="60" fillId="0" borderId="13" xfId="0" applyNumberFormat="1" applyFont="1" applyFill="1" applyBorder="1" applyAlignment="1">
      <alignment horizontal="center" vertical="center"/>
    </xf>
    <xf numFmtId="2" fontId="60" fillId="0" borderId="6" xfId="0" applyNumberFormat="1" applyFont="1" applyFill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 wrapText="1"/>
    </xf>
    <xf numFmtId="2" fontId="62" fillId="0" borderId="68" xfId="0" applyNumberFormat="1" applyFont="1" applyBorder="1" applyAlignment="1">
      <alignment horizontal="left"/>
    </xf>
    <xf numFmtId="1" fontId="62" fillId="0" borderId="0" xfId="0" applyNumberFormat="1" applyFont="1" applyBorder="1" applyAlignment="1">
      <alignment horizontal="left"/>
    </xf>
    <xf numFmtId="2" fontId="62" fillId="0" borderId="0" xfId="0" applyNumberFormat="1" applyFont="1" applyBorder="1" applyAlignment="1">
      <alignment horizontal="right"/>
    </xf>
    <xf numFmtId="2" fontId="62" fillId="0" borderId="69" xfId="0" applyNumberFormat="1" applyFont="1" applyBorder="1" applyAlignment="1">
      <alignment horizontal="right"/>
    </xf>
    <xf numFmtId="1" fontId="62" fillId="0" borderId="0" xfId="0" applyNumberFormat="1" applyFont="1" applyAlignment="1">
      <alignment horizontal="left"/>
    </xf>
    <xf numFmtId="2" fontId="62" fillId="0" borderId="0" xfId="0" applyNumberFormat="1" applyFont="1" applyAlignment="1">
      <alignment horizontal="right"/>
    </xf>
    <xf numFmtId="2" fontId="62" fillId="0" borderId="0" xfId="0" applyNumberFormat="1" applyFont="1" applyAlignment="1">
      <alignment horizontal="left"/>
    </xf>
    <xf numFmtId="2" fontId="62" fillId="0" borderId="0" xfId="0" applyNumberFormat="1" applyFont="1" applyBorder="1" applyAlignment="1">
      <alignment horizontal="left"/>
    </xf>
    <xf numFmtId="0" fontId="63" fillId="0" borderId="0" xfId="0" applyFont="1" applyAlignment="1">
      <alignment horizontal="left"/>
    </xf>
    <xf numFmtId="1" fontId="63" fillId="0" borderId="0" xfId="2" applyNumberFormat="1" applyFont="1" applyFill="1" applyAlignment="1">
      <alignment horizontal="right"/>
    </xf>
    <xf numFmtId="0" fontId="64" fillId="0" borderId="0" xfId="0" applyFont="1"/>
    <xf numFmtId="1" fontId="63" fillId="0" borderId="0" xfId="2" applyNumberFormat="1" applyFont="1" applyFill="1" applyAlignment="1"/>
    <xf numFmtId="2" fontId="63" fillId="0" borderId="0" xfId="0" applyNumberFormat="1" applyFont="1" applyAlignment="1">
      <alignment horizontal="right"/>
    </xf>
    <xf numFmtId="0" fontId="62" fillId="0" borderId="0" xfId="0" applyFont="1" applyAlignment="1">
      <alignment horizontal="right"/>
    </xf>
    <xf numFmtId="0" fontId="63" fillId="0" borderId="0" xfId="0" applyNumberFormat="1" applyFont="1" applyAlignment="1">
      <alignment horizontal="left" vertical="center"/>
    </xf>
    <xf numFmtId="49" fontId="63" fillId="0" borderId="0" xfId="0" applyNumberFormat="1" applyFont="1" applyBorder="1" applyAlignment="1">
      <alignment horizontal="left" vertical="center"/>
    </xf>
    <xf numFmtId="0" fontId="63" fillId="0" borderId="0" xfId="0" applyFont="1" applyAlignment="1">
      <alignment horizontal="left" vertical="center"/>
    </xf>
    <xf numFmtId="3" fontId="63" fillId="0" borderId="0" xfId="0" applyNumberFormat="1" applyFont="1" applyAlignment="1">
      <alignment horizontal="right" vertical="center"/>
    </xf>
    <xf numFmtId="1" fontId="63" fillId="0" borderId="0" xfId="0" applyNumberFormat="1" applyFont="1" applyAlignment="1">
      <alignment horizontal="right" vertical="center"/>
    </xf>
    <xf numFmtId="3" fontId="65" fillId="0" borderId="0" xfId="0" applyNumberFormat="1" applyFont="1" applyAlignment="1">
      <alignment horizontal="right" vertical="center"/>
    </xf>
    <xf numFmtId="1" fontId="65" fillId="0" borderId="0" xfId="0" applyNumberFormat="1" applyFont="1" applyAlignment="1">
      <alignment horizontal="right" vertical="center"/>
    </xf>
    <xf numFmtId="0" fontId="63" fillId="0" borderId="0" xfId="0" applyNumberFormat="1" applyFont="1" applyAlignment="1">
      <alignment horizontal="right" vertical="center"/>
    </xf>
    <xf numFmtId="0" fontId="64" fillId="0" borderId="0" xfId="0" applyFont="1" applyAlignment="1">
      <alignment horizontal="left"/>
    </xf>
    <xf numFmtId="0" fontId="63" fillId="0" borderId="0" xfId="2" applyFont="1" applyFill="1"/>
    <xf numFmtId="0" fontId="63" fillId="0" borderId="0" xfId="0" applyFont="1"/>
    <xf numFmtId="0" fontId="63" fillId="0" borderId="0" xfId="0" applyFont="1" applyBorder="1"/>
    <xf numFmtId="0" fontId="61" fillId="0" borderId="6" xfId="0" applyFont="1" applyBorder="1"/>
    <xf numFmtId="0" fontId="63" fillId="0" borderId="4" xfId="0" applyFont="1" applyBorder="1"/>
    <xf numFmtId="0" fontId="63" fillId="0" borderId="4" xfId="0" applyFont="1" applyBorder="1" applyAlignment="1">
      <alignment horizontal="left"/>
    </xf>
    <xf numFmtId="0" fontId="63" fillId="0" borderId="2" xfId="0" applyFont="1" applyBorder="1" applyAlignment="1">
      <alignment horizontal="left"/>
    </xf>
    <xf numFmtId="0" fontId="63" fillId="0" borderId="0" xfId="0" applyFont="1" applyBorder="1" applyAlignment="1">
      <alignment horizontal="left" wrapText="1"/>
    </xf>
    <xf numFmtId="0" fontId="61" fillId="0" borderId="5" xfId="0" applyFont="1" applyBorder="1" applyAlignment="1">
      <alignment horizontal="centerContinuous" vertical="center"/>
    </xf>
    <xf numFmtId="0" fontId="61" fillId="0" borderId="4" xfId="0" applyFont="1" applyBorder="1"/>
    <xf numFmtId="0" fontId="53" fillId="0" borderId="0" xfId="0" applyFont="1" applyBorder="1"/>
    <xf numFmtId="0" fontId="68" fillId="0" borderId="4" xfId="0" applyFont="1" applyBorder="1"/>
    <xf numFmtId="0" fontId="53" fillId="0" borderId="4" xfId="0" applyFont="1" applyFill="1" applyBorder="1" applyAlignment="1"/>
    <xf numFmtId="0" fontId="53" fillId="0" borderId="4" xfId="0" applyFont="1" applyBorder="1"/>
    <xf numFmtId="0" fontId="61" fillId="0" borderId="13" xfId="0" applyFont="1" applyBorder="1"/>
    <xf numFmtId="0" fontId="63" fillId="0" borderId="0" xfId="0" applyFont="1" applyFill="1" applyBorder="1"/>
    <xf numFmtId="0" fontId="61" fillId="0" borderId="6" xfId="0" applyFont="1" applyFill="1" applyBorder="1"/>
    <xf numFmtId="0" fontId="68" fillId="0" borderId="2" xfId="0" applyFont="1" applyBorder="1"/>
    <xf numFmtId="0" fontId="5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/>
    </xf>
    <xf numFmtId="0" fontId="53" fillId="0" borderId="0" xfId="0" applyFont="1" applyFill="1" applyBorder="1" applyAlignment="1">
      <alignment horizontal="centerContinuous"/>
    </xf>
    <xf numFmtId="0" fontId="67" fillId="0" borderId="0" xfId="0" applyFont="1" applyFill="1" applyBorder="1" applyAlignment="1">
      <alignment horizontal="left"/>
    </xf>
    <xf numFmtId="0" fontId="63" fillId="0" borderId="0" xfId="0" applyFont="1" applyFill="1" applyBorder="1" applyAlignment="1">
      <alignment horizontal="left"/>
    </xf>
    <xf numFmtId="0" fontId="63" fillId="0" borderId="0" xfId="0" applyFont="1" applyAlignment="1">
      <alignment horizontal="left" wrapText="1"/>
    </xf>
    <xf numFmtId="0" fontId="61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Continuous" vertical="center"/>
    </xf>
    <xf numFmtId="0" fontId="61" fillId="0" borderId="0" xfId="0" applyFont="1" applyBorder="1" applyAlignment="1">
      <alignment horizontal="center" vertical="center"/>
    </xf>
    <xf numFmtId="0" fontId="63" fillId="0" borderId="68" xfId="0" applyFont="1" applyBorder="1"/>
    <xf numFmtId="0" fontId="63" fillId="0" borderId="70" xfId="0" applyFont="1" applyBorder="1"/>
    <xf numFmtId="0" fontId="63" fillId="0" borderId="71" xfId="0" applyFont="1" applyBorder="1"/>
    <xf numFmtId="0" fontId="61" fillId="0" borderId="11" xfId="0" applyFont="1" applyBorder="1" applyAlignment="1">
      <alignment horizontal="center" vertical="center"/>
    </xf>
    <xf numFmtId="193" fontId="63" fillId="0" borderId="71" xfId="0" applyNumberFormat="1" applyFont="1" applyBorder="1"/>
    <xf numFmtId="193" fontId="63" fillId="0" borderId="0" xfId="0" applyNumberFormat="1" applyFont="1" applyBorder="1"/>
    <xf numFmtId="0" fontId="70" fillId="0" borderId="0" xfId="0" applyFont="1" applyAlignment="1">
      <alignment horizontal="centerContinuous"/>
    </xf>
    <xf numFmtId="0" fontId="63" fillId="0" borderId="71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69" fillId="0" borderId="9" xfId="8" applyFont="1" applyBorder="1" applyAlignment="1">
      <alignment horizontal="centerContinuous" vertical="center"/>
    </xf>
    <xf numFmtId="0" fontId="0" fillId="0" borderId="10" xfId="0" applyBorder="1" applyAlignment="1">
      <alignment horizontal="centerContinuous"/>
    </xf>
    <xf numFmtId="0" fontId="61" fillId="0" borderId="10" xfId="0" applyFont="1" applyFill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61" fillId="0" borderId="5" xfId="0" applyFont="1" applyBorder="1"/>
    <xf numFmtId="0" fontId="61" fillId="0" borderId="8" xfId="0" applyFont="1" applyBorder="1"/>
    <xf numFmtId="0" fontId="53" fillId="0" borderId="11" xfId="0" applyFont="1" applyBorder="1"/>
    <xf numFmtId="0" fontId="63" fillId="0" borderId="4" xfId="0" applyFont="1" applyBorder="1" applyAlignment="1">
      <alignment horizontal="centerContinuous"/>
    </xf>
    <xf numFmtId="0" fontId="53" fillId="0" borderId="5" xfId="0" applyFont="1" applyBorder="1"/>
    <xf numFmtId="0" fontId="53" fillId="0" borderId="6" xfId="0" applyFont="1" applyBorder="1"/>
    <xf numFmtId="0" fontId="53" fillId="0" borderId="8" xfId="0" applyFont="1" applyBorder="1"/>
    <xf numFmtId="0" fontId="53" fillId="0" borderId="6" xfId="0" applyFont="1" applyBorder="1" applyAlignment="1">
      <alignment horizontal="centerContinuous"/>
    </xf>
    <xf numFmtId="0" fontId="63" fillId="0" borderId="6" xfId="0" applyFont="1" applyBorder="1" applyAlignment="1">
      <alignment horizontal="centerContinuous"/>
    </xf>
    <xf numFmtId="0" fontId="63" fillId="0" borderId="8" xfId="0" applyFont="1" applyBorder="1" applyAlignment="1">
      <alignment horizontal="centerContinuous"/>
    </xf>
    <xf numFmtId="0" fontId="71" fillId="0" borderId="72" xfId="0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71" fillId="0" borderId="73" xfId="0" applyFont="1" applyBorder="1" applyAlignment="1">
      <alignment horizontal="center" vertical="center"/>
    </xf>
    <xf numFmtId="0" fontId="65" fillId="0" borderId="68" xfId="0" applyFont="1" applyBorder="1"/>
    <xf numFmtId="0" fontId="65" fillId="0" borderId="0" xfId="0" applyFont="1" applyBorder="1"/>
    <xf numFmtId="0" fontId="65" fillId="0" borderId="0" xfId="0" applyFont="1" applyBorder="1" applyAlignment="1">
      <alignment horizontal="left"/>
    </xf>
    <xf numFmtId="193" fontId="65" fillId="0" borderId="0" xfId="0" applyNumberFormat="1" applyFont="1" applyBorder="1"/>
    <xf numFmtId="0" fontId="65" fillId="0" borderId="0" xfId="0" applyFont="1"/>
    <xf numFmtId="0" fontId="72" fillId="0" borderId="0" xfId="0" applyFont="1"/>
    <xf numFmtId="0" fontId="71" fillId="0" borderId="6" xfId="0" applyFont="1" applyBorder="1" applyAlignment="1">
      <alignment horizontal="center" vertical="center"/>
    </xf>
    <xf numFmtId="0" fontId="72" fillId="0" borderId="0" xfId="0" applyFont="1" applyBorder="1"/>
    <xf numFmtId="0" fontId="74" fillId="0" borderId="0" xfId="0" applyFont="1" applyBorder="1"/>
    <xf numFmtId="0" fontId="7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73" fillId="0" borderId="6" xfId="0" applyFont="1" applyBorder="1"/>
    <xf numFmtId="0" fontId="65" fillId="0" borderId="0" xfId="0" applyNumberFormat="1" applyFont="1" applyBorder="1"/>
    <xf numFmtId="0" fontId="61" fillId="0" borderId="13" xfId="0" applyNumberFormat="1" applyFont="1" applyBorder="1" applyAlignment="1">
      <alignment horizontal="center" vertical="center"/>
    </xf>
    <xf numFmtId="194" fontId="61" fillId="0" borderId="13" xfId="0" applyNumberFormat="1" applyFont="1" applyBorder="1" applyAlignment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/>
    </xf>
    <xf numFmtId="0" fontId="0" fillId="0" borderId="0" xfId="0" applyFill="1" applyAlignment="1"/>
    <xf numFmtId="0" fontId="10" fillId="0" borderId="6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0" fillId="0" borderId="16" xfId="0" applyFill="1" applyBorder="1" applyAlignment="1"/>
    <xf numFmtId="0" fontId="0" fillId="0" borderId="30" xfId="0" applyFill="1" applyBorder="1" applyAlignment="1"/>
    <xf numFmtId="0" fontId="0" fillId="0" borderId="4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169" fontId="10" fillId="0" borderId="27" xfId="0" applyNumberFormat="1" applyFont="1" applyFill="1" applyBorder="1" applyAlignment="1" applyProtection="1">
      <alignment horizontal="center" vertical="center"/>
    </xf>
    <xf numFmtId="169" fontId="10" fillId="0" borderId="36" xfId="0" applyNumberFormat="1" applyFont="1" applyFill="1" applyBorder="1" applyAlignment="1">
      <alignment horizontal="center" vertical="center"/>
    </xf>
    <xf numFmtId="169" fontId="10" fillId="0" borderId="35" xfId="0" applyNumberFormat="1" applyFont="1" applyFill="1" applyBorder="1" applyAlignment="1">
      <alignment horizontal="center" vertical="center"/>
    </xf>
    <xf numFmtId="169" fontId="10" fillId="0" borderId="43" xfId="0" applyNumberFormat="1" applyFont="1" applyFill="1" applyBorder="1" applyAlignment="1">
      <alignment horizontal="center" vertical="center"/>
    </xf>
    <xf numFmtId="169" fontId="10" fillId="0" borderId="11" xfId="0" applyNumberFormat="1" applyFont="1" applyFill="1" applyBorder="1" applyAlignment="1">
      <alignment horizontal="center" vertical="center"/>
    </xf>
    <xf numFmtId="169" fontId="10" fillId="0" borderId="0" xfId="0" applyNumberFormat="1" applyFont="1" applyFill="1" applyBorder="1" applyAlignment="1">
      <alignment horizontal="center" vertical="center"/>
    </xf>
    <xf numFmtId="169" fontId="10" fillId="0" borderId="4" xfId="0" applyNumberFormat="1" applyFont="1" applyFill="1" applyBorder="1" applyAlignment="1">
      <alignment horizontal="center" vertical="center"/>
    </xf>
    <xf numFmtId="169" fontId="10" fillId="0" borderId="36" xfId="0" applyNumberFormat="1" applyFont="1" applyFill="1" applyBorder="1" applyAlignment="1" applyProtection="1">
      <alignment horizontal="center" vertical="center"/>
    </xf>
    <xf numFmtId="169" fontId="10" fillId="0" borderId="35" xfId="0" applyNumberFormat="1" applyFont="1" applyFill="1" applyBorder="1" applyAlignment="1" applyProtection="1">
      <alignment horizontal="center" vertical="center"/>
    </xf>
    <xf numFmtId="169" fontId="10" fillId="0" borderId="53" xfId="0" applyNumberFormat="1" applyFont="1" applyFill="1" applyBorder="1" applyAlignment="1" applyProtection="1">
      <alignment horizontal="center" vertical="center"/>
    </xf>
    <xf numFmtId="169" fontId="10" fillId="0" borderId="5" xfId="0" applyNumberFormat="1" applyFont="1" applyFill="1" applyBorder="1" applyAlignment="1" applyProtection="1">
      <alignment horizontal="center" vertical="center"/>
    </xf>
    <xf numFmtId="169" fontId="10" fillId="0" borderId="6" xfId="0" applyNumberFormat="1" applyFont="1" applyFill="1" applyBorder="1" applyAlignment="1" applyProtection="1">
      <alignment horizontal="center" vertical="center"/>
    </xf>
    <xf numFmtId="169" fontId="10" fillId="0" borderId="21" xfId="0" applyNumberFormat="1" applyFont="1" applyFill="1" applyBorder="1" applyAlignment="1" applyProtection="1">
      <alignment horizontal="center" vertical="center"/>
    </xf>
    <xf numFmtId="169" fontId="9" fillId="0" borderId="12" xfId="0" applyNumberFormat="1" applyFont="1" applyFill="1" applyBorder="1" applyAlignment="1" applyProtection="1">
      <alignment horizontal="center"/>
    </xf>
    <xf numFmtId="169" fontId="9" fillId="0" borderId="3" xfId="0" applyNumberFormat="1" applyFont="1" applyFill="1" applyBorder="1" applyAlignment="1" applyProtection="1">
      <alignment horizontal="center"/>
    </xf>
    <xf numFmtId="164" fontId="10" fillId="0" borderId="27" xfId="3" applyFont="1" applyFill="1" applyBorder="1" applyAlignment="1" applyProtection="1">
      <alignment horizontal="center" vertical="center"/>
    </xf>
    <xf numFmtId="164" fontId="10" fillId="0" borderId="37" xfId="3" applyFont="1" applyFill="1" applyBorder="1" applyAlignment="1" applyProtection="1">
      <alignment horizontal="center" vertical="center"/>
    </xf>
    <xf numFmtId="169" fontId="10" fillId="0" borderId="5" xfId="0" applyNumberFormat="1" applyFont="1" applyFill="1" applyBorder="1" applyAlignment="1">
      <alignment horizontal="center" vertical="center"/>
    </xf>
    <xf numFmtId="169" fontId="10" fillId="0" borderId="6" xfId="0" applyNumberFormat="1" applyFont="1" applyFill="1" applyBorder="1" applyAlignment="1">
      <alignment horizontal="center" vertical="center"/>
    </xf>
    <xf numFmtId="169" fontId="10" fillId="0" borderId="8" xfId="0" applyNumberFormat="1" applyFont="1" applyFill="1" applyBorder="1" applyAlignment="1">
      <alignment horizontal="center" vertical="center"/>
    </xf>
    <xf numFmtId="169" fontId="10" fillId="0" borderId="20" xfId="0" applyNumberFormat="1" applyFont="1" applyFill="1" applyBorder="1" applyAlignment="1" applyProtection="1">
      <alignment horizontal="center" vertical="center"/>
    </xf>
    <xf numFmtId="169" fontId="10" fillId="0" borderId="37" xfId="0" applyNumberFormat="1" applyFont="1" applyFill="1" applyBorder="1" applyAlignment="1" applyProtection="1">
      <alignment horizontal="center" vertical="center"/>
    </xf>
    <xf numFmtId="169" fontId="10" fillId="0" borderId="11" xfId="0" applyNumberFormat="1" applyFont="1" applyFill="1" applyBorder="1" applyAlignment="1" applyProtection="1">
      <alignment horizontal="center" vertical="center"/>
    </xf>
    <xf numFmtId="169" fontId="10" fillId="0" borderId="0" xfId="0" applyNumberFormat="1" applyFont="1" applyFill="1" applyBorder="1" applyAlignment="1" applyProtection="1">
      <alignment horizontal="center" vertical="center"/>
    </xf>
    <xf numFmtId="169" fontId="10" fillId="0" borderId="28" xfId="0" applyNumberFormat="1" applyFont="1" applyFill="1" applyBorder="1" applyAlignment="1" applyProtection="1">
      <alignment horizontal="center" vertical="center"/>
    </xf>
    <xf numFmtId="169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169" fontId="9" fillId="0" borderId="38" xfId="0" applyNumberFormat="1" applyFont="1" applyFill="1" applyBorder="1" applyAlignment="1" applyProtection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69" fontId="9" fillId="0" borderId="27" xfId="0" applyNumberFormat="1" applyFont="1" applyFill="1" applyBorder="1" applyAlignment="1" applyProtection="1">
      <alignment horizontal="center" vertical="center"/>
    </xf>
    <xf numFmtId="164" fontId="9" fillId="0" borderId="38" xfId="3" applyFont="1" applyFill="1" applyBorder="1" applyAlignment="1" applyProtection="1">
      <alignment horizontal="center" vertical="center"/>
    </xf>
    <xf numFmtId="164" fontId="9" fillId="0" borderId="27" xfId="3" applyFont="1" applyFill="1" applyBorder="1" applyAlignment="1" applyProtection="1">
      <alignment horizontal="center" vertical="center"/>
    </xf>
    <xf numFmtId="164" fontId="0" fillId="0" borderId="27" xfId="3" applyFont="1" applyFill="1" applyBorder="1" applyAlignment="1">
      <alignment horizontal="center" vertical="center"/>
    </xf>
    <xf numFmtId="169" fontId="10" fillId="0" borderId="17" xfId="0" applyNumberFormat="1" applyFont="1" applyFill="1" applyBorder="1" applyAlignment="1" applyProtection="1">
      <alignment horizontal="center" vertical="center"/>
    </xf>
    <xf numFmtId="169" fontId="10" fillId="0" borderId="43" xfId="0" applyNumberFormat="1" applyFont="1" applyFill="1" applyBorder="1" applyAlignment="1" applyProtection="1">
      <alignment horizontal="center" vertical="center"/>
    </xf>
    <xf numFmtId="169" fontId="10" fillId="0" borderId="8" xfId="0" applyNumberFormat="1" applyFont="1" applyFill="1" applyBorder="1" applyAlignment="1" applyProtection="1">
      <alignment horizontal="center" vertical="center"/>
    </xf>
    <xf numFmtId="169" fontId="9" fillId="0" borderId="12" xfId="0" applyNumberFormat="1" applyFont="1" applyFill="1" applyBorder="1" applyAlignment="1">
      <alignment horizontal="center" vertical="center"/>
    </xf>
    <xf numFmtId="169" fontId="9" fillId="0" borderId="3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0" fillId="0" borderId="35" xfId="2" applyFont="1" applyFill="1" applyBorder="1" applyAlignment="1" applyProtection="1">
      <alignment horizontal="center" vertical="center"/>
    </xf>
    <xf numFmtId="0" fontId="10" fillId="0" borderId="43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/>
    </xf>
    <xf numFmtId="0" fontId="10" fillId="0" borderId="17" xfId="2" applyFont="1" applyFill="1" applyBorder="1" applyAlignment="1" applyProtection="1">
      <alignment horizontal="center" vertical="center"/>
    </xf>
    <xf numFmtId="0" fontId="3" fillId="0" borderId="16" xfId="2" applyFill="1" applyBorder="1" applyAlignment="1"/>
    <xf numFmtId="0" fontId="3" fillId="0" borderId="30" xfId="2" applyFill="1" applyBorder="1" applyAlignment="1"/>
    <xf numFmtId="0" fontId="9" fillId="0" borderId="50" xfId="2" applyFont="1" applyFill="1" applyBorder="1" applyAlignment="1" applyProtection="1">
      <alignment horizontal="center" vertical="center"/>
    </xf>
    <xf numFmtId="0" fontId="3" fillId="0" borderId="43" xfId="2" applyFill="1" applyBorder="1" applyAlignment="1">
      <alignment horizontal="center" vertical="center"/>
    </xf>
    <xf numFmtId="0" fontId="3" fillId="0" borderId="34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44" xfId="2" applyFill="1" applyBorder="1" applyAlignment="1">
      <alignment horizontal="center" vertical="center"/>
    </xf>
    <xf numFmtId="0" fontId="3" fillId="0" borderId="8" xfId="2" applyFill="1" applyBorder="1" applyAlignment="1">
      <alignment horizontal="center" vertical="center"/>
    </xf>
    <xf numFmtId="166" fontId="13" fillId="0" borderId="0" xfId="2" applyNumberFormat="1" applyFont="1" applyFill="1" applyBorder="1" applyAlignment="1" applyProtection="1">
      <alignment horizontal="center" vertical="center"/>
    </xf>
    <xf numFmtId="0" fontId="3" fillId="0" borderId="0" xfId="2" applyFill="1" applyAlignment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177" fontId="9" fillId="0" borderId="50" xfId="0" applyNumberFormat="1" applyFont="1" applyFill="1" applyBorder="1" applyAlignment="1" applyProtection="1">
      <alignment horizontal="center" vertical="center"/>
    </xf>
    <xf numFmtId="177" fontId="10" fillId="0" borderId="35" xfId="0" applyNumberFormat="1" applyFont="1" applyFill="1" applyBorder="1" applyAlignment="1" applyProtection="1">
      <alignment horizontal="center" vertical="center"/>
    </xf>
    <xf numFmtId="177" fontId="10" fillId="0" borderId="43" xfId="0" applyNumberFormat="1" applyFont="1" applyFill="1" applyBorder="1" applyAlignment="1" applyProtection="1">
      <alignment horizontal="center" vertical="center"/>
    </xf>
    <xf numFmtId="177" fontId="10" fillId="0" borderId="6" xfId="0" applyNumberFormat="1" applyFont="1" applyFill="1" applyBorder="1" applyAlignment="1" applyProtection="1">
      <alignment horizontal="center" vertical="center"/>
    </xf>
    <xf numFmtId="177" fontId="10" fillId="0" borderId="8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177" fontId="10" fillId="0" borderId="17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73" fontId="9" fillId="0" borderId="11" xfId="0" applyNumberFormat="1" applyFont="1" applyBorder="1" applyAlignment="1">
      <alignment horizontal="center" vertical="center"/>
    </xf>
    <xf numFmtId="173" fontId="9" fillId="0" borderId="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3" fontId="9" fillId="0" borderId="17" xfId="0" applyNumberFormat="1" applyFont="1" applyFill="1" applyBorder="1" applyAlignment="1">
      <alignment horizontal="center" vertical="center"/>
    </xf>
    <xf numFmtId="173" fontId="9" fillId="0" borderId="16" xfId="0" applyNumberFormat="1" applyFont="1" applyFill="1" applyBorder="1" applyAlignment="1">
      <alignment horizontal="center" vertical="center"/>
    </xf>
    <xf numFmtId="173" fontId="9" fillId="0" borderId="49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3" fontId="9" fillId="0" borderId="11" xfId="0" applyNumberFormat="1" applyFont="1" applyFill="1" applyBorder="1" applyAlignment="1">
      <alignment horizontal="center" vertical="center"/>
    </xf>
    <xf numFmtId="173" fontId="9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173" fontId="10" fillId="0" borderId="17" xfId="0" applyNumberFormat="1" applyFont="1" applyBorder="1" applyAlignment="1">
      <alignment horizontal="center" vertical="center"/>
    </xf>
    <xf numFmtId="173" fontId="10" fillId="0" borderId="16" xfId="0" applyNumberFormat="1" applyFont="1" applyBorder="1" applyAlignment="1">
      <alignment horizontal="center" vertical="center"/>
    </xf>
    <xf numFmtId="173" fontId="10" fillId="0" borderId="49" xfId="0" applyNumberFormat="1" applyFont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173" fontId="9" fillId="0" borderId="1" xfId="0" applyNumberFormat="1" applyFont="1" applyBorder="1" applyAlignment="1">
      <alignment horizontal="center" vertical="center" wrapText="1"/>
    </xf>
    <xf numFmtId="173" fontId="9" fillId="0" borderId="3" xfId="0" applyNumberFormat="1" applyFont="1" applyBorder="1" applyAlignment="1">
      <alignment horizontal="center" vertical="center"/>
    </xf>
    <xf numFmtId="173" fontId="9" fillId="0" borderId="7" xfId="0" applyNumberFormat="1" applyFont="1" applyBorder="1" applyAlignment="1">
      <alignment horizontal="center" vertical="center"/>
    </xf>
    <xf numFmtId="173" fontId="9" fillId="0" borderId="33" xfId="0" applyNumberFormat="1" applyFont="1" applyFill="1" applyBorder="1" applyAlignment="1">
      <alignment horizontal="center" vertical="center" wrapText="1"/>
    </xf>
    <xf numFmtId="173" fontId="9" fillId="0" borderId="22" xfId="0" applyNumberFormat="1" applyFont="1" applyFill="1" applyBorder="1" applyAlignment="1">
      <alignment horizontal="center" vertical="center"/>
    </xf>
    <xf numFmtId="173" fontId="9" fillId="0" borderId="31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6" fillId="0" borderId="35" xfId="0" applyFont="1" applyFill="1" applyBorder="1" applyAlignment="1" applyProtection="1">
      <alignment horizontal="center" vertical="center" wrapText="1"/>
    </xf>
    <xf numFmtId="0" fontId="16" fillId="0" borderId="43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0" fillId="0" borderId="3" xfId="0" applyNumberFormat="1" applyFont="1" applyFill="1" applyBorder="1" applyAlignment="1" applyProtection="1">
      <alignment horizontal="right" vertical="center"/>
    </xf>
    <xf numFmtId="176" fontId="10" fillId="0" borderId="19" xfId="0" applyNumberFormat="1" applyFont="1" applyFill="1" applyBorder="1" applyAlignment="1" applyProtection="1">
      <alignment horizontal="right" vertical="center"/>
    </xf>
    <xf numFmtId="176" fontId="10" fillId="0" borderId="9" xfId="0" applyNumberFormat="1" applyFont="1" applyFill="1" applyBorder="1" applyAlignment="1" applyProtection="1">
      <alignment horizontal="right" vertical="center"/>
    </xf>
    <xf numFmtId="176" fontId="10" fillId="0" borderId="11" xfId="0" applyNumberFormat="1" applyFont="1" applyFill="1" applyBorder="1" applyAlignment="1" applyProtection="1">
      <alignment horizontal="right" vertical="center"/>
    </xf>
    <xf numFmtId="176" fontId="10" fillId="0" borderId="29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176" fontId="10" fillId="0" borderId="4" xfId="0" applyNumberFormat="1" applyFont="1" applyFill="1" applyBorder="1" applyAlignment="1" applyProtection="1">
      <alignment horizontal="right" vertical="center"/>
    </xf>
    <xf numFmtId="176" fontId="10" fillId="0" borderId="25" xfId="0" applyNumberFormat="1" applyFont="1" applyFill="1" applyBorder="1" applyAlignment="1" applyProtection="1">
      <alignment horizontal="right" vertical="center"/>
    </xf>
    <xf numFmtId="176" fontId="10" fillId="0" borderId="10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 applyProtection="1">
      <alignment horizontal="right" vertical="center"/>
    </xf>
    <xf numFmtId="176" fontId="10" fillId="0" borderId="33" xfId="0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horizontal="right" vertical="center"/>
    </xf>
    <xf numFmtId="176" fontId="10" fillId="0" borderId="48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 applyProtection="1">
      <alignment horizontal="left" vertical="center"/>
    </xf>
    <xf numFmtId="0" fontId="16" fillId="0" borderId="54" xfId="0" applyFont="1" applyFill="1" applyBorder="1" applyAlignment="1" applyProtection="1">
      <alignment horizontal="left" wrapText="1"/>
    </xf>
    <xf numFmtId="0" fontId="3" fillId="0" borderId="16" xfId="0" applyFont="1" applyFill="1" applyBorder="1" applyAlignment="1">
      <alignment wrapText="1"/>
    </xf>
    <xf numFmtId="0" fontId="33" fillId="0" borderId="51" xfId="0" applyFont="1" applyFill="1" applyBorder="1" applyAlignment="1" applyProtection="1">
      <alignment horizontal="center" vertical="center" wrapText="1"/>
    </xf>
    <xf numFmtId="0" fontId="43" fillId="0" borderId="52" xfId="0" applyFont="1" applyFill="1" applyBorder="1" applyAlignment="1">
      <alignment vertical="center" wrapText="1"/>
    </xf>
    <xf numFmtId="0" fontId="15" fillId="0" borderId="0" xfId="0" quotePrefix="1" applyFont="1" applyFill="1" applyBorder="1" applyAlignment="1">
      <alignment horizontal="center"/>
    </xf>
    <xf numFmtId="0" fontId="16" fillId="0" borderId="36" xfId="0" applyFont="1" applyFill="1" applyBorder="1" applyAlignment="1" applyProtection="1">
      <alignment horizontal="center" vertical="center"/>
    </xf>
    <xf numFmtId="0" fontId="16" fillId="0" borderId="35" xfId="0" applyFont="1" applyFill="1" applyBorder="1" applyAlignment="1" applyProtection="1">
      <alignment horizontal="center" vertical="center"/>
    </xf>
    <xf numFmtId="0" fontId="16" fillId="0" borderId="53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wrapText="1"/>
    </xf>
    <xf numFmtId="0" fontId="16" fillId="0" borderId="28" xfId="0" applyFont="1" applyFill="1" applyBorder="1" applyAlignment="1" applyProtection="1">
      <alignment horizontal="left" wrapText="1"/>
    </xf>
    <xf numFmtId="0" fontId="15" fillId="0" borderId="28" xfId="0" quotePrefix="1" applyFont="1" applyFill="1" applyBorder="1" applyAlignment="1">
      <alignment horizontal="center"/>
    </xf>
    <xf numFmtId="49" fontId="16" fillId="0" borderId="50" xfId="0" applyNumberFormat="1" applyFont="1" applyFill="1" applyBorder="1" applyAlignment="1" applyProtection="1">
      <alignment horizontal="center" vertical="center" wrapText="1"/>
    </xf>
    <xf numFmtId="0" fontId="0" fillId="0" borderId="43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0" fillId="0" borderId="25" xfId="0" applyFill="1" applyBorder="1" applyAlignment="1">
      <alignment wrapText="1"/>
    </xf>
    <xf numFmtId="49" fontId="16" fillId="0" borderId="54" xfId="0" applyNumberFormat="1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wrapText="1"/>
    </xf>
    <xf numFmtId="0" fontId="3" fillId="0" borderId="43" xfId="0" applyFont="1" applyFill="1" applyBorder="1" applyAlignment="1">
      <alignment wrapText="1"/>
    </xf>
    <xf numFmtId="0" fontId="3" fillId="0" borderId="3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13" fillId="0" borderId="0" xfId="2" applyFont="1" applyFill="1" applyBorder="1" applyAlignment="1" applyProtection="1">
      <alignment horizontal="left" vertical="center"/>
    </xf>
    <xf numFmtId="0" fontId="34" fillId="0" borderId="0" xfId="2" applyFont="1" applyFill="1" applyAlignment="1"/>
    <xf numFmtId="0" fontId="13" fillId="0" borderId="0" xfId="2" applyFont="1" applyFill="1" applyAlignment="1" applyProtection="1">
      <alignment horizontal="center"/>
    </xf>
    <xf numFmtId="0" fontId="15" fillId="0" borderId="50" xfId="2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9" fillId="0" borderId="9" xfId="2" applyFont="1" applyFill="1" applyBorder="1" applyAlignment="1" applyProtection="1">
      <alignment horizontal="center"/>
    </xf>
    <xf numFmtId="0" fontId="9" fillId="0" borderId="10" xfId="2" applyFont="1" applyFill="1" applyBorder="1" applyAlignment="1" applyProtection="1">
      <alignment horizontal="center"/>
    </xf>
    <xf numFmtId="0" fontId="9" fillId="0" borderId="32" xfId="2" applyFont="1" applyFill="1" applyBorder="1" applyAlignment="1" applyProtection="1">
      <alignment horizontal="center"/>
    </xf>
    <xf numFmtId="0" fontId="9" fillId="0" borderId="5" xfId="2" applyFont="1" applyFill="1" applyBorder="1" applyAlignment="1" applyProtection="1">
      <alignment horizontal="center"/>
    </xf>
    <xf numFmtId="0" fontId="9" fillId="0" borderId="6" xfId="2" applyFont="1" applyFill="1" applyBorder="1" applyAlignment="1" applyProtection="1">
      <alignment horizontal="center"/>
    </xf>
    <xf numFmtId="0" fontId="9" fillId="0" borderId="21" xfId="2" applyFont="1" applyFill="1" applyBorder="1" applyAlignment="1" applyProtection="1">
      <alignment horizontal="center"/>
    </xf>
    <xf numFmtId="0" fontId="16" fillId="0" borderId="3" xfId="2" applyFont="1" applyFill="1" applyBorder="1" applyAlignment="1" applyProtection="1">
      <alignment horizontal="center" vertical="center"/>
    </xf>
    <xf numFmtId="0" fontId="16" fillId="0" borderId="7" xfId="2" applyFont="1" applyFill="1" applyBorder="1" applyAlignment="1" applyProtection="1">
      <alignment horizontal="center" vertical="center"/>
    </xf>
    <xf numFmtId="0" fontId="44" fillId="0" borderId="43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center"/>
    </xf>
    <xf numFmtId="0" fontId="3" fillId="0" borderId="0" xfId="2" applyAlignment="1">
      <alignment horizontal="center"/>
    </xf>
    <xf numFmtId="0" fontId="3" fillId="0" borderId="0" xfId="2" applyAlignment="1"/>
    <xf numFmtId="0" fontId="3" fillId="0" borderId="43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44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9" fillId="0" borderId="9" xfId="2" applyFont="1" applyFill="1" applyBorder="1" applyAlignment="1" applyProtection="1">
      <alignment horizontal="center" wrapText="1"/>
    </xf>
    <xf numFmtId="0" fontId="9" fillId="0" borderId="10" xfId="2" applyFont="1" applyFill="1" applyBorder="1" applyAlignment="1" applyProtection="1">
      <alignment horizontal="center" wrapText="1"/>
    </xf>
    <xf numFmtId="0" fontId="9" fillId="0" borderId="32" xfId="2" applyFont="1" applyFill="1" applyBorder="1" applyAlignment="1" applyProtection="1">
      <alignment horizontal="center" wrapText="1"/>
    </xf>
    <xf numFmtId="0" fontId="9" fillId="0" borderId="5" xfId="2" applyFont="1" applyFill="1" applyBorder="1" applyAlignment="1" applyProtection="1">
      <alignment horizontal="center" wrapText="1"/>
    </xf>
    <xf numFmtId="0" fontId="9" fillId="0" borderId="6" xfId="2" applyFont="1" applyFill="1" applyBorder="1" applyAlignment="1" applyProtection="1">
      <alignment horizontal="center" wrapText="1"/>
    </xf>
    <xf numFmtId="0" fontId="9" fillId="0" borderId="21" xfId="2" applyFont="1" applyFill="1" applyBorder="1" applyAlignment="1" applyProtection="1">
      <alignment horizontal="center" wrapText="1"/>
    </xf>
  </cellXfs>
  <cellStyles count="9">
    <cellStyle name="Komma" xfId="1" builtinId="3"/>
    <cellStyle name="Link" xfId="7" builtinId="8"/>
    <cellStyle name="Standard" xfId="0" builtinId="0"/>
    <cellStyle name="Standard 15" xfId="8" xr:uid="{00000000-0005-0000-0000-000003000000}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  <cellStyle name="Standard 5" xfId="6" xr:uid="{00000000-0005-0000-0000-000007000000}"/>
    <cellStyle name="Währung" xfId="3" builtinId="4"/>
  </cellStyles>
  <dxfs count="267"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alignment horizontal="left" vertical="bottom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95" formatCode="[$-409]mmm\ 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95" formatCode="[$-409]mmm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2" formatCode="0.00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95" formatCode="[$-409]mmm\ 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95" formatCode="[$-409]mmm\ yyyy"/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2" formatCode="0.00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  <border diagonalUp="0" diagonalDown="0" outline="0">
        <left style="thin">
          <color rgb="FF000000"/>
        </left>
        <right/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Web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Web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93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border diagonalUp="0" diagonalDown="0">
        <left style="thin">
          <color rgb="FF000000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theme="1"/>
        <name val="BundesSans Office"/>
        <scheme val="none"/>
      </font>
      <numFmt numFmtId="196" formatCode="#,00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undesSans Office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97" formatCode="[$-407]mmm/\ 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97" formatCode="[$-407]mmm/\ 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97" formatCode="[$-407]mmm/\ 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197" formatCode="[$-407]mmm/\ 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Web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auto="1"/>
        <name val="BundesSans Office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94" formatCode="#,##0_);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94" formatCode="#,##0_);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numFmt numFmtId="173" formatCode="#\ ##0\ \ ;\-#\ ##0\ \ ;&quot;-&quot;\ \ 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.5"/>
        <color auto="1"/>
        <name val="BundesSans Office"/>
        <family val="2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BundesSans Offi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Invisible" pivot="0" table="0" count="0" xr9:uid="{7FE49F1C-6F92-499D-80EB-C331B596864B}"/>
  </tableStyles>
  <colors>
    <mruColors>
      <color rgb="FFFFFF99"/>
      <color rgb="FFCCFFCC"/>
      <color rgb="FFC4D79B"/>
      <color rgb="FFDEE7CB"/>
      <color rgb="FFBBC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eckblatt LeguDas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14654</xdr:rowOff>
    </xdr:from>
    <xdr:to>
      <xdr:col>0</xdr:col>
      <xdr:colOff>2392363</xdr:colOff>
      <xdr:row>1</xdr:row>
      <xdr:rowOff>367</xdr:rowOff>
    </xdr:to>
    <xdr:pic>
      <xdr:nvPicPr>
        <xdr:cNvPr id="2" name="Grafik 3" descr="Logo der Bundesanstalt für Landwirtschaft und Ernährung; BLE_Office_Farbe_de_50.bmp" title="Bundesanstalt für Landwirtschaft und Ernähru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654"/>
          <a:ext cx="2373313" cy="1081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96298</xdr:colOff>
      <xdr:row>0</xdr:row>
      <xdr:rowOff>58615</xdr:rowOff>
    </xdr:from>
    <xdr:to>
      <xdr:col>14</xdr:col>
      <xdr:colOff>615463</xdr:colOff>
      <xdr:row>1</xdr:row>
      <xdr:rowOff>163285</xdr:rowOff>
    </xdr:to>
    <xdr:sp macro="[0]!Pfeilnachlinks2_Klicken" textlink="">
      <xdr:nvSpPr>
        <xdr:cNvPr id="3" name="Pfeil nach links 2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14356583" y="58615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</a:t>
          </a:r>
          <a:r>
            <a:rPr lang="de-DE" sz="1100" baseline="0"/>
            <a:t> 1</a:t>
          </a:r>
          <a:endParaRPr lang="de-DE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102158</xdr:colOff>
      <xdr:row>0</xdr:row>
      <xdr:rowOff>43543</xdr:rowOff>
    </xdr:from>
    <xdr:to>
      <xdr:col>14</xdr:col>
      <xdr:colOff>621323</xdr:colOff>
      <xdr:row>1</xdr:row>
      <xdr:rowOff>148213</xdr:rowOff>
    </xdr:to>
    <xdr:sp macro="[0]!Pfeilnachlinks2_Klicken" textlink="">
      <xdr:nvSpPr>
        <xdr:cNvPr id="3" name="Pfeil nach links 2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 bwMode="auto">
        <a:xfrm>
          <a:off x="14450366" y="43543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</a:t>
          </a:r>
          <a:r>
            <a:rPr lang="de-DE" sz="1100" baseline="0"/>
            <a:t> 1</a:t>
          </a:r>
          <a:endParaRPr lang="de-DE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132183</xdr:colOff>
      <xdr:row>0</xdr:row>
      <xdr:rowOff>46653</xdr:rowOff>
    </xdr:from>
    <xdr:to>
      <xdr:col>5</xdr:col>
      <xdr:colOff>651348</xdr:colOff>
      <xdr:row>1</xdr:row>
      <xdr:rowOff>152220</xdr:rowOff>
    </xdr:to>
    <xdr:sp macro="[0]!Pfeilnachlinks2_Klicken" textlink="">
      <xdr:nvSpPr>
        <xdr:cNvPr id="6" name="Pfeil nach links 5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7460602" y="46653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</a:t>
          </a:r>
          <a:r>
            <a:rPr lang="de-DE" sz="1100" baseline="0"/>
            <a:t>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229527</xdr:colOff>
      <xdr:row>0</xdr:row>
      <xdr:rowOff>102127</xdr:rowOff>
    </xdr:from>
    <xdr:to>
      <xdr:col>15</xdr:col>
      <xdr:colOff>748692</xdr:colOff>
      <xdr:row>2</xdr:row>
      <xdr:rowOff>17194</xdr:rowOff>
    </xdr:to>
    <xdr:sp macro="[0]!Pfeilnachlinks2_Klicken" textlink="">
      <xdr:nvSpPr>
        <xdr:cNvPr id="2" name="Pfeil nach links 5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8EBB3-8F06-4E0A-A2A8-D8AD84F64106}"/>
            </a:ext>
          </a:extLst>
        </xdr:cNvPr>
        <xdr:cNvSpPr/>
      </xdr:nvSpPr>
      <xdr:spPr bwMode="auto">
        <a:xfrm>
          <a:off x="13036989" y="102127"/>
          <a:ext cx="519165" cy="354682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</a:t>
          </a:r>
          <a:r>
            <a:rPr lang="de-DE" sz="1100" baseline="0"/>
            <a:t>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132184</xdr:colOff>
      <xdr:row>0</xdr:row>
      <xdr:rowOff>23327</xdr:rowOff>
    </xdr:from>
    <xdr:to>
      <xdr:col>5</xdr:col>
      <xdr:colOff>651349</xdr:colOff>
      <xdr:row>1</xdr:row>
      <xdr:rowOff>128894</xdr:rowOff>
    </xdr:to>
    <xdr:sp macro="[0]!Pfeilnachlinks2_Klicken" textlink="">
      <xdr:nvSpPr>
        <xdr:cNvPr id="2" name="Pfeil nach links 1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7460603" y="23327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 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124408</xdr:colOff>
      <xdr:row>0</xdr:row>
      <xdr:rowOff>27215</xdr:rowOff>
    </xdr:from>
    <xdr:to>
      <xdr:col>5</xdr:col>
      <xdr:colOff>643573</xdr:colOff>
      <xdr:row>1</xdr:row>
      <xdr:rowOff>132782</xdr:rowOff>
    </xdr:to>
    <xdr:sp macro="[0]!Pfeilnachlinks2_Klicken" textlink="">
      <xdr:nvSpPr>
        <xdr:cNvPr id="2" name="Pfeil nach links 1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7452827" y="27215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</a:t>
          </a:r>
          <a:r>
            <a:rPr lang="de-DE" sz="1100" baseline="0"/>
            <a:t> 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108858</xdr:colOff>
      <xdr:row>0</xdr:row>
      <xdr:rowOff>31102</xdr:rowOff>
    </xdr:from>
    <xdr:to>
      <xdr:col>2</xdr:col>
      <xdr:colOff>628023</xdr:colOff>
      <xdr:row>1</xdr:row>
      <xdr:rowOff>136669</xdr:rowOff>
    </xdr:to>
    <xdr:sp macro="[0]!Pfeilnachlinks2_Klicken" textlink="">
      <xdr:nvSpPr>
        <xdr:cNvPr id="2" name="Pfeil nach links 1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9101236" y="31102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147735</xdr:colOff>
      <xdr:row>0</xdr:row>
      <xdr:rowOff>54429</xdr:rowOff>
    </xdr:from>
    <xdr:to>
      <xdr:col>9</xdr:col>
      <xdr:colOff>666900</xdr:colOff>
      <xdr:row>1</xdr:row>
      <xdr:rowOff>159996</xdr:rowOff>
    </xdr:to>
    <xdr:sp macro="[0]!Pfeilnachlinks2_Klicken" textlink="">
      <xdr:nvSpPr>
        <xdr:cNvPr id="2" name="Pfeil nach links 1" descr="Navigationspfeil zurück zur erstren Seite der Date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 bwMode="auto">
        <a:xfrm>
          <a:off x="8840756" y="54429"/>
          <a:ext cx="519165" cy="334945"/>
        </a:xfrm>
        <a:prstGeom prst="leftArrow">
          <a:avLst/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Seite 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oebel\Ausbildungsstatistik\Ausbild.2011\Ausbildungsstatistik_1_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oebel\Ausbildungsstatistik\Ausbild.2006\Ausbildungsstatistik%202006_Kor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kblatt"/>
      <sheetName val="Inhaltsverzeichnis"/>
      <sheetName val="A. Ausbildungsverh. Landwirt"/>
      <sheetName val="Fachkraft Agrarservice"/>
      <sheetName val="Winzer"/>
      <sheetName val="LW-Fachwerker"/>
      <sheetName val="Tierwirt"/>
      <sheetName val="Fischwirt"/>
      <sheetName val="Pferdewirt"/>
      <sheetName val="Pferdewirt (2)"/>
      <sheetName val="Gärtner"/>
      <sheetName val="Gaba-Fachwerker"/>
      <sheetName val="Revierjäger"/>
      <sheetName val="Forstwirt"/>
      <sheetName val="Molkereifach-"/>
      <sheetName val="Milchtechnologe-technologin"/>
      <sheetName val="Milchw.Laborant"/>
      <sheetName val="Hauswirtschaft"/>
      <sheetName val="B. Entwicklung "/>
      <sheetName val="C. Verträge nach Vorbildung"/>
      <sheetName val="D. Vorz.gel.AVe"/>
      <sheetName val="E. Ausl. Auszubildende"/>
      <sheetName val="F. Prüf.i.d.berufl. Fortbildung"/>
      <sheetName val="Alle zusam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kblatt"/>
      <sheetName val="Inhaltsverzeichnis"/>
      <sheetName val="A. Ausbildungsverh. Landwirt"/>
      <sheetName val="Fachkraft Agrarservice"/>
      <sheetName val="Winzer"/>
      <sheetName val="LW-Fachwerker"/>
      <sheetName val="Tierwirt"/>
      <sheetName val="Fischwirt"/>
      <sheetName val="Pferdewirt"/>
      <sheetName val="Gärtner"/>
      <sheetName val="Gaba-Fachwerker"/>
      <sheetName val="Revierjäger"/>
      <sheetName val="Forstwirt"/>
      <sheetName val="Molkereifach-"/>
      <sheetName val="Lw. Laborant"/>
      <sheetName val="Milchw.Laborant"/>
      <sheetName val="Hauswirtschaft"/>
      <sheetName val="D. Verträge nach Vorbildung"/>
      <sheetName val="E. Vorz.gel.AVe"/>
      <sheetName val="F. Ausl. Auszubildende"/>
      <sheetName val="G. und H. Ausbilder Ausbildungs"/>
      <sheetName val="B. Entwicklung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1787541-AC5C-4BCE-86E5-55E99FCD4230}" name="Anbaufläche_Deutschland" displayName="Anbaufläche_Deutschland" ref="A2:D750" totalsRowShown="0" headerRowDxfId="266" dataDxfId="264" headerRowBorderDxfId="265" tableBorderDxfId="263">
  <sortState xmlns:xlrd2="http://schemas.microsoft.com/office/spreadsheetml/2017/richdata2" ref="A3:D750">
    <sortCondition ref="A3:A750" customList="Deutschland"/>
    <sortCondition ref="B3:B750" customList="Ackerbohnen,Erbsen (ohne Frischerbsen),Sojabohnen,Süßlupinen"/>
    <sortCondition descending="1" ref="C3:C750"/>
  </sortState>
  <tableColumns count="4">
    <tableColumn id="4" xr3:uid="{02E6593B-FEE2-4759-88D4-CA49EC4B6E3C}" name="Gebiet" dataDxfId="262" dataCellStyle="Standard 2"/>
    <tableColumn id="3" xr3:uid="{89171954-C7D9-473A-8FE4-6C62D91115FC}" name="Erzeugnis" dataDxfId="261" dataCellStyle="Standard 2"/>
    <tableColumn id="5" xr3:uid="{F5BB8E23-7404-4C5D-BC68-E611D697FA67}" name="Jahr" dataDxfId="260"/>
    <tableColumn id="6" xr3:uid="{59EC55D4-11A7-43BC-9249-CAB51E4EB4F8}" name="Hektar" dataDxfId="25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: Anbauflächen in Hektar" altTextSummary="Anbauflächen in Deutschland und allen Bundesländern der Leguminosen Ackerbohnen, Erbsen (ohne Frischerbsen), Sojabohnen und Süßlupinen von den Jahren 2015 bis 2024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Inlandsverwendung_Deutschland3" displayName="Inlandsverwendung_Deutschland3" ref="A2:C42" totalsRowShown="0" headerRowDxfId="177" dataDxfId="175" headerRowBorderDxfId="176" tableBorderDxfId="174">
  <sortState xmlns:xlrd2="http://schemas.microsoft.com/office/spreadsheetml/2017/richdata2" ref="A3:C42">
    <sortCondition ref="B3:B42" customList="Ackerbohnen,Felderbsen,Sojabohnen,Süßlupinen"/>
    <sortCondition descending="1" ref="A3:A42"/>
  </sortState>
  <tableColumns count="3">
    <tableColumn id="4" xr3:uid="{00000000-0010-0000-0900-000004000000}" name="Jahr" dataDxfId="173" dataCellStyle="Standard 2"/>
    <tableColumn id="1" xr3:uid="{00000000-0010-0000-0900-000001000000}" name="Erzeugnis" dataDxfId="172" dataCellStyle="Standard 2"/>
    <tableColumn id="5" xr3:uid="{00000000-0010-0000-0900-000005000000}" name="Tausend Tonnen" dataDxfId="1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J: Inlandsverwendung in Tausend Tonnen" altTextSummary="Inlandsverwendung in Deutschland der Leguminosen Ackerbohnen, Erbsen (ohne Frischerbsen), Sojabohnen und Süßlupinen von den Jahren 2015 bis 2024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0A000000}" name="EinkaufspreiseKonventionell_Deutschland" displayName="EinkaufspreiseKonventionell_Deutschland" ref="A2:N46" totalsRowShown="0" headerRowDxfId="17" dataDxfId="16" headerRowBorderDxfId="14" tableBorderDxfId="15">
  <sortState xmlns:xlrd2="http://schemas.microsoft.com/office/spreadsheetml/2017/richdata2" ref="A3:N46">
    <sortCondition ref="A3:A46"/>
    <sortCondition descending="1" ref="B3:B46"/>
  </sortState>
  <tableColumns count="14">
    <tableColumn id="4" xr3:uid="{00000000-0010-0000-0A00-000004000000}" name="Erzeugnis" dataDxfId="13" dataCellStyle="Standard 2"/>
    <tableColumn id="1" xr3:uid="{00000000-0010-0000-0A00-000001000000}" name="Jahr" dataDxfId="12" dataCellStyle="Standard 2"/>
    <tableColumn id="2" xr3:uid="{00000000-0010-0000-0A00-000002000000}" name="Januar" dataDxfId="11" dataCellStyle="Standard 2"/>
    <tableColumn id="3" xr3:uid="{00000000-0010-0000-0A00-000003000000}" name="Februar" dataDxfId="10" dataCellStyle="Standard 2"/>
    <tableColumn id="5" xr3:uid="{00000000-0010-0000-0A00-000005000000}" name="März" dataDxfId="9"/>
    <tableColumn id="6" xr3:uid="{00000000-0010-0000-0A00-000006000000}" name="April" dataDxfId="8"/>
    <tableColumn id="7" xr3:uid="{00000000-0010-0000-0A00-000007000000}" name="Mai" dataDxfId="7"/>
    <tableColumn id="8" xr3:uid="{00000000-0010-0000-0A00-000008000000}" name="Juni" dataDxfId="6"/>
    <tableColumn id="9" xr3:uid="{00000000-0010-0000-0A00-000009000000}" name="Juli" dataDxfId="5"/>
    <tableColumn id="10" xr3:uid="{00000000-0010-0000-0A00-00000A000000}" name="August" dataDxfId="4"/>
    <tableColumn id="11" xr3:uid="{00000000-0010-0000-0A00-00000B000000}" name="September" dataDxfId="3"/>
    <tableColumn id="12" xr3:uid="{00000000-0010-0000-0A00-00000C000000}" name="Oktober" dataDxfId="2"/>
    <tableColumn id="13" xr3:uid="{00000000-0010-0000-0A00-00000D000000}" name="November" dataDxfId="1"/>
    <tableColumn id="14" xr3:uid="{00000000-0010-0000-0A00-00000E000000}" name="Dezemb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K: Einkaufspreise konventionell in Euro pro Tonne" altTextSummary="Einkaufspreise konventionell in Deutschland der Leguminosen Ackerbohnen, Erbsen (ohne Frischerbsen), Sojabohnen und Süßlupinen von den Jahren 2015 bis 2024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EinkaufspreiseÖkologisch_Deutschland" displayName="EinkaufspreiseÖkologisch_Deutschland" ref="A2:N46" totalsRowShown="0" headerRowDxfId="170" dataDxfId="168" headerRowBorderDxfId="169" tableBorderDxfId="167">
  <sortState xmlns:xlrd2="http://schemas.microsoft.com/office/spreadsheetml/2017/richdata2" ref="A3:N46">
    <sortCondition ref="A3:A46" customList="Ackerbohnen,Futtererbsen,Sojabohnen,Süßlupinen"/>
    <sortCondition descending="1" ref="B3:B46"/>
  </sortState>
  <tableColumns count="14">
    <tableColumn id="4" xr3:uid="{00000000-0010-0000-0B00-000004000000}" name="Erzeugnis" dataDxfId="166" dataCellStyle="Standard 2"/>
    <tableColumn id="1" xr3:uid="{00000000-0010-0000-0B00-000001000000}" name="Jahr" dataDxfId="165" dataCellStyle="Standard 2"/>
    <tableColumn id="2" xr3:uid="{00000000-0010-0000-0B00-000002000000}" name="Januar" dataDxfId="164" dataCellStyle="Standard 2"/>
    <tableColumn id="3" xr3:uid="{00000000-0010-0000-0B00-000003000000}" name="Februar" dataDxfId="163" dataCellStyle="Standard 2"/>
    <tableColumn id="5" xr3:uid="{00000000-0010-0000-0B00-000005000000}" name="März" dataDxfId="162"/>
    <tableColumn id="6" xr3:uid="{00000000-0010-0000-0B00-000006000000}" name="April" dataDxfId="161"/>
    <tableColumn id="7" xr3:uid="{00000000-0010-0000-0B00-000007000000}" name="Mai" dataDxfId="160"/>
    <tableColumn id="8" xr3:uid="{00000000-0010-0000-0B00-000008000000}" name="Juni" dataDxfId="159"/>
    <tableColumn id="9" xr3:uid="{00000000-0010-0000-0B00-000009000000}" name="Juli" dataDxfId="158"/>
    <tableColumn id="10" xr3:uid="{00000000-0010-0000-0B00-00000A000000}" name="August" dataDxfId="157"/>
    <tableColumn id="11" xr3:uid="{00000000-0010-0000-0B00-00000B000000}" name="September" dataDxfId="156"/>
    <tableColumn id="12" xr3:uid="{00000000-0010-0000-0B00-00000C000000}" name="Oktober" dataDxfId="155"/>
    <tableColumn id="13" xr3:uid="{00000000-0010-0000-0B00-00000D000000}" name="November" dataDxfId="154"/>
    <tableColumn id="14" xr3:uid="{00000000-0010-0000-0B00-00000E000000}" name="Dezember" dataDxfId="15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: Einkaufspreise ökologisch in Euro pro Tonne" altTextSummary="Einkaufspreise ökologisch in Deutschland der Leguminosen Ackerbohnen, Erbsen (ohne Frischerbsen), Sojabohnen und Süßlupinen von den Jahren 2015 bis 2024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0C000000}" name="VerhältnisPreise_Deutschland" displayName="VerhältnisPreise_Deutschland" ref="A2:N46" totalsRowShown="0" headerRowDxfId="152" dataDxfId="150" headerRowBorderDxfId="151" tableBorderDxfId="149">
  <sortState xmlns:xlrd2="http://schemas.microsoft.com/office/spreadsheetml/2017/richdata2" ref="A3:N46">
    <sortCondition ref="A3:A46" customList="Ackerbohnen,Futtererbsen,Sojabohnen,Süßlupinen"/>
    <sortCondition descending="1" ref="B3:B46"/>
  </sortState>
  <tableColumns count="14">
    <tableColumn id="4" xr3:uid="{00000000-0010-0000-0C00-000004000000}" name="Erzeugnis" dataDxfId="148" dataCellStyle="Standard 2"/>
    <tableColumn id="1" xr3:uid="{00000000-0010-0000-0C00-000001000000}" name="Jahr" dataDxfId="147" dataCellStyle="Standard 2"/>
    <tableColumn id="2" xr3:uid="{00000000-0010-0000-0C00-000002000000}" name="Januar" dataDxfId="146" dataCellStyle="Standard 2"/>
    <tableColumn id="3" xr3:uid="{00000000-0010-0000-0C00-000003000000}" name="Februar" dataDxfId="145" dataCellStyle="Standard 2"/>
    <tableColumn id="5" xr3:uid="{00000000-0010-0000-0C00-000005000000}" name="März" dataDxfId="144"/>
    <tableColumn id="6" xr3:uid="{00000000-0010-0000-0C00-000006000000}" name="April" dataDxfId="143"/>
    <tableColumn id="7" xr3:uid="{00000000-0010-0000-0C00-000007000000}" name="Mai" dataDxfId="142"/>
    <tableColumn id="8" xr3:uid="{00000000-0010-0000-0C00-000008000000}" name="Juni" dataDxfId="141"/>
    <tableColumn id="9" xr3:uid="{00000000-0010-0000-0C00-000009000000}" name="Juli" dataDxfId="140"/>
    <tableColumn id="10" xr3:uid="{00000000-0010-0000-0C00-00000A000000}" name="August" dataDxfId="139"/>
    <tableColumn id="11" xr3:uid="{00000000-0010-0000-0C00-00000B000000}" name="September" dataDxfId="138"/>
    <tableColumn id="12" xr3:uid="{00000000-0010-0000-0C00-00000C000000}" name="Oktober" dataDxfId="137"/>
    <tableColumn id="13" xr3:uid="{00000000-0010-0000-0C00-00000D000000}" name="November" dataDxfId="136"/>
    <tableColumn id="14" xr3:uid="{00000000-0010-0000-0C00-00000E000000}" name="Dezember" dataDxfId="1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: Verhältnis von ökologischen zu konventionellen in Euro pro Tonne" altTextSummary="Verhältnis von ökologischen zu konventionellen in Deutschland der Leguminosen Ackerbohnen, Erbsen (ohne Frischerbsen), Sojabohnen und Süßlupinen von den Jahren 2015 bis 2024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D000000}" name="Saatguterzeugung" displayName="Saatguterzeugung" ref="A2:E279" totalsRowShown="0" headerRowDxfId="134" dataDxfId="133" tableBorderDxfId="132">
  <autoFilter ref="A2:E279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D00-000001000000}" name="Leguminose" dataDxfId="131"/>
    <tableColumn id="2" xr3:uid="{00000000-0010-0000-0D00-000002000000}" name="Sortenname" dataDxfId="130"/>
    <tableColumn id="3" xr3:uid="{00000000-0010-0000-0D00-000003000000}" name="Jahr" dataDxfId="129"/>
    <tableColumn id="4" xr3:uid="{00000000-0010-0000-0D00-000004000000}" name="Bundesland" dataDxfId="128"/>
    <tableColumn id="5" xr3:uid="{00000000-0010-0000-0D00-000005000000}" name="Zertifizierte Menge (dt)" dataDxfId="1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: Saatguterzeugung" altTextSummary="Daten über die Menge an zertifiziertem Saatgut für alle Sorten der Leguminosen Ackerbohne, Felderbse, Sojabohne und Weißlupine in Deutschland im Jahre 2024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CD9EED-0A4B-4A85-8ED8-A793254883DC}" name="neue_Sorten_Ackerbohne" displayName="neue_Sorten_Ackerbohne" ref="A2:O4" totalsRowShown="0" headerRowDxfId="126" dataDxfId="124" headerRowBorderDxfId="125" tableBorderDxfId="123">
  <autoFilter ref="A2:O4" xr:uid="{40CD9EED-0A4B-4A85-8ED8-A793254883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142FFB94-3FA6-4D6C-A0A1-86059889E9EC}" name="Leguminose" dataDxfId="122"/>
    <tableColumn id="2" xr3:uid="{874D164E-5574-4E19-B025-8084AF3CC8F3}" name="Sortenname" dataDxfId="121"/>
    <tableColumn id="3" xr3:uid="{3F85B9EB-8654-4AF7-98D8-F32E4E6027A0}" name="Jahr" dataDxfId="120"/>
    <tableColumn id="4" xr3:uid="{5649E084-E8E2-478C-AA2B-1AF1C3C163B6}" name="Aussaatzeitpunkt" dataDxfId="119"/>
    <tableColumn id="5" xr3:uid="{9440D091-EEED-4987-88C7-9A8C221883E4}" name="Blühbeginn" dataDxfId="118"/>
    <tableColumn id="6" xr3:uid="{8ABA45C2-8B17-4869-8365-A8B6565FE223}" name="Reife" dataDxfId="117"/>
    <tableColumn id="7" xr3:uid="{853653B0-DE10-415A-B75D-FDBA3EE79C7F}" name="Pflanzenlänge" dataDxfId="116"/>
    <tableColumn id="8" xr3:uid="{64E370DE-AB69-49E3-9565-C950C768BA15}" name="Neigung zu Lager" dataDxfId="115"/>
    <tableColumn id="9" xr3:uid="{5863EE2D-32BA-4B6B-97B3-61DFB166B0B7}" name="Tausendkornmasse" dataDxfId="114"/>
    <tableColumn id="10" xr3:uid="{86A8A776-EFA4-4B74-9A6B-5038CF86DFE1}" name="Kornertrag" dataDxfId="113"/>
    <tableColumn id="11" xr3:uid="{CC5B72D4-DF04-4357-B69A-68F05FAE0E56}" name="Rohproteinertrag" dataDxfId="112"/>
    <tableColumn id="12" xr3:uid="{89952B7A-420B-4EF5-BD27-0897016ABE1A}" name="Rohproteingehalt" dataDxfId="111"/>
    <tableColumn id="13" xr3:uid="{4A0AA40E-15E8-4F5E-8DF6-CBEBF13BADE2}" name="Ascochyta" dataDxfId="110"/>
    <tableColumn id="14" xr3:uid="{FA2BD19E-E65B-4A23-90CB-41AAA1796E53}" name="Botrytis" dataDxfId="109"/>
    <tableColumn id="15" xr3:uid="{27DFC148-639B-4927-9E8B-D6C7A0F12CB8}" name="Rost" dataDxfId="1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: Saatguterzeugung" altTextSummary="Daten über die Menge an zertifiziertem Saatgut für alle Sorten der Leguminosen Ackerbohne, Felderbse, Sojabohne und Weißlupine in Deutschland im Jahre 2024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CFFF8C-A844-4E81-932E-DDF7D4ECE3DD}" name="neue_Sorten_Erbsen" displayName="neue_Sorten_Erbsen" ref="A6:M9" totalsRowShown="0" headerRowDxfId="107" dataDxfId="105" headerRowBorderDxfId="106" tableBorderDxfId="104">
  <autoFilter ref="A6:M9" xr:uid="{B4CFFF8C-A844-4E81-932E-DDF7D4ECE3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158EE14-6DC6-4F78-95B2-31D6E0943850}" name="Leguminose" dataDxfId="103"/>
    <tableColumn id="2" xr3:uid="{EF041081-A45C-477A-B15E-6ECBD7EF2A81}" name="Sortenname" dataDxfId="102"/>
    <tableColumn id="3" xr3:uid="{E7605D76-C4BB-4B0A-9EEB-6B2F7FC43976}" name="Jahr" dataDxfId="101"/>
    <tableColumn id="4" xr3:uid="{8C10A9C4-E3B4-484B-AA20-24F337BA5D4F}" name="Aussaatzeitpunkt" dataDxfId="100"/>
    <tableColumn id="5" xr3:uid="{A91B7E05-2F02-48FC-ACFE-10342B71D02A}" name="Blühbeginn" dataDxfId="99"/>
    <tableColumn id="6" xr3:uid="{76111C87-9862-44C8-827C-61CCB8EB6F39}" name="Reife" dataDxfId="98"/>
    <tableColumn id="7" xr3:uid="{857E57C9-AE9C-4362-8047-177C9BB5A56C}" name="Pflanzenlänge" dataDxfId="97"/>
    <tableColumn id="8" xr3:uid="{AF322972-5E78-41C3-89EF-A1745BF65B8C}" name="Neigung zu Lager" dataDxfId="96"/>
    <tableColumn id="9" xr3:uid="{C3D8202C-8923-49DD-821F-4F9522578A4D}" name="Tausendkornmasse" dataDxfId="95"/>
    <tableColumn id="10" xr3:uid="{CDA9D88B-6F83-4FEC-BE35-6475F62D51B1}" name="Kornertrag" dataDxfId="94"/>
    <tableColumn id="11" xr3:uid="{09F55B02-5AD3-4A8A-9495-DF89E29CDF5F}" name="Rohproteinertrag" dataDxfId="93"/>
    <tableColumn id="12" xr3:uid="{FBB13E7C-43B3-44CD-82C5-FFBB5EBEEFF6}" name="Rohproteingehalt" dataDxfId="92"/>
    <tableColumn id="13" xr3:uid="{E69FD89D-3E95-4FB9-A59F-BD9753457CC7}" name="Auswinterung" dataDxfId="91"/>
  </tableColumns>
  <tableStyleInfo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E754DCD-CCE3-4673-801A-9166DB25DC85}" name="neue_Sorten_Sojabohne" displayName="neue_Sorten_Sojabohne" ref="A11:N19" totalsRowShown="0" headerRowDxfId="90" dataDxfId="88" headerRowBorderDxfId="89" tableBorderDxfId="87">
  <autoFilter ref="A11:N19" xr:uid="{5E754DCD-CCE3-4673-801A-9166DB25DC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7FE81D3-F787-44C4-B4AD-8EC58A5DF260}" name="Leguminose" dataDxfId="86"/>
    <tableColumn id="2" xr3:uid="{43903732-2AA2-4AE0-9B87-9D8896903BBA}" name="Sortenname" dataDxfId="85"/>
    <tableColumn id="3" xr3:uid="{AF5F50E9-F80E-4D33-A8C7-68382081599D}" name="Jahr" dataDxfId="84"/>
    <tableColumn id="4" xr3:uid="{E359AFEE-2B26-4003-885D-C89B5CE8C3B1}" name="Aussaatzeitpunkt" dataDxfId="83"/>
    <tableColumn id="5" xr3:uid="{367EBBDE-AA7E-4A18-B55E-67D7791FC89F}" name="Blühbeginn" dataDxfId="82"/>
    <tableColumn id="6" xr3:uid="{745B1824-9881-4222-92B7-608B3B5ED61E}" name="Reife" dataDxfId="81"/>
    <tableColumn id="7" xr3:uid="{9E56EDD3-DF07-4690-AFF3-3BA57B8C28FC}" name="Pflanzenlänge" dataDxfId="80"/>
    <tableColumn id="8" xr3:uid="{47E0D818-FCC9-4043-A0D7-12C2A726B0D5}" name="Neigung zu Lager" dataDxfId="79"/>
    <tableColumn id="9" xr3:uid="{C3468217-6B90-4DAF-85DF-CDC73F3EB44E}" name="Tausendkornmasse" dataDxfId="78"/>
    <tableColumn id="10" xr3:uid="{19954451-3B0D-4674-B4CC-F94D839FF0ED}" name="Kornertrag" dataDxfId="77"/>
    <tableColumn id="11" xr3:uid="{07374075-468F-4B36-BC31-A51BD0FA1180}" name="Rohproteinertrag" dataDxfId="76"/>
    <tableColumn id="12" xr3:uid="{96548D53-7A05-4CA1-8048-2D5A519F4125}" name="Rohproteingehalt" dataDxfId="75"/>
    <tableColumn id="13" xr3:uid="{46C59B23-FE7D-41A3-895E-2DE630742615}" name="Rohölertrag" dataDxfId="74"/>
    <tableColumn id="14" xr3:uid="{D4A20168-E352-4A47-95FF-B4EB5143BC33}" name="Rohölgehalt" dataDxfId="73"/>
  </tableColumns>
  <tableStyleInfo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7E7A211-4FCB-4C1B-B7A3-02EFE59306AF}" name="neue_Sorten_Lupine" displayName="neue_Sorten_Lupine" ref="A21:L22" totalsRowShown="0" headerRowDxfId="72" dataDxfId="70" headerRowBorderDxfId="71" tableBorderDxfId="69">
  <autoFilter ref="A21:L22" xr:uid="{87E7A211-4FCB-4C1B-B7A3-02EFE59306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35D2CC2-26BD-42D8-8312-D5CDF1C204B1}" name="Leguminose" dataDxfId="68"/>
    <tableColumn id="2" xr3:uid="{76C6D4A4-10D7-4FCB-AE05-EC4E9ED050C2}" name="Sortenname" dataDxfId="67"/>
    <tableColumn id="3" xr3:uid="{23EA7558-5AD7-467F-A271-2BE5ACF8BDFE}" name="Jahr" dataDxfId="66"/>
    <tableColumn id="4" xr3:uid="{97BE20A4-CB57-44CC-ABBF-2C250B817D1F}" name="Aussaatzeitpunkt" dataDxfId="65"/>
    <tableColumn id="5" xr3:uid="{F93FC15A-32E5-4DDD-B18D-0581E424D7C8}" name="Blühbeginn" dataDxfId="64"/>
    <tableColumn id="6" xr3:uid="{44316812-5BBD-40F1-84A4-35112A07DE35}" name="Reife" dataDxfId="63"/>
    <tableColumn id="7" xr3:uid="{36C20A91-6175-4663-B15C-160465A05B7C}" name="Pflanzenlänge" dataDxfId="62"/>
    <tableColumn id="8" xr3:uid="{EBE8E0D7-08D1-4045-8AF0-8747F9A69E1B}" name="Neigung zu Lager" dataDxfId="61"/>
    <tableColumn id="9" xr3:uid="{2F2CB1C0-1256-451E-870B-6813BB478005}" name="Tausendkornmasse" dataDxfId="60"/>
    <tableColumn id="10" xr3:uid="{D77DBF94-E586-46EC-9E6C-F70DEF0D1690}" name="Kornertrag" dataDxfId="59"/>
    <tableColumn id="11" xr3:uid="{96DAE751-DB89-474D-9527-FF0CD54304E2}" name="Rohproteinertrag" dataDxfId="58"/>
    <tableColumn id="12" xr3:uid="{B6199E84-BE69-40FC-A6AD-CD7A14E2B080}" name="Rohproteingehalt" dataDxfId="57"/>
  </tableColumns>
  <tableStyleInfo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E000000}" name="PrognosenSoeLI_Deutschland" displayName="PrognosenSoeLI_Deutschland" ref="A2:E38" totalsRowShown="0" headerRowDxfId="56" dataDxfId="54" headerRowBorderDxfId="55" tableBorderDxfId="53">
  <sortState xmlns:xlrd2="http://schemas.microsoft.com/office/spreadsheetml/2017/richdata2" ref="A3:E38">
    <sortCondition descending="1" ref="C3:C38"/>
    <sortCondition ref="D3:D38" customList="Januar,Februar,März,April,Mai,Juni,Juli,August,September,Oktober,November,Dezember"/>
  </sortState>
  <tableColumns count="5">
    <tableColumn id="4" xr3:uid="{00000000-0010-0000-0E00-000004000000}" name="Prognosemethode" dataDxfId="52" dataCellStyle="Standard 2"/>
    <tableColumn id="16" xr3:uid="{00000000-0010-0000-0E00-000010000000}" name="Erzeugnis" dataDxfId="51"/>
    <tableColumn id="2" xr3:uid="{00000000-0010-0000-0E00-000002000000}" name="Jahr" dataDxfId="50" dataCellStyle="Standard 2"/>
    <tableColumn id="1" xr3:uid="{00000000-0010-0000-0E00-000001000000}" name="Monat" dataDxfId="49"/>
    <tableColumn id="3" xr3:uid="{00000000-0010-0000-0E00-000003000000}" name="Euro pro Tonne" dataDxfId="48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: Geschätzte Einkaufspreise nach dem Soesterleguminosenindex in Euro pro Tonne" altTextSummary="Geschätzte Einkaufspreise nach dem Soesterleguminosenindex in Deutschland der Leguminosen Ackerbohnen, Erbsen (ohne Frischerbsen), Sojabohnen und Süßlupinen von den Jahren 2015 bis 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Erntemenge_Deutschland" displayName="Erntemenge_Deutschland" ref="A2:D750" totalsRowShown="0" headerRowDxfId="258" dataDxfId="256" headerRowBorderDxfId="257" tableBorderDxfId="255">
  <sortState xmlns:xlrd2="http://schemas.microsoft.com/office/spreadsheetml/2017/richdata2" ref="A3:D750">
    <sortCondition ref="A3:A750" customList="Deutschland"/>
    <sortCondition ref="B3:B750" customList="Ackerbohnen,Erbsen (ohne Frischerbsen),Sojabohnen,Süßlupinen"/>
    <sortCondition descending="1" ref="C3:C750"/>
  </sortState>
  <tableColumns count="4">
    <tableColumn id="4" xr3:uid="{00000000-0010-0000-0100-000004000000}" name="Gebiet" dataDxfId="254" dataCellStyle="Standard 2"/>
    <tableColumn id="3" xr3:uid="{00000000-0010-0000-0100-000003000000}" name="Erzeugnis" dataDxfId="253" dataCellStyle="Standard 2"/>
    <tableColumn id="5" xr3:uid="{00000000-0010-0000-0100-000005000000}" name="Jahr" dataDxfId="252"/>
    <tableColumn id="6" xr3:uid="{00000000-0010-0000-0100-000006000000}" name="Tonnen" dataDxfId="2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: Erntemenge in Tonnen" altTextSummary="Erntemenge in Deutschland und allen Bundesländern der Leguminosen Ackerbohnen, Erbsen (ohne Frischerbsen), Sojabohnen und Süßlupinen von den Jahren 2015 bis 2024. 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F000000}" name="PrognosenLoehr_Deutschland" displayName="PrognosenLoehr_Deutschland" ref="A2:E38" totalsRowShown="0" headerRowDxfId="47" dataDxfId="45" headerRowBorderDxfId="46" tableBorderDxfId="44">
  <sortState xmlns:xlrd2="http://schemas.microsoft.com/office/spreadsheetml/2017/richdata2" ref="A3:E38">
    <sortCondition descending="1" ref="C3:C38"/>
    <sortCondition ref="D3:D38" customList="Januar,Februar,März,April,Mai,Juni,Juli,August,September,Oktober,November,Dezember"/>
  </sortState>
  <tableColumns count="5">
    <tableColumn id="4" xr3:uid="{00000000-0010-0000-0F00-000004000000}" name="Prognosemethode" dataDxfId="43" dataCellStyle="Standard 2"/>
    <tableColumn id="16" xr3:uid="{00000000-0010-0000-0F00-000010000000}" name="Erzeugnis" dataDxfId="42"/>
    <tableColumn id="2" xr3:uid="{00000000-0010-0000-0F00-000002000000}" name="Jahr" dataDxfId="41" dataCellStyle="Standard 2"/>
    <tableColumn id="1" xr3:uid="{00000000-0010-0000-0F00-000001000000}" name="Monat" dataDxfId="40"/>
    <tableColumn id="3" xr3:uid="{00000000-0010-0000-0F00-000003000000}" name="Euro pro Tonne" dataDxfId="39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O: Geschätzte Einkaufspreise nach dem Preisindikator Löhr in Euro pro Tonne" altTextSummary="Geschätzte Einkaufspreise nach dem Preisindikator Löhr in Deutschland der Leguminosen Ackerbohnen, Erbsen (ohne Frischerbsen), Sojabohnen und Süßlupinen von den Jahren 2015 bis 2024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0000000}" name="Berechnungsmethode_Soesterleguminosenindex" displayName="Berechnungsmethode_Soesterleguminosenindex" ref="A2:B6" totalsRowShown="0" tableBorderDxfId="38">
  <autoFilter ref="A2:B6" xr:uid="{00000000-0009-0000-0100-000006000000}">
    <filterColumn colId="0" hiddenButton="1"/>
    <filterColumn colId="1" hiddenButton="1"/>
  </autoFilter>
  <tableColumns count="2">
    <tableColumn id="1" xr3:uid="{00000000-0010-0000-1000-000001000000}" name="genutzte Daten (AMI)"/>
    <tableColumn id="2" xr3:uid="{00000000-0010-0000-1000-000002000000}" name="Regressionsgleichungen" dataDxfId="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P: Berechnungsmethode Soesterleguminosenindex" altTextSummary="Berechnungsmethode mit Darstellung der Zeiträume der genutzten Daten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1000000}" name="Berechnungsmethode_Loehr" displayName="Berechnungsmethode_Loehr" ref="A3:I9" headerRowCount="0" totalsRowShown="0" headerRowDxfId="36" dataDxfId="35" tableBorderDxfId="34">
  <tableColumns count="9">
    <tableColumn id="1" xr3:uid="{00000000-0010-0000-1100-000001000000}" name="Spalte1" headerRowDxfId="33" dataDxfId="32"/>
    <tableColumn id="2" xr3:uid="{00000000-0010-0000-1100-000002000000}" name="Spalte2" headerRowDxfId="31" dataDxfId="30"/>
    <tableColumn id="3" xr3:uid="{00000000-0010-0000-1100-000003000000}" name="Spalte3" headerRowDxfId="29" dataDxfId="28"/>
    <tableColumn id="4" xr3:uid="{00000000-0010-0000-1100-000004000000}" name="Spalte4" headerRowDxfId="27" dataDxfId="26"/>
    <tableColumn id="5" xr3:uid="{00000000-0010-0000-1100-000005000000}" name="Spalte5" headerRowDxfId="25"/>
    <tableColumn id="6" xr3:uid="{00000000-0010-0000-1100-000006000000}" name="Spalte6" headerRowDxfId="24"/>
    <tableColumn id="7" xr3:uid="{00000000-0010-0000-1100-000007000000}" name="Spalte7" headerRowDxfId="23" dataDxfId="22"/>
    <tableColumn id="8" xr3:uid="{00000000-0010-0000-1100-000008000000}" name="Spalte8" headerRowDxfId="21" dataDxfId="20"/>
    <tableColumn id="9" xr3:uid="{00000000-0010-0000-1100-000009000000}" name="Spalte9" headerRowDxfId="19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Q: Berechnungsmethode Loehr" altTextSummary="Tabelle zeigt die Werte mit denen die Methode nach Löhr zur Prognose von Preisen genutzt werden kan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2000000}" name="Ertrag_Deutschland" displayName="Ertrag_Deutschland" ref="A2:D750" totalsRowShown="0" headerRowDxfId="250" dataDxfId="248" headerRowBorderDxfId="249" tableBorderDxfId="247">
  <sortState xmlns:xlrd2="http://schemas.microsoft.com/office/spreadsheetml/2017/richdata2" ref="A3:D682">
    <sortCondition ref="A3:A682" customList="Deutschland"/>
    <sortCondition ref="B3:B682" customList="Ackerbohnen,Erbsen (ohne Frischerbsen),Sojabohnen,Süßlupinen"/>
    <sortCondition descending="1" ref="C3:C682"/>
  </sortState>
  <tableColumns count="4">
    <tableColumn id="4" xr3:uid="{00000000-0010-0000-0200-000004000000}" name="Gebiet" dataDxfId="246" dataCellStyle="Standard 2"/>
    <tableColumn id="3" xr3:uid="{00000000-0010-0000-0200-000003000000}" name="Erzeugnis" dataDxfId="245" dataCellStyle="Standard 2"/>
    <tableColumn id="5" xr3:uid="{00000000-0010-0000-0200-000005000000}" name="Jahr" dataDxfId="244"/>
    <tableColumn id="6" xr3:uid="{00000000-0010-0000-0200-000006000000}" name="Dezitonnen pro Hektar" dataDxfId="2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: Ertrag je Hektar in Dezitonnen pro Hektar" altTextSummary="Ertrag je Hektar in Deutschland und allen Bundesländern der Leguminosen Ackerbohnen, Erbsen (ohne Frischerbsen), Sojabohnen und Süßlupinen von den Jahren 2015 bis 2024.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03000000}" name="Importvolumen_Euro" displayName="Importvolumen_Euro" ref="A2:F123" totalsRowShown="0" headerRowDxfId="242" dataDxfId="240" headerRowBorderDxfId="241" tableBorderDxfId="239">
  <sortState xmlns:xlrd2="http://schemas.microsoft.com/office/spreadsheetml/2017/richdata2" ref="A3:G122">
    <sortCondition descending="1" ref="A3:A122"/>
  </sortState>
  <tableColumns count="6">
    <tableColumn id="7" xr3:uid="{00000000-0010-0000-0300-000007000000}" name="Jahr" dataDxfId="238"/>
    <tableColumn id="1" xr3:uid="{00000000-0010-0000-0300-000001000000}" name="Monat" dataDxfId="237"/>
    <tableColumn id="8" xr3:uid="{00000000-0010-0000-0300-000008000000}" name="Getrocknete, ausgelöste Erbsen, auch geschält" dataDxfId="236"/>
    <tableColumn id="9" xr3:uid="{00000000-0010-0000-0300-000009000000}" name="Getrocknete, unter anderem ausgelöste Puffbohnen " dataDxfId="235"/>
    <tableColumn id="10" xr3:uid="{00000000-0010-0000-0300-00000A000000}" name="Heu,Klee,Esparsette, Futterkohl, Lupinen, Wicken und ähnliche" dataDxfId="234"/>
    <tableColumn id="11" xr3:uid="{00000000-0010-0000-0300-00000B000000}" name="Sojabohnen, auch geschrotet, nicht zur Aussaat" dataDxfId="2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: Importvolumen in Tausend Euro" altTextSummary="Importvolumen in Deutschland der Leguminosen Ackerbohnen, Erbsen (ohne Frischerbsen), Sojabohnen und Süßlupinen von den Jahren 2015 bis 2024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Importvolumen_Tonnen" displayName="Importvolumen_Tonnen" ref="A2:F123" totalsRowShown="0" headerRowDxfId="232" dataDxfId="230" headerRowBorderDxfId="231" tableBorderDxfId="229">
  <sortState xmlns:xlrd2="http://schemas.microsoft.com/office/spreadsheetml/2017/richdata2" ref="A3:G122">
    <sortCondition descending="1" ref="A3:A122"/>
  </sortState>
  <tableColumns count="6">
    <tableColumn id="7" xr3:uid="{00000000-0010-0000-0400-000007000000}" name="Jahr" dataDxfId="228" totalsRowDxfId="227"/>
    <tableColumn id="1" xr3:uid="{00000000-0010-0000-0400-000001000000}" name="Monat" dataDxfId="226" totalsRowDxfId="225"/>
    <tableColumn id="8" xr3:uid="{00000000-0010-0000-0400-000008000000}" name="Getrocknete, ausgelöste Erbsen, auch geschält" dataDxfId="224" totalsRowDxfId="223"/>
    <tableColumn id="9" xr3:uid="{00000000-0010-0000-0400-000009000000}" name="Getrocknete, unter anderem ausgelöste Puffbohnen " dataDxfId="222" totalsRowDxfId="221"/>
    <tableColumn id="10" xr3:uid="{00000000-0010-0000-0400-00000A000000}" name="Heu,Klee,Esparsette, Futterkohl, Lupinen, Wicken und ähnliche" dataDxfId="220"/>
    <tableColumn id="11" xr3:uid="{00000000-0010-0000-0400-00000B000000}" name="Sojabohnen, auch geschrotet, nicht zur Aussaat" dataDxfId="219" totalsRowDxfId="2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: Importvolumen in Tonnen" altTextSummary="Importvolumen in Deutschland der Leguminosen Ackerbohnen, Erbsen (ohne Frischerbsen), Sojabohnen und Süßlupinen von den Jahren 2015 bis 2024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Einkaufspreise_Import" displayName="Einkaufspreise_Import" ref="A2:F123" totalsRowShown="0" headerRowDxfId="217" dataDxfId="215" headerRowBorderDxfId="216" tableBorderDxfId="214">
  <sortState xmlns:xlrd2="http://schemas.microsoft.com/office/spreadsheetml/2017/richdata2" ref="A3:F122">
    <sortCondition descending="1" ref="B3:B122"/>
  </sortState>
  <tableColumns count="6">
    <tableColumn id="7" xr3:uid="{00000000-0010-0000-0500-000007000000}" name="Jahr" dataDxfId="213"/>
    <tableColumn id="4" xr3:uid="{00000000-0010-0000-0500-000004000000}" name="Monat" dataDxfId="212" dataCellStyle="Standard 2"/>
    <tableColumn id="8" xr3:uid="{00000000-0010-0000-0500-000008000000}" name="Getrocknete, ausgelöste Erbsen, auch geschält" dataDxfId="211">
      <calculatedColumnFormula>#REF!*1000/#REF!</calculatedColumnFormula>
    </tableColumn>
    <tableColumn id="9" xr3:uid="{00000000-0010-0000-0500-000009000000}" name="Getrocknete, unter anderem ausgelöste Puffbohnen " dataDxfId="210">
      <calculatedColumnFormula>#REF!*1000/A3</calculatedColumnFormula>
    </tableColumn>
    <tableColumn id="10" xr3:uid="{00000000-0010-0000-0500-00000A000000}" name="Heu,Klee,Esparsette, Futterkohl, Lupinen, Wicken und ähnliche" dataDxfId="209"/>
    <tableColumn id="11" xr3:uid="{00000000-0010-0000-0500-00000B000000}" name="Sojabohnen, auch geschrotet, nicht zur Aussaat" dataDxfId="2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: Einkaufspreise Import in Euro pro Tonne" altTextSummary="Einkaufspreise im Import in Deutschland der Leguminosen Ackerbohnen, Erbsen (ohne Frischerbsen), Sojabohnen und Süßlupinen von den Jahren 2015 bis 2024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Exportvolumen_Euro" displayName="Exportvolumen_Euro" ref="A2:F123" totalsRowShown="0" headerRowDxfId="207" dataDxfId="205" headerRowBorderDxfId="206" tableBorderDxfId="204">
  <sortState xmlns:xlrd2="http://schemas.microsoft.com/office/spreadsheetml/2017/richdata2" ref="A3:F122">
    <sortCondition descending="1" ref="B3:B122"/>
  </sortState>
  <tableColumns count="6">
    <tableColumn id="7" xr3:uid="{00000000-0010-0000-0600-000007000000}" name="Jahr" dataDxfId="203"/>
    <tableColumn id="4" xr3:uid="{00000000-0010-0000-0600-000004000000}" name="Monat" dataDxfId="202" dataCellStyle="Standard 2"/>
    <tableColumn id="8" xr3:uid="{00000000-0010-0000-0600-000008000000}" name="Getrocknete, ausgelöste Erbsen, auch geschält" dataDxfId="201">
      <calculatedColumnFormula>#REF!*1000/#REF!</calculatedColumnFormula>
    </tableColumn>
    <tableColumn id="9" xr3:uid="{00000000-0010-0000-0600-000009000000}" name="Getrocknete, unter anderem ausgelöste Puffbohnen " dataDxfId="200">
      <calculatedColumnFormula>#REF!*1000/A3</calculatedColumnFormula>
    </tableColumn>
    <tableColumn id="10" xr3:uid="{00000000-0010-0000-0600-00000A000000}" name="Heu,Klee,Esparsette, Futterkohl, Lupinen, Wicken und ähnliche" dataDxfId="199"/>
    <tableColumn id="11" xr3:uid="{00000000-0010-0000-0600-00000B000000}" name="Sojabohnen, auch geschrotet, nicht zur Aussaat" dataDxfId="19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: Exportvolumen in Tausend Euro" altTextSummary="Exportvolumen in Deutschland der Leguminosen Ackerbohnen, Erbsen (ohne Frischerbsen), Sojabohnen und Süßlupinen von den Jahren 2015 bis 2024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Exportvolumen_Euro12" displayName="Exportvolumen_Euro12" ref="A2:F123" totalsRowShown="0" headerRowDxfId="197" dataDxfId="195" headerRowBorderDxfId="196" tableBorderDxfId="194">
  <sortState xmlns:xlrd2="http://schemas.microsoft.com/office/spreadsheetml/2017/richdata2" ref="A3:F122">
    <sortCondition descending="1" ref="B3:B122"/>
  </sortState>
  <tableColumns count="6">
    <tableColumn id="7" xr3:uid="{00000000-0010-0000-0700-000007000000}" name="Jahr" dataDxfId="193"/>
    <tableColumn id="4" xr3:uid="{00000000-0010-0000-0700-000004000000}" name="Monat" dataDxfId="192" dataCellStyle="Standard 2"/>
    <tableColumn id="8" xr3:uid="{00000000-0010-0000-0700-000008000000}" name="Getrocknete, ausgelöste Erbsen, auch geschält" dataDxfId="191">
      <calculatedColumnFormula>#REF!*1000/#REF!</calculatedColumnFormula>
    </tableColumn>
    <tableColumn id="9" xr3:uid="{00000000-0010-0000-0700-000009000000}" name="Getrocknete, unter anderem ausgelöste Puffbohnen " dataDxfId="190">
      <calculatedColumnFormula>#REF!*1000/A3</calculatedColumnFormula>
    </tableColumn>
    <tableColumn id="10" xr3:uid="{00000000-0010-0000-0700-00000A000000}" name="Heu,Klee,Esparsette, Futterkohl, Lupinen, Wicken und ähnliche" dataDxfId="189"/>
    <tableColumn id="11" xr3:uid="{00000000-0010-0000-0700-00000B000000}" name="Sojabohnen, auch geschrotet, nicht zur Aussaat" dataDxfId="1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: Exportvolumen in Tonnen" altTextSummary="Exportvolumen in Deutschland der Leguminosen Ackerbohnen, Erbsen (ohne Frischerbsen), Sojabohnen und Süßlupinen von den Jahren 2015 bis 2024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Exportvolumen_Euro122" displayName="Exportvolumen_Euro122" ref="A2:F123" totalsRowShown="0" headerRowDxfId="187" dataDxfId="185" headerRowBorderDxfId="186" tableBorderDxfId="184">
  <sortState xmlns:xlrd2="http://schemas.microsoft.com/office/spreadsheetml/2017/richdata2" ref="A3:F122">
    <sortCondition descending="1" ref="B3:B122"/>
  </sortState>
  <tableColumns count="6">
    <tableColumn id="7" xr3:uid="{00000000-0010-0000-0800-000007000000}" name="Jahr" dataDxfId="183"/>
    <tableColumn id="4" xr3:uid="{00000000-0010-0000-0800-000004000000}" name="Monat" dataDxfId="182" dataCellStyle="Standard 2"/>
    <tableColumn id="8" xr3:uid="{00000000-0010-0000-0800-000008000000}" name="Getrocknete, ausgelöste Erbsen, auch geschält" dataDxfId="181">
      <calculatedColumnFormula>#REF!*1000/#REF!</calculatedColumnFormula>
    </tableColumn>
    <tableColumn id="9" xr3:uid="{00000000-0010-0000-0800-000009000000}" name="Getrocknete, unter anderem ausgelöste Puffbohnen " dataDxfId="180">
      <calculatedColumnFormula>#REF!*1000/A3</calculatedColumnFormula>
    </tableColumn>
    <tableColumn id="10" xr3:uid="{00000000-0010-0000-0800-00000A000000}" name="Heu,Klee,Esparsette, Futterkohl, Lupinen, Wicken und ähnliche" dataDxfId="179"/>
    <tableColumn id="11" xr3:uid="{00000000-0010-0000-0800-00000B000000}" name="Sojabohnen, auch geschrotet, nicht zur Aussaat" dataDxfId="17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: Verkaufspreise Export in Euro pro Tonne" altTextSummary="Verkaufspreise im Export in Deutschland der Leguminosen Ackerbohnen, Erbsen (ohne Frischerbsen), Sojabohnen und Süßlupinen von den Jahren 2015 bis 2024.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5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A28"/>
  <sheetViews>
    <sheetView tabSelected="1" showWhiteSpace="0" zoomScale="140" zoomScaleNormal="140" zoomScaleSheetLayoutView="100" workbookViewId="0">
      <selection activeCell="A4" sqref="A4"/>
    </sheetView>
  </sheetViews>
  <sheetFormatPr baseColWidth="10" defaultColWidth="105.3828125" defaultRowHeight="14.15"/>
  <cols>
    <col min="1" max="1" width="113.69140625" customWidth="1"/>
  </cols>
  <sheetData>
    <row r="1" spans="1:1" ht="86.25" customHeight="1">
      <c r="A1" s="1391" t="s">
        <v>40</v>
      </c>
    </row>
    <row r="2" spans="1:1" ht="24.75" customHeight="1">
      <c r="A2" s="1397" t="s">
        <v>419</v>
      </c>
    </row>
    <row r="3" spans="1:1" ht="19.5" customHeight="1">
      <c r="A3" s="1398" t="s">
        <v>212</v>
      </c>
    </row>
    <row r="4" spans="1:1" ht="19.5" customHeight="1">
      <c r="A4" s="1395" t="s">
        <v>713</v>
      </c>
    </row>
    <row r="5" spans="1:1" ht="14.6">
      <c r="A5" s="1396" t="s">
        <v>149</v>
      </c>
    </row>
    <row r="6" spans="1:1">
      <c r="A6" s="1399" t="s">
        <v>650</v>
      </c>
    </row>
    <row r="7" spans="1:1">
      <c r="A7" s="1400" t="s">
        <v>651</v>
      </c>
    </row>
    <row r="8" spans="1:1">
      <c r="A8" s="1399" t="s">
        <v>652</v>
      </c>
    </row>
    <row r="9" spans="1:1">
      <c r="A9" s="1399" t="s">
        <v>653</v>
      </c>
    </row>
    <row r="10" spans="1:1">
      <c r="A10" s="1399" t="s">
        <v>654</v>
      </c>
    </row>
    <row r="11" spans="1:1">
      <c r="A11" s="1399" t="s">
        <v>655</v>
      </c>
    </row>
    <row r="12" spans="1:1">
      <c r="A12" s="1399" t="s">
        <v>656</v>
      </c>
    </row>
    <row r="13" spans="1:1">
      <c r="A13" s="1399" t="s">
        <v>657</v>
      </c>
    </row>
    <row r="14" spans="1:1">
      <c r="A14" s="1399" t="s">
        <v>658</v>
      </c>
    </row>
    <row r="15" spans="1:1">
      <c r="A15" s="1399" t="s">
        <v>659</v>
      </c>
    </row>
    <row r="16" spans="1:1">
      <c r="A16" s="1399" t="s">
        <v>660</v>
      </c>
    </row>
    <row r="17" spans="1:1">
      <c r="A17" s="1399" t="s">
        <v>661</v>
      </c>
    </row>
    <row r="18" spans="1:1">
      <c r="A18" s="1399" t="s">
        <v>662</v>
      </c>
    </row>
    <row r="19" spans="1:1">
      <c r="A19" s="1399" t="s">
        <v>663</v>
      </c>
    </row>
    <row r="20" spans="1:1">
      <c r="A20" s="1399" t="s">
        <v>668</v>
      </c>
    </row>
    <row r="21" spans="1:1">
      <c r="A21" s="1399" t="s">
        <v>698</v>
      </c>
    </row>
    <row r="22" spans="1:1">
      <c r="A22" s="1399" t="s">
        <v>664</v>
      </c>
    </row>
    <row r="23" spans="1:1">
      <c r="A23" s="1399" t="s">
        <v>699</v>
      </c>
    </row>
    <row r="24" spans="1:1">
      <c r="A24" s="1399" t="s">
        <v>700</v>
      </c>
    </row>
    <row r="25" spans="1:1">
      <c r="A25" s="1398" t="s">
        <v>95</v>
      </c>
    </row>
    <row r="26" spans="1:1">
      <c r="A26" s="1398" t="s">
        <v>96</v>
      </c>
    </row>
    <row r="27" spans="1:1">
      <c r="A27" s="1398" t="s">
        <v>667</v>
      </c>
    </row>
    <row r="28" spans="1:1">
      <c r="A28" s="1398" t="s">
        <v>403</v>
      </c>
    </row>
  </sheetData>
  <hyperlinks>
    <hyperlink ref="A6" location="'A. Anbaufläche'!A1" display="A: Anbaufläche" xr:uid="{00000000-0004-0000-0000-000000000000}"/>
    <hyperlink ref="A7" location="'B. Erntemenge'!A1" display="B: Erntemenge" xr:uid="{00000000-0004-0000-0000-000001000000}"/>
    <hyperlink ref="A8" location="'C. Ertrag je Hektar'!A1" display="C: Ertrag je Hektar" xr:uid="{00000000-0004-0000-0000-000002000000}"/>
    <hyperlink ref="A10" location="'E. Importvolumen (Tonnen)'!A1" display="E: Importvolumen (Tonnen)" xr:uid="{00000000-0004-0000-0000-000003000000}"/>
    <hyperlink ref="A11" location="'F. Einkaufspreise Import'!A1" display="F: Einkaufspreise Import" xr:uid="{00000000-0004-0000-0000-000004000000}"/>
    <hyperlink ref="A12" location="'G. Exportvolumen (Tausend Euro)'!A1" display="G: Exportvolumen (Tausend Euro)" xr:uid="{00000000-0004-0000-0000-000005000000}"/>
    <hyperlink ref="A14" location="'I. Verkaufspreise Export'!A1" display="I: Verkaufspreise Export" xr:uid="{00000000-0004-0000-0000-000006000000}"/>
    <hyperlink ref="A15" location="'J. Inlandsverwendung'!A1" display="J: Inlandsverwendung" xr:uid="{00000000-0004-0000-0000-000007000000}"/>
    <hyperlink ref="A16" location="'K. Einkaufspreise konventionell'!A1" display="K: Einkaufspreise konventionell" xr:uid="{00000000-0004-0000-0000-000008000000}"/>
    <hyperlink ref="A19" location="'N. Saatguterzeugung'!A1" display="N: Saatguterzeugung" xr:uid="{00000000-0004-0000-0000-000009000000}"/>
    <hyperlink ref="A17" location="'L. Einkaufspreise ökologisch'!A1" display="L: Einkaufspreise ökologisch" xr:uid="{00000000-0004-0000-0000-00000A000000}"/>
    <hyperlink ref="A18" location="'M. Verhältnis Einkaufspreise'!A1" display="M: Verhältnis Einkaufspreise" xr:uid="{00000000-0004-0000-0000-00000B000000}"/>
    <hyperlink ref="A21" location="'Q. Prognosen Loehr'!A1" display="Q: Prognosen SoeLI" xr:uid="{00000000-0004-0000-0000-00000C000000}"/>
    <hyperlink ref="A13" location="'H. Exportvolumen (Tonnen)'!A1" display="H: Exportvolumen (Tonnen)" xr:uid="{00000000-0004-0000-0000-00000D000000}"/>
    <hyperlink ref="A9" location="'D. Importvolumen (Tausend Euro)'!A1" display="D: Importvolumen (Tausend Euro)" xr:uid="{00000000-0004-0000-0000-00000E000000}"/>
    <hyperlink ref="A22" location="'P. Prognosen Loehr'!A1" display="P: Prognosen Löhr" xr:uid="{00000000-0004-0000-0000-00000F000000}"/>
    <hyperlink ref="A23" location="'R. Berechnungsmethode SoeLI'!A1" display="R: Berechnungsmethode SoeLI" xr:uid="{00000000-0004-0000-0000-000010000000}"/>
    <hyperlink ref="A24" location="'S. Berechnungsmethode Löhr'!A1" display="S: Berechnungsmethode Löhr" xr:uid="{00000000-0004-0000-0000-000011000000}"/>
    <hyperlink ref="A20" location="'O. neue Sorten'!A1" display="O: neue Sorten" xr:uid="{46626510-061C-49E3-B29F-1C07B3DF2FC4}"/>
  </hyperlinks>
  <printOptions horizontalCentered="1" verticalCentered="1"/>
  <pageMargins left="0.39370078740157483" right="0.39370078740157483" top="0.39370078740157483" bottom="0.35433070866141736" header="0.35433070866141736" footer="0.15748031496062992"/>
  <pageSetup paperSize="9" scale="93" fitToHeight="2" orientation="landscape" horizontalDpi="300" verticalDpi="300" r:id="rId1"/>
  <headerFooter alignWithMargins="0">
    <oddHeader xml:space="preserve">&amp;R
</oddHeader>
    <oddFooter xml:space="preserve">&amp;R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tabColor rgb="FF92D050"/>
  </sheetPr>
  <dimension ref="A1:F125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14" width="14.69140625" customWidth="1"/>
  </cols>
  <sheetData>
    <row r="1" spans="1:6" ht="18">
      <c r="A1" s="1404" t="s">
        <v>435</v>
      </c>
      <c r="B1" s="1403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9">
        <v>1370</v>
      </c>
      <c r="D4" s="1430">
        <v>2383</v>
      </c>
      <c r="E4" s="1429">
        <v>9668</v>
      </c>
      <c r="F4" s="1429">
        <v>6224</v>
      </c>
    </row>
    <row r="5" spans="1:6">
      <c r="A5" s="1426">
        <v>2024</v>
      </c>
      <c r="B5" s="1426" t="s">
        <v>423</v>
      </c>
      <c r="C5" s="1429">
        <v>1537</v>
      </c>
      <c r="D5" s="1430">
        <v>2701</v>
      </c>
      <c r="E5" s="1429">
        <v>8067</v>
      </c>
      <c r="F5" s="1429">
        <v>4743</v>
      </c>
    </row>
    <row r="6" spans="1:6">
      <c r="A6" s="1426">
        <v>2024</v>
      </c>
      <c r="B6" s="1426" t="s">
        <v>424</v>
      </c>
      <c r="C6" s="1429">
        <v>2884</v>
      </c>
      <c r="D6" s="1430">
        <v>2487</v>
      </c>
      <c r="E6" s="1429">
        <v>9880</v>
      </c>
      <c r="F6" s="1429">
        <v>11914</v>
      </c>
    </row>
    <row r="7" spans="1:6">
      <c r="A7" s="1426">
        <v>2024</v>
      </c>
      <c r="B7" s="1426" t="s">
        <v>425</v>
      </c>
      <c r="C7" s="1429">
        <v>3951</v>
      </c>
      <c r="D7" s="1430">
        <v>3839</v>
      </c>
      <c r="E7" s="1429">
        <v>7781</v>
      </c>
      <c r="F7" s="1429">
        <v>2649</v>
      </c>
    </row>
    <row r="8" spans="1:6">
      <c r="A8" s="1426">
        <v>2024</v>
      </c>
      <c r="B8" s="1426" t="s">
        <v>411</v>
      </c>
      <c r="C8" s="1429">
        <v>2816</v>
      </c>
      <c r="D8" s="1430">
        <v>2742</v>
      </c>
      <c r="E8" s="1429">
        <v>6284</v>
      </c>
      <c r="F8" s="1429">
        <v>950</v>
      </c>
    </row>
    <row r="9" spans="1:6">
      <c r="A9" s="1426">
        <v>2024</v>
      </c>
      <c r="B9" s="1426" t="s">
        <v>426</v>
      </c>
      <c r="C9" s="1429">
        <v>1128</v>
      </c>
      <c r="D9" s="1430">
        <v>2607</v>
      </c>
      <c r="E9" s="1429">
        <v>6929</v>
      </c>
      <c r="F9" s="1429">
        <v>1307</v>
      </c>
    </row>
    <row r="10" spans="1:6">
      <c r="A10" s="1426">
        <v>2024</v>
      </c>
      <c r="B10" s="1426" t="s">
        <v>427</v>
      </c>
      <c r="C10" s="1429">
        <v>1118</v>
      </c>
      <c r="D10" s="1430">
        <v>2664</v>
      </c>
      <c r="E10" s="1429">
        <v>6708</v>
      </c>
      <c r="F10" s="1429">
        <v>860</v>
      </c>
    </row>
    <row r="11" spans="1:6">
      <c r="A11" s="1426">
        <v>2024</v>
      </c>
      <c r="B11" s="1426" t="s">
        <v>428</v>
      </c>
      <c r="C11" s="1429">
        <v>1947</v>
      </c>
      <c r="D11" s="1430">
        <v>462</v>
      </c>
      <c r="E11" s="1429">
        <v>5103</v>
      </c>
      <c r="F11" s="1429">
        <v>1298</v>
      </c>
    </row>
    <row r="12" spans="1:6">
      <c r="A12" s="1426">
        <v>2024</v>
      </c>
      <c r="B12" s="1426" t="s">
        <v>429</v>
      </c>
      <c r="C12" s="1429">
        <v>1990</v>
      </c>
      <c r="D12" s="1430">
        <v>1279</v>
      </c>
      <c r="E12" s="1429">
        <v>4117</v>
      </c>
      <c r="F12" s="1429">
        <v>1095</v>
      </c>
    </row>
    <row r="13" spans="1:6">
      <c r="A13" s="1426">
        <v>2024</v>
      </c>
      <c r="B13" s="1426" t="s">
        <v>430</v>
      </c>
      <c r="C13" s="1429">
        <v>2326</v>
      </c>
      <c r="D13" s="1430">
        <v>1841</v>
      </c>
      <c r="E13" s="1429">
        <v>5279</v>
      </c>
      <c r="F13" s="1429">
        <v>1719</v>
      </c>
    </row>
    <row r="14" spans="1:6">
      <c r="A14" s="1426">
        <v>2024</v>
      </c>
      <c r="B14" s="1426" t="s">
        <v>431</v>
      </c>
      <c r="C14" s="1429">
        <v>1681</v>
      </c>
      <c r="D14" s="1430">
        <v>3130</v>
      </c>
      <c r="E14" s="1429">
        <v>7015</v>
      </c>
      <c r="F14" s="1429">
        <v>4557</v>
      </c>
    </row>
    <row r="15" spans="1:6">
      <c r="A15" s="1426">
        <v>2024</v>
      </c>
      <c r="B15" s="1426" t="s">
        <v>432</v>
      </c>
      <c r="C15" s="1429">
        <v>2005</v>
      </c>
      <c r="D15" s="1430">
        <v>2668</v>
      </c>
      <c r="E15" s="1429">
        <v>6644</v>
      </c>
      <c r="F15" s="1429">
        <v>1130</v>
      </c>
    </row>
    <row r="16" spans="1:6">
      <c r="A16" s="1426">
        <v>2023</v>
      </c>
      <c r="B16" s="1426" t="s">
        <v>420</v>
      </c>
      <c r="C16" s="1429">
        <v>1088</v>
      </c>
      <c r="D16" s="1430">
        <v>3639</v>
      </c>
      <c r="E16" s="1429">
        <v>10684</v>
      </c>
      <c r="F16" s="1429">
        <v>2079</v>
      </c>
    </row>
    <row r="17" spans="1:6">
      <c r="A17" s="1426">
        <v>2023</v>
      </c>
      <c r="B17" s="1426" t="s">
        <v>423</v>
      </c>
      <c r="C17" s="1429">
        <v>2006</v>
      </c>
      <c r="D17" s="1430">
        <v>5126</v>
      </c>
      <c r="E17" s="1429">
        <v>13590</v>
      </c>
      <c r="F17" s="1429">
        <v>3399</v>
      </c>
    </row>
    <row r="18" spans="1:6">
      <c r="A18" s="1426">
        <v>2023</v>
      </c>
      <c r="B18" s="1426" t="s">
        <v>424</v>
      </c>
      <c r="C18" s="1429">
        <v>2358</v>
      </c>
      <c r="D18" s="1430">
        <v>5653</v>
      </c>
      <c r="E18" s="1429">
        <v>14642</v>
      </c>
      <c r="F18" s="1429">
        <v>2315</v>
      </c>
    </row>
    <row r="19" spans="1:6">
      <c r="A19" s="1426">
        <v>2023</v>
      </c>
      <c r="B19" s="1426" t="s">
        <v>425</v>
      </c>
      <c r="C19" s="1429">
        <v>1496</v>
      </c>
      <c r="D19" s="1430">
        <v>2787</v>
      </c>
      <c r="E19" s="1429">
        <v>12639</v>
      </c>
      <c r="F19" s="1429">
        <v>2249</v>
      </c>
    </row>
    <row r="20" spans="1:6">
      <c r="A20" s="1426">
        <v>2023</v>
      </c>
      <c r="B20" s="1426" t="s">
        <v>411</v>
      </c>
      <c r="C20" s="1429">
        <v>713</v>
      </c>
      <c r="D20" s="1430">
        <v>2253</v>
      </c>
      <c r="E20" s="1429">
        <v>9526</v>
      </c>
      <c r="F20" s="1429">
        <v>1913</v>
      </c>
    </row>
    <row r="21" spans="1:6">
      <c r="A21" s="1426">
        <v>2023</v>
      </c>
      <c r="B21" s="1426" t="s">
        <v>426</v>
      </c>
      <c r="C21" s="1429">
        <v>1241</v>
      </c>
      <c r="D21" s="1430">
        <v>7885</v>
      </c>
      <c r="E21" s="1429">
        <v>9850</v>
      </c>
      <c r="F21" s="1429">
        <v>1679</v>
      </c>
    </row>
    <row r="22" spans="1:6">
      <c r="A22" s="1426">
        <v>2023</v>
      </c>
      <c r="B22" s="1426" t="s">
        <v>427</v>
      </c>
      <c r="C22" s="1429">
        <v>511</v>
      </c>
      <c r="D22" s="1430">
        <v>3465</v>
      </c>
      <c r="E22" s="1429">
        <v>8042</v>
      </c>
      <c r="F22" s="1429">
        <v>1047</v>
      </c>
    </row>
    <row r="23" spans="1:6">
      <c r="A23" s="1426">
        <v>2023</v>
      </c>
      <c r="B23" s="1426" t="s">
        <v>428</v>
      </c>
      <c r="C23" s="1429">
        <v>489</v>
      </c>
      <c r="D23" s="1430">
        <v>5809</v>
      </c>
      <c r="E23" s="1429">
        <v>6746</v>
      </c>
      <c r="F23" s="1429">
        <v>1710</v>
      </c>
    </row>
    <row r="24" spans="1:6">
      <c r="A24" s="1426">
        <v>2023</v>
      </c>
      <c r="B24" s="1426" t="s">
        <v>429</v>
      </c>
      <c r="C24" s="1429">
        <v>818</v>
      </c>
      <c r="D24" s="1430">
        <v>4203</v>
      </c>
      <c r="E24" s="1429">
        <v>6798</v>
      </c>
      <c r="F24" s="1429">
        <v>1705</v>
      </c>
    </row>
    <row r="25" spans="1:6">
      <c r="A25" s="1426">
        <v>2023</v>
      </c>
      <c r="B25" s="1426" t="s">
        <v>430</v>
      </c>
      <c r="C25" s="1429">
        <v>784</v>
      </c>
      <c r="D25" s="1430">
        <v>2954</v>
      </c>
      <c r="E25" s="1429">
        <v>7747</v>
      </c>
      <c r="F25" s="1429">
        <v>2387</v>
      </c>
    </row>
    <row r="26" spans="1:6">
      <c r="A26" s="1426">
        <v>2023</v>
      </c>
      <c r="B26" s="1426" t="s">
        <v>431</v>
      </c>
      <c r="C26" s="1429">
        <v>939</v>
      </c>
      <c r="D26" s="1430">
        <v>2320</v>
      </c>
      <c r="E26" s="1429">
        <v>7942</v>
      </c>
      <c r="F26" s="1429">
        <v>4412</v>
      </c>
    </row>
    <row r="27" spans="1:6">
      <c r="A27" s="1426">
        <v>2023</v>
      </c>
      <c r="B27" s="1426" t="s">
        <v>432</v>
      </c>
      <c r="C27" s="1429">
        <v>752</v>
      </c>
      <c r="D27" s="1430">
        <v>2077</v>
      </c>
      <c r="E27" s="1429">
        <v>7432</v>
      </c>
      <c r="F27" s="1429">
        <v>3164</v>
      </c>
    </row>
    <row r="28" spans="1:6">
      <c r="A28" s="1426">
        <v>2022</v>
      </c>
      <c r="B28" s="1426" t="s">
        <v>420</v>
      </c>
      <c r="C28" s="1429">
        <v>1264</v>
      </c>
      <c r="D28" s="1430">
        <v>8887</v>
      </c>
      <c r="E28" s="1429">
        <v>8722</v>
      </c>
      <c r="F28" s="1429">
        <v>2560</v>
      </c>
    </row>
    <row r="29" spans="1:6">
      <c r="A29" s="1426">
        <v>2022</v>
      </c>
      <c r="B29" s="1426" t="s">
        <v>423</v>
      </c>
      <c r="C29" s="1429">
        <v>2484</v>
      </c>
      <c r="D29" s="1430">
        <v>3484</v>
      </c>
      <c r="E29" s="1429">
        <v>9035</v>
      </c>
      <c r="F29" s="1429">
        <v>3538</v>
      </c>
    </row>
    <row r="30" spans="1:6">
      <c r="A30" s="1426">
        <v>2022</v>
      </c>
      <c r="B30" s="1426" t="s">
        <v>424</v>
      </c>
      <c r="C30" s="1429">
        <v>1654</v>
      </c>
      <c r="D30" s="1430">
        <v>8266</v>
      </c>
      <c r="E30" s="1429">
        <v>10031</v>
      </c>
      <c r="F30" s="1429">
        <v>4163</v>
      </c>
    </row>
    <row r="31" spans="1:6">
      <c r="A31" s="1426">
        <v>2022</v>
      </c>
      <c r="B31" s="1426" t="s">
        <v>425</v>
      </c>
      <c r="C31" s="1429">
        <v>1039</v>
      </c>
      <c r="D31" s="1430">
        <v>2745</v>
      </c>
      <c r="E31" s="1429">
        <v>8324</v>
      </c>
      <c r="F31" s="1429">
        <v>3063</v>
      </c>
    </row>
    <row r="32" spans="1:6">
      <c r="A32" s="1426">
        <v>2022</v>
      </c>
      <c r="B32" s="1426" t="s">
        <v>411</v>
      </c>
      <c r="C32" s="1429">
        <v>1036</v>
      </c>
      <c r="D32" s="1430">
        <v>2800</v>
      </c>
      <c r="E32" s="1429">
        <v>6316</v>
      </c>
      <c r="F32" s="1429">
        <v>3625</v>
      </c>
    </row>
    <row r="33" spans="1:6">
      <c r="A33" s="1426">
        <v>2022</v>
      </c>
      <c r="B33" s="1426" t="s">
        <v>426</v>
      </c>
      <c r="C33" s="1429">
        <v>346</v>
      </c>
      <c r="D33" s="1430">
        <v>3967</v>
      </c>
      <c r="E33" s="1429">
        <v>6512</v>
      </c>
      <c r="F33" s="1429">
        <v>2821</v>
      </c>
    </row>
    <row r="34" spans="1:6">
      <c r="A34" s="1426">
        <v>2022</v>
      </c>
      <c r="B34" s="1426" t="s">
        <v>427</v>
      </c>
      <c r="C34" s="1429">
        <v>823</v>
      </c>
      <c r="D34" s="1430">
        <v>1391</v>
      </c>
      <c r="E34" s="1429">
        <v>5968</v>
      </c>
      <c r="F34" s="1429">
        <v>9976</v>
      </c>
    </row>
    <row r="35" spans="1:6">
      <c r="A35" s="1426">
        <v>2022</v>
      </c>
      <c r="B35" s="1426" t="s">
        <v>428</v>
      </c>
      <c r="C35" s="1429">
        <v>1932</v>
      </c>
      <c r="D35" s="1430">
        <v>3039</v>
      </c>
      <c r="E35" s="1429">
        <v>9872</v>
      </c>
      <c r="F35" s="1429">
        <v>2696</v>
      </c>
    </row>
    <row r="36" spans="1:6">
      <c r="A36" s="1426">
        <v>2022</v>
      </c>
      <c r="B36" s="1426" t="s">
        <v>429</v>
      </c>
      <c r="C36" s="1429">
        <v>1455</v>
      </c>
      <c r="D36" s="1430">
        <v>4219</v>
      </c>
      <c r="E36" s="1429">
        <v>13522</v>
      </c>
      <c r="F36" s="1429">
        <v>2204</v>
      </c>
    </row>
    <row r="37" spans="1:6">
      <c r="A37" s="1426">
        <v>2022</v>
      </c>
      <c r="B37" s="1426" t="s">
        <v>430</v>
      </c>
      <c r="C37" s="1429">
        <v>1765</v>
      </c>
      <c r="D37" s="1430">
        <v>5375</v>
      </c>
      <c r="E37" s="1429">
        <v>13427</v>
      </c>
      <c r="F37" s="1429">
        <v>1722</v>
      </c>
    </row>
    <row r="38" spans="1:6">
      <c r="A38" s="1426">
        <v>2022</v>
      </c>
      <c r="B38" s="1426" t="s">
        <v>431</v>
      </c>
      <c r="C38" s="1429">
        <v>1602</v>
      </c>
      <c r="D38" s="1430">
        <v>3396</v>
      </c>
      <c r="E38" s="1429">
        <v>13143</v>
      </c>
      <c r="F38" s="1429">
        <v>2079</v>
      </c>
    </row>
    <row r="39" spans="1:6">
      <c r="A39" s="1426">
        <v>2022</v>
      </c>
      <c r="B39" s="1426" t="s">
        <v>432</v>
      </c>
      <c r="C39" s="1429">
        <v>823</v>
      </c>
      <c r="D39" s="1430">
        <v>2771</v>
      </c>
      <c r="E39" s="1429">
        <v>11932</v>
      </c>
      <c r="F39" s="1429">
        <v>4897</v>
      </c>
    </row>
    <row r="40" spans="1:6">
      <c r="A40" s="1426">
        <v>2021</v>
      </c>
      <c r="B40" s="1426" t="s">
        <v>420</v>
      </c>
      <c r="C40" s="1429">
        <v>1717</v>
      </c>
      <c r="D40" s="1430">
        <v>5896</v>
      </c>
      <c r="E40" s="1429">
        <v>6638</v>
      </c>
      <c r="F40" s="1429">
        <v>2337</v>
      </c>
    </row>
    <row r="41" spans="1:6">
      <c r="A41" s="1426">
        <v>2021</v>
      </c>
      <c r="B41" s="1426" t="s">
        <v>423</v>
      </c>
      <c r="C41" s="1429">
        <v>916</v>
      </c>
      <c r="D41" s="1430">
        <v>5302</v>
      </c>
      <c r="E41" s="1429">
        <v>9122</v>
      </c>
      <c r="F41" s="1429">
        <v>1549</v>
      </c>
    </row>
    <row r="42" spans="1:6">
      <c r="A42" s="1426">
        <v>2021</v>
      </c>
      <c r="B42" s="1426" t="s">
        <v>424</v>
      </c>
      <c r="C42" s="1429">
        <v>957</v>
      </c>
      <c r="D42" s="1430">
        <v>5786</v>
      </c>
      <c r="E42" s="1429">
        <v>8421</v>
      </c>
      <c r="F42" s="1429">
        <v>2140</v>
      </c>
    </row>
    <row r="43" spans="1:6">
      <c r="A43" s="1426">
        <v>2021</v>
      </c>
      <c r="B43" s="1426" t="s">
        <v>425</v>
      </c>
      <c r="C43" s="1429">
        <v>5407</v>
      </c>
      <c r="D43" s="1430">
        <v>4049</v>
      </c>
      <c r="E43" s="1429">
        <v>9109</v>
      </c>
      <c r="F43" s="1429">
        <v>2944</v>
      </c>
    </row>
    <row r="44" spans="1:6">
      <c r="A44" s="1426">
        <v>2021</v>
      </c>
      <c r="B44" s="1426" t="s">
        <v>411</v>
      </c>
      <c r="C44" s="1429">
        <v>4451</v>
      </c>
      <c r="D44" s="1430">
        <v>2288</v>
      </c>
      <c r="E44" s="1429">
        <v>7644</v>
      </c>
      <c r="F44" s="1429">
        <v>3483</v>
      </c>
    </row>
    <row r="45" spans="1:6">
      <c r="A45" s="1426">
        <v>2021</v>
      </c>
      <c r="B45" s="1426" t="s">
        <v>426</v>
      </c>
      <c r="C45" s="1429">
        <v>2189</v>
      </c>
      <c r="D45" s="1430">
        <v>2749</v>
      </c>
      <c r="E45" s="1429">
        <v>7364</v>
      </c>
      <c r="F45" s="1429">
        <v>2374</v>
      </c>
    </row>
    <row r="46" spans="1:6">
      <c r="A46" s="1426">
        <v>2021</v>
      </c>
      <c r="B46" s="1426" t="s">
        <v>427</v>
      </c>
      <c r="C46" s="1429">
        <v>2900</v>
      </c>
      <c r="D46" s="1430">
        <v>3929</v>
      </c>
      <c r="E46" s="1429">
        <v>5292</v>
      </c>
      <c r="F46" s="1429">
        <v>3511</v>
      </c>
    </row>
    <row r="47" spans="1:6">
      <c r="A47" s="1426">
        <v>2021</v>
      </c>
      <c r="B47" s="1426" t="s">
        <v>428</v>
      </c>
      <c r="C47" s="1429">
        <v>4769</v>
      </c>
      <c r="D47" s="1430">
        <v>1736</v>
      </c>
      <c r="E47" s="1429">
        <v>6542</v>
      </c>
      <c r="F47" s="1429">
        <v>954</v>
      </c>
    </row>
    <row r="48" spans="1:6">
      <c r="A48" s="1426">
        <v>2021</v>
      </c>
      <c r="B48" s="1426" t="s">
        <v>429</v>
      </c>
      <c r="C48" s="1429">
        <v>2966</v>
      </c>
      <c r="D48" s="1430">
        <v>2507</v>
      </c>
      <c r="E48" s="1429">
        <v>6841</v>
      </c>
      <c r="F48" s="1429">
        <v>2020</v>
      </c>
    </row>
    <row r="49" spans="1:6">
      <c r="A49" s="1426">
        <v>2021</v>
      </c>
      <c r="B49" s="1426" t="s">
        <v>430</v>
      </c>
      <c r="C49" s="1429">
        <v>1689</v>
      </c>
      <c r="D49" s="1430">
        <v>8389</v>
      </c>
      <c r="E49" s="1429">
        <v>8644</v>
      </c>
      <c r="F49" s="1429">
        <v>2082</v>
      </c>
    </row>
    <row r="50" spans="1:6">
      <c r="A50" s="1426">
        <v>2021</v>
      </c>
      <c r="B50" s="1426" t="s">
        <v>431</v>
      </c>
      <c r="C50" s="1429">
        <v>803</v>
      </c>
      <c r="D50" s="1430">
        <v>6112</v>
      </c>
      <c r="E50" s="1429">
        <v>8801</v>
      </c>
      <c r="F50" s="1429">
        <v>1485</v>
      </c>
    </row>
    <row r="51" spans="1:6">
      <c r="A51" s="1426">
        <v>2021</v>
      </c>
      <c r="B51" s="1426" t="s">
        <v>432</v>
      </c>
      <c r="C51" s="1429">
        <v>697</v>
      </c>
      <c r="D51" s="1430">
        <v>6989</v>
      </c>
      <c r="E51" s="1429">
        <v>9841</v>
      </c>
      <c r="F51" s="1429">
        <v>3165</v>
      </c>
    </row>
    <row r="52" spans="1:6">
      <c r="A52" s="1426">
        <v>2020</v>
      </c>
      <c r="B52" s="1426" t="s">
        <v>420</v>
      </c>
      <c r="C52" s="1429">
        <v>1058</v>
      </c>
      <c r="D52" s="1430">
        <v>11066</v>
      </c>
      <c r="E52" s="1429">
        <v>8980</v>
      </c>
      <c r="F52" s="1429">
        <v>9874</v>
      </c>
    </row>
    <row r="53" spans="1:6">
      <c r="A53" s="1426">
        <v>2020</v>
      </c>
      <c r="B53" s="1426" t="s">
        <v>423</v>
      </c>
      <c r="C53" s="1429">
        <v>987</v>
      </c>
      <c r="D53" s="1430">
        <v>4574</v>
      </c>
      <c r="E53" s="1429">
        <v>7394</v>
      </c>
      <c r="F53" s="1429">
        <v>4794</v>
      </c>
    </row>
    <row r="54" spans="1:6">
      <c r="A54" s="1426">
        <v>2020</v>
      </c>
      <c r="B54" s="1426" t="s">
        <v>424</v>
      </c>
      <c r="C54" s="1429">
        <v>3261</v>
      </c>
      <c r="D54" s="1430">
        <v>3936</v>
      </c>
      <c r="E54" s="1429">
        <v>11339</v>
      </c>
      <c r="F54" s="1429">
        <v>4260</v>
      </c>
    </row>
    <row r="55" spans="1:6">
      <c r="A55" s="1426">
        <v>2020</v>
      </c>
      <c r="B55" s="1426" t="s">
        <v>425</v>
      </c>
      <c r="C55" s="1429">
        <v>1158</v>
      </c>
      <c r="D55" s="1430">
        <v>2442</v>
      </c>
      <c r="E55" s="1429">
        <v>10439</v>
      </c>
      <c r="F55" s="1429">
        <v>2782</v>
      </c>
    </row>
    <row r="56" spans="1:6">
      <c r="A56" s="1426">
        <v>2020</v>
      </c>
      <c r="B56" s="1426" t="s">
        <v>411</v>
      </c>
      <c r="C56" s="1429">
        <v>2723</v>
      </c>
      <c r="D56" s="1430">
        <v>2942</v>
      </c>
      <c r="E56" s="1429">
        <v>7686</v>
      </c>
      <c r="F56" s="1429">
        <v>2502</v>
      </c>
    </row>
    <row r="57" spans="1:6">
      <c r="A57" s="1426">
        <v>2020</v>
      </c>
      <c r="B57" s="1426" t="s">
        <v>426</v>
      </c>
      <c r="C57" s="1429">
        <v>2500</v>
      </c>
      <c r="D57" s="1430">
        <v>2916</v>
      </c>
      <c r="E57" s="1429">
        <v>4657</v>
      </c>
      <c r="F57" s="1429">
        <v>2191</v>
      </c>
    </row>
    <row r="58" spans="1:6">
      <c r="A58" s="1426">
        <v>2020</v>
      </c>
      <c r="B58" s="1426" t="s">
        <v>427</v>
      </c>
      <c r="C58" s="1429">
        <v>1579</v>
      </c>
      <c r="D58" s="1430">
        <v>1098</v>
      </c>
      <c r="E58" s="1429">
        <v>4526</v>
      </c>
      <c r="F58" s="1429">
        <v>1681</v>
      </c>
    </row>
    <row r="59" spans="1:6">
      <c r="A59" s="1426">
        <v>2020</v>
      </c>
      <c r="B59" s="1426" t="s">
        <v>428</v>
      </c>
      <c r="C59" s="1429">
        <v>1790</v>
      </c>
      <c r="D59" s="1430">
        <v>2634</v>
      </c>
      <c r="E59" s="1429">
        <v>3864</v>
      </c>
      <c r="F59" s="1429">
        <v>2790</v>
      </c>
    </row>
    <row r="60" spans="1:6">
      <c r="A60" s="1426">
        <v>2020</v>
      </c>
      <c r="B60" s="1426" t="s">
        <v>429</v>
      </c>
      <c r="C60" s="1429">
        <v>1300</v>
      </c>
      <c r="D60" s="1430">
        <v>10601</v>
      </c>
      <c r="E60" s="1429">
        <v>4494</v>
      </c>
      <c r="F60" s="1429">
        <v>3024</v>
      </c>
    </row>
    <row r="61" spans="1:6">
      <c r="A61" s="1426">
        <v>2020</v>
      </c>
      <c r="B61" s="1426" t="s">
        <v>430</v>
      </c>
      <c r="C61" s="1429">
        <v>811</v>
      </c>
      <c r="D61" s="1430">
        <v>5265</v>
      </c>
      <c r="E61" s="1429">
        <v>6090</v>
      </c>
      <c r="F61" s="1429">
        <v>2452</v>
      </c>
    </row>
    <row r="62" spans="1:6">
      <c r="A62" s="1426">
        <v>2020</v>
      </c>
      <c r="B62" s="1426" t="s">
        <v>431</v>
      </c>
      <c r="C62" s="1429">
        <v>920</v>
      </c>
      <c r="D62" s="1430">
        <v>2599</v>
      </c>
      <c r="E62" s="1429">
        <v>7504</v>
      </c>
      <c r="F62" s="1429">
        <v>3658</v>
      </c>
    </row>
    <row r="63" spans="1:6">
      <c r="A63" s="1426">
        <v>2020</v>
      </c>
      <c r="B63" s="1426" t="s">
        <v>432</v>
      </c>
      <c r="C63" s="1429">
        <v>1097</v>
      </c>
      <c r="D63" s="1430">
        <v>4888</v>
      </c>
      <c r="E63" s="1429">
        <v>7120</v>
      </c>
      <c r="F63" s="1429">
        <v>3808</v>
      </c>
    </row>
    <row r="64" spans="1:6">
      <c r="A64" s="1426">
        <v>2019</v>
      </c>
      <c r="B64" s="1426" t="s">
        <v>420</v>
      </c>
      <c r="C64" s="1429">
        <v>2209</v>
      </c>
      <c r="D64" s="1430">
        <v>6547</v>
      </c>
      <c r="E64" s="1429">
        <v>6828</v>
      </c>
      <c r="F64" s="1429">
        <v>6726</v>
      </c>
    </row>
    <row r="65" spans="1:6">
      <c r="A65" s="1426">
        <v>2019</v>
      </c>
      <c r="B65" s="1426" t="s">
        <v>423</v>
      </c>
      <c r="C65" s="1429">
        <v>5941</v>
      </c>
      <c r="D65" s="1430">
        <v>4014</v>
      </c>
      <c r="E65" s="1429">
        <v>10163</v>
      </c>
      <c r="F65" s="1429">
        <v>6654</v>
      </c>
    </row>
    <row r="66" spans="1:6">
      <c r="A66" s="1426">
        <v>2019</v>
      </c>
      <c r="B66" s="1426" t="s">
        <v>424</v>
      </c>
      <c r="C66" s="1429">
        <v>1073</v>
      </c>
      <c r="D66" s="1430">
        <v>6484</v>
      </c>
      <c r="E66" s="1429">
        <v>8385</v>
      </c>
      <c r="F66" s="1429">
        <v>7750</v>
      </c>
    </row>
    <row r="67" spans="1:6">
      <c r="A67" s="1426">
        <v>2019</v>
      </c>
      <c r="B67" s="1426" t="s">
        <v>425</v>
      </c>
      <c r="C67" s="1429">
        <v>650</v>
      </c>
      <c r="D67" s="1430">
        <v>3936</v>
      </c>
      <c r="E67" s="1429">
        <v>7360</v>
      </c>
      <c r="F67" s="1429">
        <v>4174</v>
      </c>
    </row>
    <row r="68" spans="1:6">
      <c r="A68" s="1426">
        <v>2019</v>
      </c>
      <c r="B68" s="1426" t="s">
        <v>411</v>
      </c>
      <c r="C68" s="1429">
        <v>537</v>
      </c>
      <c r="D68" s="1430">
        <v>4093</v>
      </c>
      <c r="E68" s="1429">
        <v>11527</v>
      </c>
      <c r="F68" s="1429">
        <v>3400</v>
      </c>
    </row>
    <row r="69" spans="1:6">
      <c r="A69" s="1426">
        <v>2019</v>
      </c>
      <c r="B69" s="1426" t="s">
        <v>426</v>
      </c>
      <c r="C69" s="1429">
        <v>930</v>
      </c>
      <c r="D69" s="1430">
        <v>3277</v>
      </c>
      <c r="E69" s="1429">
        <v>7181</v>
      </c>
      <c r="F69" s="1429">
        <v>3574</v>
      </c>
    </row>
    <row r="70" spans="1:6">
      <c r="A70" s="1426">
        <v>2019</v>
      </c>
      <c r="B70" s="1426" t="s">
        <v>427</v>
      </c>
      <c r="C70" s="1429">
        <v>403</v>
      </c>
      <c r="D70" s="1430">
        <v>1327</v>
      </c>
      <c r="E70" s="1429">
        <v>10017</v>
      </c>
      <c r="F70" s="1429">
        <v>2824</v>
      </c>
    </row>
    <row r="71" spans="1:6">
      <c r="A71" s="1426">
        <v>2019</v>
      </c>
      <c r="B71" s="1426" t="s">
        <v>428</v>
      </c>
      <c r="C71" s="1429">
        <v>769</v>
      </c>
      <c r="D71" s="1430">
        <v>3349</v>
      </c>
      <c r="E71" s="1429">
        <v>6032</v>
      </c>
      <c r="F71" s="1429">
        <v>6214</v>
      </c>
    </row>
    <row r="72" spans="1:6">
      <c r="A72" s="1426">
        <v>2019</v>
      </c>
      <c r="B72" s="1426" t="s">
        <v>429</v>
      </c>
      <c r="C72" s="1429">
        <v>511</v>
      </c>
      <c r="D72" s="1430">
        <v>9897</v>
      </c>
      <c r="E72" s="1429">
        <v>8524</v>
      </c>
      <c r="F72" s="1429">
        <v>9522</v>
      </c>
    </row>
    <row r="73" spans="1:6">
      <c r="A73" s="1426">
        <v>2019</v>
      </c>
      <c r="B73" s="1426" t="s">
        <v>430</v>
      </c>
      <c r="C73" s="1429">
        <v>763</v>
      </c>
      <c r="D73" s="1430">
        <v>3094</v>
      </c>
      <c r="E73" s="1429">
        <v>8343</v>
      </c>
      <c r="F73" s="1429">
        <v>13016</v>
      </c>
    </row>
    <row r="74" spans="1:6">
      <c r="A74" s="1426">
        <v>2019</v>
      </c>
      <c r="B74" s="1426" t="s">
        <v>431</v>
      </c>
      <c r="C74" s="1429">
        <v>677</v>
      </c>
      <c r="D74" s="1430">
        <v>2680</v>
      </c>
      <c r="E74" s="1429">
        <v>7134</v>
      </c>
      <c r="F74" s="1429">
        <v>11184</v>
      </c>
    </row>
    <row r="75" spans="1:6">
      <c r="A75" s="1426">
        <v>2019</v>
      </c>
      <c r="B75" s="1426" t="s">
        <v>432</v>
      </c>
      <c r="C75" s="1429">
        <v>480</v>
      </c>
      <c r="D75" s="1430">
        <v>1303</v>
      </c>
      <c r="E75" s="1429">
        <v>7337</v>
      </c>
      <c r="F75" s="1429">
        <v>6502</v>
      </c>
    </row>
    <row r="76" spans="1:6">
      <c r="A76" s="1426">
        <v>2018</v>
      </c>
      <c r="B76" s="1426" t="s">
        <v>420</v>
      </c>
      <c r="C76" s="1429">
        <v>820</v>
      </c>
      <c r="D76" s="1430">
        <v>2224</v>
      </c>
      <c r="E76" s="1429">
        <v>10752</v>
      </c>
      <c r="F76" s="1429">
        <v>13288</v>
      </c>
    </row>
    <row r="77" spans="1:6">
      <c r="A77" s="1426">
        <v>2018</v>
      </c>
      <c r="B77" s="1426" t="s">
        <v>423</v>
      </c>
      <c r="C77" s="1429">
        <v>733</v>
      </c>
      <c r="D77" s="1430">
        <v>2178</v>
      </c>
      <c r="E77" s="1429">
        <v>12763</v>
      </c>
      <c r="F77" s="1429">
        <v>8749</v>
      </c>
    </row>
    <row r="78" spans="1:6">
      <c r="A78" s="1426">
        <v>2018</v>
      </c>
      <c r="B78" s="1426" t="s">
        <v>424</v>
      </c>
      <c r="C78" s="1429">
        <v>623</v>
      </c>
      <c r="D78" s="1430">
        <v>3159</v>
      </c>
      <c r="E78" s="1429">
        <v>10599</v>
      </c>
      <c r="F78" s="1429">
        <v>11686</v>
      </c>
    </row>
    <row r="79" spans="1:6">
      <c r="A79" s="1426">
        <v>2018</v>
      </c>
      <c r="B79" s="1426" t="s">
        <v>425</v>
      </c>
      <c r="C79" s="1429">
        <v>846</v>
      </c>
      <c r="D79" s="1430">
        <v>2246</v>
      </c>
      <c r="E79" s="1429">
        <v>11192</v>
      </c>
      <c r="F79" s="1429">
        <v>15069</v>
      </c>
    </row>
    <row r="80" spans="1:6">
      <c r="A80" s="1426">
        <v>2018</v>
      </c>
      <c r="B80" s="1426" t="s">
        <v>411</v>
      </c>
      <c r="C80" s="1429">
        <v>757</v>
      </c>
      <c r="D80" s="1430">
        <v>2536</v>
      </c>
      <c r="E80" s="1429">
        <v>6014</v>
      </c>
      <c r="F80" s="1429">
        <v>13974</v>
      </c>
    </row>
    <row r="81" spans="1:6">
      <c r="A81" s="1426">
        <v>2018</v>
      </c>
      <c r="B81" s="1426" t="s">
        <v>426</v>
      </c>
      <c r="C81" s="1429">
        <v>1058</v>
      </c>
      <c r="D81" s="1430">
        <v>1944</v>
      </c>
      <c r="E81" s="1429">
        <v>5751</v>
      </c>
      <c r="F81" s="1429">
        <v>14873</v>
      </c>
    </row>
    <row r="82" spans="1:6">
      <c r="A82" s="1426">
        <v>2018</v>
      </c>
      <c r="B82" s="1426" t="s">
        <v>427</v>
      </c>
      <c r="C82" s="1429">
        <v>442</v>
      </c>
      <c r="D82" s="1430">
        <v>1805</v>
      </c>
      <c r="E82" s="1429">
        <v>6297</v>
      </c>
      <c r="F82" s="1429">
        <v>14396</v>
      </c>
    </row>
    <row r="83" spans="1:6">
      <c r="A83" s="1426">
        <v>2018</v>
      </c>
      <c r="B83" s="1426" t="s">
        <v>428</v>
      </c>
      <c r="C83" s="1429">
        <v>2861</v>
      </c>
      <c r="D83" s="1430">
        <v>1084</v>
      </c>
      <c r="E83" s="1429">
        <v>9959</v>
      </c>
      <c r="F83" s="1429">
        <v>17309</v>
      </c>
    </row>
    <row r="84" spans="1:6">
      <c r="A84" s="1426">
        <v>2018</v>
      </c>
      <c r="B84" s="1426" t="s">
        <v>429</v>
      </c>
      <c r="C84" s="1429">
        <v>1450</v>
      </c>
      <c r="D84" s="1430">
        <v>2057</v>
      </c>
      <c r="E84" s="1429">
        <v>11442</v>
      </c>
      <c r="F84" s="1429">
        <v>13428</v>
      </c>
    </row>
    <row r="85" spans="1:6">
      <c r="A85" s="1426">
        <v>2018</v>
      </c>
      <c r="B85" s="1426" t="s">
        <v>430</v>
      </c>
      <c r="C85" s="1429">
        <v>1026</v>
      </c>
      <c r="D85" s="1430">
        <v>4533</v>
      </c>
      <c r="E85" s="1429">
        <v>10859</v>
      </c>
      <c r="F85" s="1429">
        <v>16197</v>
      </c>
    </row>
    <row r="86" spans="1:6">
      <c r="A86" s="1426">
        <v>2018</v>
      </c>
      <c r="B86" s="1426" t="s">
        <v>431</v>
      </c>
      <c r="C86" s="1429">
        <v>1383</v>
      </c>
      <c r="D86" s="1430">
        <v>5546</v>
      </c>
      <c r="E86" s="1429">
        <v>10690</v>
      </c>
      <c r="F86" s="1429">
        <v>11891</v>
      </c>
    </row>
    <row r="87" spans="1:6">
      <c r="A87" s="1426">
        <v>2018</v>
      </c>
      <c r="B87" s="1426" t="s">
        <v>432</v>
      </c>
      <c r="C87" s="1429">
        <v>1336</v>
      </c>
      <c r="D87" s="1430">
        <v>4102</v>
      </c>
      <c r="E87" s="1429">
        <v>7293</v>
      </c>
      <c r="F87" s="1429">
        <v>8072</v>
      </c>
    </row>
    <row r="88" spans="1:6">
      <c r="A88" s="1426">
        <v>2017</v>
      </c>
      <c r="B88" s="1426" t="s">
        <v>420</v>
      </c>
      <c r="C88" s="1429">
        <v>2401</v>
      </c>
      <c r="D88" s="1430">
        <v>1144</v>
      </c>
      <c r="E88" s="1429">
        <v>8339</v>
      </c>
      <c r="F88" s="1429">
        <v>10200</v>
      </c>
    </row>
    <row r="89" spans="1:6">
      <c r="A89" s="1426">
        <v>2017</v>
      </c>
      <c r="B89" s="1426" t="s">
        <v>423</v>
      </c>
      <c r="C89" s="1429">
        <v>29165</v>
      </c>
      <c r="D89" s="1430">
        <v>1296</v>
      </c>
      <c r="E89" s="1429">
        <v>10753</v>
      </c>
      <c r="F89" s="1429">
        <v>8700</v>
      </c>
    </row>
    <row r="90" spans="1:6">
      <c r="A90" s="1426">
        <v>2017</v>
      </c>
      <c r="B90" s="1426" t="s">
        <v>424</v>
      </c>
      <c r="C90" s="1429">
        <v>1383</v>
      </c>
      <c r="D90" s="1430">
        <v>1154</v>
      </c>
      <c r="E90" s="1429">
        <v>8789</v>
      </c>
      <c r="F90" s="1429">
        <v>12345</v>
      </c>
    </row>
    <row r="91" spans="1:6">
      <c r="A91" s="1426">
        <v>2017</v>
      </c>
      <c r="B91" s="1426" t="s">
        <v>425</v>
      </c>
      <c r="C91" s="1429">
        <v>1362</v>
      </c>
      <c r="D91" s="1430">
        <v>1526</v>
      </c>
      <c r="E91" s="1429">
        <v>7729</v>
      </c>
      <c r="F91" s="1429">
        <v>12034</v>
      </c>
    </row>
    <row r="92" spans="1:6">
      <c r="A92" s="1426">
        <v>2017</v>
      </c>
      <c r="B92" s="1426" t="s">
        <v>411</v>
      </c>
      <c r="C92" s="1429">
        <v>1124</v>
      </c>
      <c r="D92" s="1430">
        <v>1083</v>
      </c>
      <c r="E92" s="1429">
        <v>5731</v>
      </c>
      <c r="F92" s="1429">
        <v>11103</v>
      </c>
    </row>
    <row r="93" spans="1:6">
      <c r="A93" s="1426">
        <v>2017</v>
      </c>
      <c r="B93" s="1426" t="s">
        <v>426</v>
      </c>
      <c r="C93" s="1429">
        <v>1085</v>
      </c>
      <c r="D93" s="1430">
        <v>91</v>
      </c>
      <c r="E93" s="1429">
        <v>8552</v>
      </c>
      <c r="F93" s="1429">
        <v>11710</v>
      </c>
    </row>
    <row r="94" spans="1:6">
      <c r="A94" s="1426">
        <v>2017</v>
      </c>
      <c r="B94" s="1426" t="s">
        <v>427</v>
      </c>
      <c r="C94" s="1429">
        <v>1014</v>
      </c>
      <c r="D94" s="1430">
        <v>536</v>
      </c>
      <c r="E94" s="1429">
        <v>5708</v>
      </c>
      <c r="F94" s="1429">
        <v>11845</v>
      </c>
    </row>
    <row r="95" spans="1:6">
      <c r="A95" s="1426">
        <v>2017</v>
      </c>
      <c r="B95" s="1426" t="s">
        <v>428</v>
      </c>
      <c r="C95" s="1429">
        <v>884</v>
      </c>
      <c r="D95" s="1430">
        <v>512</v>
      </c>
      <c r="E95" s="1429">
        <v>10235</v>
      </c>
      <c r="F95" s="1429">
        <v>11342</v>
      </c>
    </row>
    <row r="96" spans="1:6">
      <c r="A96" s="1426">
        <v>2017</v>
      </c>
      <c r="B96" s="1426" t="s">
        <v>429</v>
      </c>
      <c r="C96" s="1429">
        <v>932</v>
      </c>
      <c r="D96" s="1430">
        <v>520</v>
      </c>
      <c r="E96" s="1429">
        <v>8247</v>
      </c>
      <c r="F96" s="1429">
        <v>9797</v>
      </c>
    </row>
    <row r="97" spans="1:6">
      <c r="A97" s="1426">
        <v>2017</v>
      </c>
      <c r="B97" s="1426" t="s">
        <v>430</v>
      </c>
      <c r="C97" s="1429">
        <v>908</v>
      </c>
      <c r="D97" s="1430">
        <v>879</v>
      </c>
      <c r="E97" s="1429">
        <v>9233</v>
      </c>
      <c r="F97" s="1429">
        <v>11270</v>
      </c>
    </row>
    <row r="98" spans="1:6">
      <c r="A98" s="1426">
        <v>2017</v>
      </c>
      <c r="B98" s="1426" t="s">
        <v>431</v>
      </c>
      <c r="C98" s="1429">
        <v>594</v>
      </c>
      <c r="D98" s="1430">
        <v>1606</v>
      </c>
      <c r="E98" s="1429">
        <v>10200</v>
      </c>
      <c r="F98" s="1429">
        <v>11935</v>
      </c>
    </row>
    <row r="99" spans="1:6">
      <c r="A99" s="1426">
        <v>2017</v>
      </c>
      <c r="B99" s="1426" t="s">
        <v>432</v>
      </c>
      <c r="C99" s="1429">
        <v>341</v>
      </c>
      <c r="D99" s="1430">
        <v>1099</v>
      </c>
      <c r="E99" s="1429">
        <v>8255</v>
      </c>
      <c r="F99" s="1429">
        <v>12990</v>
      </c>
    </row>
    <row r="100" spans="1:6">
      <c r="A100" s="1426">
        <v>2016</v>
      </c>
      <c r="B100" s="1426" t="s">
        <v>420</v>
      </c>
      <c r="C100" s="1429">
        <v>1529</v>
      </c>
      <c r="D100" s="1430">
        <v>2536</v>
      </c>
      <c r="E100" s="1429">
        <v>9591</v>
      </c>
      <c r="F100" s="1429">
        <v>2827</v>
      </c>
    </row>
    <row r="101" spans="1:6">
      <c r="A101" s="1426">
        <v>2016</v>
      </c>
      <c r="B101" s="1426" t="s">
        <v>423</v>
      </c>
      <c r="C101" s="1429">
        <v>1823</v>
      </c>
      <c r="D101" s="1430">
        <v>1492</v>
      </c>
      <c r="E101" s="1429">
        <v>11644</v>
      </c>
      <c r="F101" s="1429">
        <v>2854</v>
      </c>
    </row>
    <row r="102" spans="1:6">
      <c r="A102" s="1426">
        <v>2016</v>
      </c>
      <c r="B102" s="1426" t="s">
        <v>424</v>
      </c>
      <c r="C102" s="1429">
        <v>1305</v>
      </c>
      <c r="D102" s="1430">
        <v>1837</v>
      </c>
      <c r="E102" s="1429">
        <v>14044</v>
      </c>
      <c r="F102" s="1429">
        <v>10658</v>
      </c>
    </row>
    <row r="103" spans="1:6">
      <c r="A103" s="1426">
        <v>2016</v>
      </c>
      <c r="B103" s="1426" t="s">
        <v>425</v>
      </c>
      <c r="C103" s="1429">
        <v>27879</v>
      </c>
      <c r="D103" s="1430">
        <v>1227</v>
      </c>
      <c r="E103" s="1429">
        <v>10875</v>
      </c>
      <c r="F103" s="1429">
        <v>7288</v>
      </c>
    </row>
    <row r="104" spans="1:6">
      <c r="A104" s="1426">
        <v>2016</v>
      </c>
      <c r="B104" s="1426" t="s">
        <v>411</v>
      </c>
      <c r="C104" s="1429">
        <v>2408</v>
      </c>
      <c r="D104" s="1430">
        <v>466</v>
      </c>
      <c r="E104" s="1429">
        <v>7811</v>
      </c>
      <c r="F104" s="1429">
        <v>6132</v>
      </c>
    </row>
    <row r="105" spans="1:6">
      <c r="A105" s="1426">
        <v>2016</v>
      </c>
      <c r="B105" s="1426" t="s">
        <v>426</v>
      </c>
      <c r="C105" s="1429">
        <v>2691</v>
      </c>
      <c r="D105" s="1430">
        <v>401</v>
      </c>
      <c r="E105" s="1429">
        <v>8954</v>
      </c>
      <c r="F105" s="1429">
        <v>6223</v>
      </c>
    </row>
    <row r="106" spans="1:6">
      <c r="A106" s="1426">
        <v>2016</v>
      </c>
      <c r="B106" s="1426" t="s">
        <v>427</v>
      </c>
      <c r="C106" s="1429">
        <v>7081</v>
      </c>
      <c r="D106" s="1430">
        <v>412</v>
      </c>
      <c r="E106" s="1429">
        <v>7059</v>
      </c>
      <c r="F106" s="1429">
        <v>7361</v>
      </c>
    </row>
    <row r="107" spans="1:6">
      <c r="A107" s="1426">
        <v>2016</v>
      </c>
      <c r="B107" s="1426" t="s">
        <v>428</v>
      </c>
      <c r="C107" s="1429">
        <v>5998</v>
      </c>
      <c r="D107" s="1430">
        <v>431</v>
      </c>
      <c r="E107" s="1429">
        <v>6558</v>
      </c>
      <c r="F107" s="1429">
        <v>8698</v>
      </c>
    </row>
    <row r="108" spans="1:6">
      <c r="A108" s="1426">
        <v>2016</v>
      </c>
      <c r="B108" s="1426" t="s">
        <v>429</v>
      </c>
      <c r="C108" s="1429">
        <v>1639</v>
      </c>
      <c r="D108" s="1430">
        <v>374</v>
      </c>
      <c r="E108" s="1429">
        <v>8221</v>
      </c>
      <c r="F108" s="1429">
        <v>9112</v>
      </c>
    </row>
    <row r="109" spans="1:6">
      <c r="A109" s="1426">
        <v>2016</v>
      </c>
      <c r="B109" s="1426" t="s">
        <v>430</v>
      </c>
      <c r="C109" s="1429">
        <v>1997</v>
      </c>
      <c r="D109" s="1430">
        <v>982</v>
      </c>
      <c r="E109" s="1429">
        <v>6680</v>
      </c>
      <c r="F109" s="1429">
        <v>11249</v>
      </c>
    </row>
    <row r="110" spans="1:6">
      <c r="A110" s="1426">
        <v>2016</v>
      </c>
      <c r="B110" s="1426" t="s">
        <v>431</v>
      </c>
      <c r="C110" s="1429">
        <v>7401</v>
      </c>
      <c r="D110" s="1430">
        <v>1195</v>
      </c>
      <c r="E110" s="1429">
        <v>6473</v>
      </c>
      <c r="F110" s="1429">
        <v>11951</v>
      </c>
    </row>
    <row r="111" spans="1:6">
      <c r="A111" s="1426">
        <v>2016</v>
      </c>
      <c r="B111" s="1426" t="s">
        <v>432</v>
      </c>
      <c r="C111" s="1429">
        <v>2116</v>
      </c>
      <c r="D111" s="1430">
        <v>802</v>
      </c>
      <c r="E111" s="1429">
        <v>9503</v>
      </c>
      <c r="F111" s="1429">
        <v>7420</v>
      </c>
    </row>
    <row r="112" spans="1:6">
      <c r="A112" s="1426">
        <v>2015</v>
      </c>
      <c r="B112" s="1426" t="s">
        <v>420</v>
      </c>
      <c r="C112" s="1429">
        <v>1684</v>
      </c>
      <c r="D112" s="1430">
        <v>901</v>
      </c>
      <c r="E112" s="1429">
        <v>10548</v>
      </c>
      <c r="F112" s="1429">
        <v>10743</v>
      </c>
    </row>
    <row r="113" spans="1:6">
      <c r="A113" s="1426">
        <v>2015</v>
      </c>
      <c r="B113" s="1426" t="s">
        <v>423</v>
      </c>
      <c r="C113" s="1429">
        <v>1491</v>
      </c>
      <c r="D113" s="1430">
        <v>1063</v>
      </c>
      <c r="E113" s="1429">
        <v>8391</v>
      </c>
      <c r="F113" s="1429">
        <v>6726</v>
      </c>
    </row>
    <row r="114" spans="1:6">
      <c r="A114" s="1426">
        <v>2015</v>
      </c>
      <c r="B114" s="1426" t="s">
        <v>424</v>
      </c>
      <c r="C114" s="1429">
        <v>1658</v>
      </c>
      <c r="D114" s="1430">
        <v>1296</v>
      </c>
      <c r="E114" s="1429">
        <v>12533</v>
      </c>
      <c r="F114" s="1429">
        <v>10850</v>
      </c>
    </row>
    <row r="115" spans="1:6">
      <c r="A115" s="1426">
        <v>2015</v>
      </c>
      <c r="B115" s="1426" t="s">
        <v>425</v>
      </c>
      <c r="C115" s="1429">
        <v>599</v>
      </c>
      <c r="D115" s="1430">
        <v>1230</v>
      </c>
      <c r="E115" s="1429">
        <v>8186</v>
      </c>
      <c r="F115" s="1429">
        <v>8697</v>
      </c>
    </row>
    <row r="116" spans="1:6">
      <c r="A116" s="1426">
        <v>2015</v>
      </c>
      <c r="B116" s="1426" t="s">
        <v>411</v>
      </c>
      <c r="C116" s="1429">
        <v>749</v>
      </c>
      <c r="D116" s="1430">
        <v>1142</v>
      </c>
      <c r="E116" s="1429">
        <v>6820</v>
      </c>
      <c r="F116" s="1429">
        <v>6890</v>
      </c>
    </row>
    <row r="117" spans="1:6">
      <c r="A117" s="1426">
        <v>2015</v>
      </c>
      <c r="B117" s="1426" t="s">
        <v>426</v>
      </c>
      <c r="C117" s="1429">
        <v>1240</v>
      </c>
      <c r="D117" s="1430">
        <v>746</v>
      </c>
      <c r="E117" s="1429">
        <v>7992</v>
      </c>
      <c r="F117" s="1429">
        <v>8057</v>
      </c>
    </row>
    <row r="118" spans="1:6">
      <c r="A118" s="1426">
        <v>2015</v>
      </c>
      <c r="B118" s="1426" t="s">
        <v>427</v>
      </c>
      <c r="C118" s="1429">
        <v>3384</v>
      </c>
      <c r="D118" s="1430">
        <v>1014</v>
      </c>
      <c r="E118" s="1429">
        <v>8638</v>
      </c>
      <c r="F118" s="1429">
        <v>6712</v>
      </c>
    </row>
    <row r="119" spans="1:6">
      <c r="A119" s="1426">
        <v>2015</v>
      </c>
      <c r="B119" s="1426" t="s">
        <v>428</v>
      </c>
      <c r="C119" s="1429">
        <v>1112</v>
      </c>
      <c r="D119" s="1430">
        <v>186</v>
      </c>
      <c r="E119" s="1429">
        <v>8547</v>
      </c>
      <c r="F119" s="1429">
        <v>6536</v>
      </c>
    </row>
    <row r="120" spans="1:6">
      <c r="A120" s="1426">
        <v>2015</v>
      </c>
      <c r="B120" s="1426" t="s">
        <v>429</v>
      </c>
      <c r="C120" s="1429">
        <v>2114</v>
      </c>
      <c r="D120" s="1430">
        <v>482</v>
      </c>
      <c r="E120" s="1429">
        <v>11038</v>
      </c>
      <c r="F120" s="1429">
        <v>6392</v>
      </c>
    </row>
    <row r="121" spans="1:6">
      <c r="A121" s="1426">
        <v>2015</v>
      </c>
      <c r="B121" s="1426" t="s">
        <v>430</v>
      </c>
      <c r="C121" s="1429">
        <v>687</v>
      </c>
      <c r="D121" s="1430">
        <v>410</v>
      </c>
      <c r="E121" s="1429">
        <v>11677</v>
      </c>
      <c r="F121" s="1429">
        <v>7291</v>
      </c>
    </row>
    <row r="122" spans="1:6">
      <c r="A122" s="1426">
        <v>2015</v>
      </c>
      <c r="B122" s="1426" t="s">
        <v>431</v>
      </c>
      <c r="C122" s="1429">
        <v>1191</v>
      </c>
      <c r="D122" s="1430">
        <v>1142</v>
      </c>
      <c r="E122" s="1429">
        <v>10264</v>
      </c>
      <c r="F122" s="1429">
        <v>6378</v>
      </c>
    </row>
    <row r="123" spans="1:6">
      <c r="A123" s="1426">
        <v>2015</v>
      </c>
      <c r="B123" s="1426" t="s">
        <v>432</v>
      </c>
      <c r="C123" s="1429">
        <v>1152</v>
      </c>
      <c r="D123" s="1430">
        <v>526</v>
      </c>
      <c r="E123" s="1429">
        <v>12281</v>
      </c>
      <c r="F123" s="1429">
        <v>6465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4:D123 C3:D3" calculatedColumn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tabColor theme="0" tint="-0.499984740745262"/>
  </sheetPr>
  <dimension ref="A1:AP36"/>
  <sheetViews>
    <sheetView zoomScaleNormal="100" zoomScaleSheetLayoutView="100" workbookViewId="0">
      <selection activeCell="D13" sqref="D13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6" customWidth="1"/>
    <col min="11" max="16" width="7.69140625" style="6" customWidth="1"/>
    <col min="17" max="16384" width="11.3828125" style="6"/>
  </cols>
  <sheetData>
    <row r="1" spans="1:42" ht="12.45">
      <c r="I1" s="84"/>
    </row>
    <row r="2" spans="1:42" ht="12.45">
      <c r="A2" s="728" t="s">
        <v>213</v>
      </c>
      <c r="B2" s="63"/>
      <c r="C2" s="40"/>
      <c r="D2" s="41"/>
      <c r="E2" s="41"/>
      <c r="F2" s="41"/>
      <c r="G2" s="41"/>
      <c r="H2" s="41"/>
      <c r="I2" s="42"/>
      <c r="K2" s="43"/>
      <c r="L2" s="41"/>
      <c r="M2" s="41"/>
      <c r="N2" s="529"/>
      <c r="O2" s="41"/>
      <c r="P2" s="535"/>
      <c r="R2" s="64"/>
    </row>
    <row r="3" spans="1:42" ht="10.95" customHeight="1">
      <c r="A3" s="65"/>
      <c r="B3" s="65"/>
      <c r="C3" s="44"/>
      <c r="D3" s="44"/>
      <c r="E3" s="44"/>
      <c r="F3" s="44"/>
      <c r="G3" s="44"/>
      <c r="H3" s="44"/>
      <c r="I3" s="44"/>
      <c r="K3" s="409"/>
      <c r="L3" s="44"/>
      <c r="M3" s="44" t="s">
        <v>40</v>
      </c>
      <c r="N3" s="44"/>
    </row>
    <row r="4" spans="1:42" ht="14.15">
      <c r="A4" s="1526" t="s">
        <v>195</v>
      </c>
      <c r="B4" s="1527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42" ht="10.75" thickBot="1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1"/>
      <c r="L5" s="410"/>
      <c r="M5" s="410"/>
      <c r="N5" s="410"/>
    </row>
    <row r="6" spans="1:42" ht="25" customHeight="1">
      <c r="A6" s="1501" t="s">
        <v>43</v>
      </c>
      <c r="B6" s="1532"/>
      <c r="C6" s="1514" t="s">
        <v>358</v>
      </c>
      <c r="D6" s="1514" t="s">
        <v>115</v>
      </c>
      <c r="E6" s="1514" t="s">
        <v>115</v>
      </c>
      <c r="F6" s="1514" t="s">
        <v>115</v>
      </c>
      <c r="G6" s="1514" t="s">
        <v>115</v>
      </c>
      <c r="H6" s="1515" t="s">
        <v>115</v>
      </c>
      <c r="I6" s="207" t="s">
        <v>0</v>
      </c>
      <c r="J6" s="207" t="s">
        <v>1</v>
      </c>
      <c r="K6" s="1510" t="s">
        <v>216</v>
      </c>
      <c r="L6" s="1530"/>
      <c r="M6" s="1530"/>
      <c r="N6" s="1530"/>
      <c r="O6" s="1530"/>
      <c r="P6" s="1531"/>
    </row>
    <row r="7" spans="1:42" ht="12" customHeight="1">
      <c r="A7" s="1533"/>
      <c r="B7" s="1534"/>
      <c r="C7" s="1528"/>
      <c r="D7" s="1528"/>
      <c r="E7" s="1528"/>
      <c r="F7" s="1528"/>
      <c r="G7" s="1528"/>
      <c r="H7" s="1529"/>
      <c r="I7" s="19" t="s">
        <v>3</v>
      </c>
      <c r="J7" s="19" t="s">
        <v>4</v>
      </c>
      <c r="K7" s="412"/>
      <c r="L7" s="413"/>
      <c r="M7" s="414"/>
      <c r="N7" s="1519" t="s">
        <v>298</v>
      </c>
      <c r="O7" s="1520"/>
      <c r="P7" s="1524"/>
    </row>
    <row r="8" spans="1:42" ht="12" customHeight="1">
      <c r="A8" s="1533"/>
      <c r="B8" s="1534"/>
      <c r="C8" s="599"/>
      <c r="D8" s="19"/>
      <c r="E8" s="19"/>
      <c r="F8" s="1519" t="s">
        <v>296</v>
      </c>
      <c r="G8" s="1520"/>
      <c r="H8" s="1521"/>
      <c r="I8" s="19" t="s">
        <v>8</v>
      </c>
      <c r="J8" s="19" t="s">
        <v>8</v>
      </c>
      <c r="K8" s="15"/>
      <c r="L8" s="415"/>
      <c r="M8" s="19"/>
      <c r="N8" s="1522"/>
      <c r="O8" s="1523"/>
      <c r="P8" s="1525"/>
      <c r="T8" s="63"/>
      <c r="U8" s="40"/>
      <c r="V8" s="41"/>
      <c r="W8" s="41"/>
      <c r="X8" s="41"/>
      <c r="Y8" s="41"/>
      <c r="Z8" s="41"/>
      <c r="AA8" s="41"/>
      <c r="AB8" s="42"/>
      <c r="AC8" s="42"/>
      <c r="AD8" s="43"/>
      <c r="AE8" s="41"/>
      <c r="AF8" s="41"/>
      <c r="AG8" s="41"/>
      <c r="AH8" s="41"/>
      <c r="AI8" s="41"/>
      <c r="AJ8" s="41"/>
      <c r="AK8" s="41"/>
      <c r="AL8" s="41"/>
      <c r="AM8" s="42"/>
      <c r="AN8" s="41"/>
      <c r="AO8" s="41"/>
      <c r="AP8" s="64" t="s">
        <v>110</v>
      </c>
    </row>
    <row r="9" spans="1:42" ht="12" customHeight="1">
      <c r="A9" s="1533"/>
      <c r="B9" s="1534"/>
      <c r="C9" s="600"/>
      <c r="D9" s="208"/>
      <c r="E9" s="208"/>
      <c r="F9" s="1522"/>
      <c r="G9" s="1523"/>
      <c r="H9" s="1506"/>
      <c r="I9" s="19" t="s">
        <v>20</v>
      </c>
      <c r="J9" s="19" t="s">
        <v>20</v>
      </c>
      <c r="K9" s="263"/>
      <c r="L9" s="418"/>
      <c r="M9" s="208"/>
      <c r="N9" s="498"/>
      <c r="O9" s="444"/>
      <c r="P9" s="504"/>
    </row>
    <row r="10" spans="1:42" ht="12" customHeight="1">
      <c r="A10" s="1533"/>
      <c r="B10" s="1534"/>
      <c r="C10" s="599" t="s">
        <v>19</v>
      </c>
      <c r="D10" s="19" t="s">
        <v>17</v>
      </c>
      <c r="E10" s="19" t="s">
        <v>18</v>
      </c>
      <c r="F10" s="420"/>
      <c r="G10" s="421"/>
      <c r="H10" s="421"/>
      <c r="I10" s="19" t="s">
        <v>33</v>
      </c>
      <c r="J10" s="19" t="s">
        <v>33</v>
      </c>
      <c r="K10" s="422" t="s">
        <v>19</v>
      </c>
      <c r="L10" s="15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42" ht="12" customHeight="1">
      <c r="A11" s="1533"/>
      <c r="B11" s="1534"/>
      <c r="C11" s="599" t="s">
        <v>29</v>
      </c>
      <c r="D11" s="19" t="s">
        <v>28</v>
      </c>
      <c r="E11" s="19" t="s">
        <v>28</v>
      </c>
      <c r="F11" s="15" t="s">
        <v>30</v>
      </c>
      <c r="G11" s="424" t="s">
        <v>31</v>
      </c>
      <c r="H11" s="424" t="s">
        <v>32</v>
      </c>
      <c r="I11" s="19" t="s">
        <v>39</v>
      </c>
      <c r="J11" s="19" t="s">
        <v>39</v>
      </c>
      <c r="K11" s="422" t="s">
        <v>29</v>
      </c>
      <c r="L11" s="15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42" ht="11.15" customHeight="1">
      <c r="A12" s="1535"/>
      <c r="B12" s="1536"/>
      <c r="C12" s="600"/>
      <c r="D12" s="425"/>
      <c r="E12" s="425"/>
      <c r="F12" s="427"/>
      <c r="G12" s="427"/>
      <c r="H12" s="427"/>
      <c r="I12" s="208"/>
      <c r="J12" s="425"/>
      <c r="K12" s="263"/>
      <c r="L12" s="418"/>
      <c r="M12" s="208"/>
      <c r="N12" s="417"/>
      <c r="O12" s="427"/>
      <c r="P12" s="518"/>
    </row>
    <row r="13" spans="1:42" ht="15" customHeight="1">
      <c r="A13" s="592" t="s">
        <v>58</v>
      </c>
      <c r="B13" s="595"/>
      <c r="C13" s="1078">
        <v>111</v>
      </c>
      <c r="D13" s="1076">
        <v>111</v>
      </c>
      <c r="E13" s="1077">
        <v>0</v>
      </c>
      <c r="F13" s="1076">
        <v>39</v>
      </c>
      <c r="G13" s="1076">
        <v>45</v>
      </c>
      <c r="H13" s="1077">
        <v>27</v>
      </c>
      <c r="I13" s="1067">
        <v>45</v>
      </c>
      <c r="J13" s="1067">
        <v>9</v>
      </c>
      <c r="K13" s="1080">
        <v>24</v>
      </c>
      <c r="L13" s="1076">
        <v>24</v>
      </c>
      <c r="M13" s="1077">
        <v>0</v>
      </c>
      <c r="N13" s="1080">
        <v>24</v>
      </c>
      <c r="O13" s="1076">
        <v>24</v>
      </c>
      <c r="P13" s="1084">
        <v>0</v>
      </c>
    </row>
    <row r="14" spans="1:42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42" ht="15" customHeight="1">
      <c r="A15" s="592" t="s">
        <v>52</v>
      </c>
      <c r="B15" s="595"/>
      <c r="C15" s="1069">
        <v>204</v>
      </c>
      <c r="D15" s="5">
        <v>201</v>
      </c>
      <c r="E15" s="396">
        <v>3</v>
      </c>
      <c r="F15" s="5">
        <v>51</v>
      </c>
      <c r="G15" s="5">
        <v>78</v>
      </c>
      <c r="H15" s="396">
        <v>78</v>
      </c>
      <c r="I15" s="396">
        <v>78</v>
      </c>
      <c r="J15" s="396">
        <v>18</v>
      </c>
      <c r="K15" s="1081">
        <v>66</v>
      </c>
      <c r="L15" s="5">
        <v>66</v>
      </c>
      <c r="M15" s="396">
        <v>0</v>
      </c>
      <c r="N15" s="1081">
        <v>60</v>
      </c>
      <c r="O15" s="5">
        <v>60</v>
      </c>
      <c r="P15" s="1038">
        <v>0</v>
      </c>
    </row>
    <row r="16" spans="1:42" ht="15" customHeight="1">
      <c r="A16" s="592" t="s">
        <v>48</v>
      </c>
      <c r="B16" s="596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96"/>
      <c r="C17" s="1069">
        <v>108</v>
      </c>
      <c r="D17" s="5">
        <v>108</v>
      </c>
      <c r="E17" s="396">
        <v>0</v>
      </c>
      <c r="F17" s="5">
        <v>42</v>
      </c>
      <c r="G17" s="5">
        <v>33</v>
      </c>
      <c r="H17" s="396">
        <v>33</v>
      </c>
      <c r="I17" s="396">
        <v>48</v>
      </c>
      <c r="J17" s="396">
        <v>6</v>
      </c>
      <c r="K17" s="1081">
        <v>48</v>
      </c>
      <c r="L17" s="5">
        <v>48</v>
      </c>
      <c r="M17" s="396">
        <v>0</v>
      </c>
      <c r="N17" s="1081">
        <v>45</v>
      </c>
      <c r="O17" s="5">
        <v>45</v>
      </c>
      <c r="P17" s="1038">
        <v>0</v>
      </c>
    </row>
    <row r="18" spans="1:16" ht="15" customHeight="1">
      <c r="A18" s="592" t="s">
        <v>50</v>
      </c>
      <c r="B18" s="595"/>
      <c r="C18" s="1069">
        <v>21</v>
      </c>
      <c r="D18" s="5">
        <v>21</v>
      </c>
      <c r="E18" s="396">
        <v>0</v>
      </c>
      <c r="F18" s="5">
        <v>0</v>
      </c>
      <c r="G18" s="5">
        <v>9</v>
      </c>
      <c r="H18" s="396">
        <v>12</v>
      </c>
      <c r="I18" s="396">
        <v>3</v>
      </c>
      <c r="J18" s="396">
        <v>0</v>
      </c>
      <c r="K18" s="1081">
        <v>3</v>
      </c>
      <c r="L18" s="5">
        <v>3</v>
      </c>
      <c r="M18" s="396">
        <v>0</v>
      </c>
      <c r="N18" s="1081">
        <v>3</v>
      </c>
      <c r="O18" s="5">
        <v>3</v>
      </c>
      <c r="P18" s="1038">
        <v>0</v>
      </c>
    </row>
    <row r="19" spans="1:16" ht="15" customHeight="1">
      <c r="A19" s="592" t="s">
        <v>54</v>
      </c>
      <c r="B19" s="595"/>
      <c r="C19" s="1069">
        <v>24</v>
      </c>
      <c r="D19" s="5">
        <v>24</v>
      </c>
      <c r="E19" s="396">
        <v>0</v>
      </c>
      <c r="F19" s="5">
        <v>12</v>
      </c>
      <c r="G19" s="5">
        <v>3</v>
      </c>
      <c r="H19" s="396">
        <v>9</v>
      </c>
      <c r="I19" s="396">
        <v>12</v>
      </c>
      <c r="J19" s="396">
        <v>3</v>
      </c>
      <c r="K19" s="1081">
        <v>6</v>
      </c>
      <c r="L19" s="5">
        <v>6</v>
      </c>
      <c r="M19" s="396">
        <v>0</v>
      </c>
      <c r="N19" s="1081">
        <v>3</v>
      </c>
      <c r="O19" s="5">
        <v>3</v>
      </c>
      <c r="P19" s="1038">
        <v>0</v>
      </c>
    </row>
    <row r="20" spans="1:16" ht="15" customHeight="1">
      <c r="A20" s="592" t="s">
        <v>44</v>
      </c>
      <c r="B20" s="595"/>
      <c r="C20" s="1069">
        <v>9</v>
      </c>
      <c r="D20" s="5">
        <v>9</v>
      </c>
      <c r="E20" s="396">
        <v>0</v>
      </c>
      <c r="F20" s="5">
        <v>0</v>
      </c>
      <c r="G20" s="5">
        <v>3</v>
      </c>
      <c r="H20" s="396">
        <v>6</v>
      </c>
      <c r="I20" s="396">
        <v>3</v>
      </c>
      <c r="J20" s="396">
        <v>0</v>
      </c>
      <c r="K20" s="1081">
        <v>3</v>
      </c>
      <c r="L20" s="5">
        <v>3</v>
      </c>
      <c r="M20" s="396">
        <v>0</v>
      </c>
      <c r="N20" s="1081">
        <v>3</v>
      </c>
      <c r="O20" s="5">
        <v>3</v>
      </c>
      <c r="P20" s="1038">
        <v>0</v>
      </c>
    </row>
    <row r="21" spans="1:16" ht="15" customHeight="1">
      <c r="A21" s="592" t="s">
        <v>45</v>
      </c>
      <c r="B21" s="595"/>
      <c r="C21" s="1069">
        <v>51</v>
      </c>
      <c r="D21" s="5">
        <v>48</v>
      </c>
      <c r="E21" s="396">
        <v>3</v>
      </c>
      <c r="F21" s="5">
        <v>3</v>
      </c>
      <c r="G21" s="5">
        <v>30</v>
      </c>
      <c r="H21" s="396">
        <v>21</v>
      </c>
      <c r="I21" s="396">
        <v>30</v>
      </c>
      <c r="J21" s="396">
        <v>0</v>
      </c>
      <c r="K21" s="1081">
        <v>27</v>
      </c>
      <c r="L21" s="5">
        <v>24</v>
      </c>
      <c r="M21" s="396">
        <v>0</v>
      </c>
      <c r="N21" s="1081">
        <v>24</v>
      </c>
      <c r="O21" s="5">
        <v>24</v>
      </c>
      <c r="P21" s="1038">
        <v>0</v>
      </c>
    </row>
    <row r="22" spans="1:16" ht="15" customHeight="1">
      <c r="A22" s="592" t="s">
        <v>55</v>
      </c>
      <c r="B22" s="597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45</v>
      </c>
      <c r="D24" s="5">
        <v>45</v>
      </c>
      <c r="E24" s="396">
        <v>0</v>
      </c>
      <c r="F24" s="5">
        <v>9</v>
      </c>
      <c r="G24" s="5">
        <v>21</v>
      </c>
      <c r="H24" s="396">
        <v>15</v>
      </c>
      <c r="I24" s="258">
        <v>12</v>
      </c>
      <c r="J24" s="258">
        <v>6</v>
      </c>
      <c r="K24" s="1081">
        <v>6</v>
      </c>
      <c r="L24" s="5">
        <v>6</v>
      </c>
      <c r="M24" s="396">
        <v>0</v>
      </c>
      <c r="N24" s="1081">
        <v>6</v>
      </c>
      <c r="O24" s="5">
        <v>6</v>
      </c>
      <c r="P24" s="1038">
        <v>0</v>
      </c>
    </row>
    <row r="25" spans="1:16" ht="15" customHeight="1">
      <c r="A25" s="592" t="s">
        <v>51</v>
      </c>
      <c r="B25" s="595"/>
      <c r="C25" s="1069">
        <v>42</v>
      </c>
      <c r="D25" s="5">
        <v>42</v>
      </c>
      <c r="E25" s="396">
        <v>0</v>
      </c>
      <c r="F25" s="5">
        <v>15</v>
      </c>
      <c r="G25" s="5">
        <v>12</v>
      </c>
      <c r="H25" s="396">
        <v>15</v>
      </c>
      <c r="I25" s="396">
        <v>21</v>
      </c>
      <c r="J25" s="396">
        <v>6</v>
      </c>
      <c r="K25" s="1081">
        <v>9</v>
      </c>
      <c r="L25" s="5">
        <v>9</v>
      </c>
      <c r="M25" s="396">
        <v>0</v>
      </c>
      <c r="N25" s="1081">
        <v>9</v>
      </c>
      <c r="O25" s="5">
        <v>9</v>
      </c>
      <c r="P25" s="1038">
        <v>0</v>
      </c>
    </row>
    <row r="26" spans="1:16" ht="15" customHeight="1">
      <c r="A26" s="592" t="s">
        <v>56</v>
      </c>
      <c r="B26" s="595"/>
      <c r="C26" s="1069">
        <v>30</v>
      </c>
      <c r="D26" s="5">
        <v>30</v>
      </c>
      <c r="E26" s="396">
        <v>0</v>
      </c>
      <c r="F26" s="5">
        <v>9</v>
      </c>
      <c r="G26" s="5">
        <v>15</v>
      </c>
      <c r="H26" s="396">
        <v>9</v>
      </c>
      <c r="I26" s="396">
        <v>12</v>
      </c>
      <c r="J26" s="396">
        <v>3</v>
      </c>
      <c r="K26" s="1081">
        <v>3</v>
      </c>
      <c r="L26" s="5">
        <v>3</v>
      </c>
      <c r="M26" s="396">
        <v>0</v>
      </c>
      <c r="N26" s="1081">
        <v>3</v>
      </c>
      <c r="O26" s="5">
        <v>3</v>
      </c>
      <c r="P26" s="1038">
        <v>0</v>
      </c>
    </row>
    <row r="27" spans="1:16" s="70" customFormat="1" ht="15" customHeight="1">
      <c r="A27" s="592" t="s">
        <v>57</v>
      </c>
      <c r="B27" s="597"/>
      <c r="C27" s="1069">
        <v>48</v>
      </c>
      <c r="D27" s="5">
        <v>45</v>
      </c>
      <c r="E27" s="396">
        <v>0</v>
      </c>
      <c r="F27" s="5">
        <v>18</v>
      </c>
      <c r="G27" s="5">
        <v>21</v>
      </c>
      <c r="H27" s="396">
        <v>9</v>
      </c>
      <c r="I27" s="396">
        <v>18</v>
      </c>
      <c r="J27" s="396">
        <v>6</v>
      </c>
      <c r="K27" s="1081">
        <v>6</v>
      </c>
      <c r="L27" s="5">
        <v>6</v>
      </c>
      <c r="M27" s="396">
        <v>0</v>
      </c>
      <c r="N27" s="1081">
        <v>6</v>
      </c>
      <c r="O27" s="5">
        <v>6</v>
      </c>
      <c r="P27" s="1038">
        <v>0</v>
      </c>
    </row>
    <row r="28" spans="1:16" s="7" customFormat="1" ht="15" customHeight="1">
      <c r="A28" s="592" t="s">
        <v>59</v>
      </c>
      <c r="B28" s="597"/>
      <c r="C28" s="1069">
        <v>12</v>
      </c>
      <c r="D28" s="5">
        <v>12</v>
      </c>
      <c r="E28" s="396">
        <v>0</v>
      </c>
      <c r="F28" s="5">
        <v>6</v>
      </c>
      <c r="G28" s="5">
        <v>3</v>
      </c>
      <c r="H28" s="396">
        <v>6</v>
      </c>
      <c r="I28" s="1037">
        <v>6</v>
      </c>
      <c r="J28" s="1037">
        <v>0</v>
      </c>
      <c r="K28" s="1081">
        <v>3</v>
      </c>
      <c r="L28" s="5">
        <v>3</v>
      </c>
      <c r="M28" s="396">
        <v>0</v>
      </c>
      <c r="N28" s="1081">
        <v>3</v>
      </c>
      <c r="O28" s="5">
        <v>3</v>
      </c>
      <c r="P28" s="1038">
        <v>0</v>
      </c>
    </row>
    <row r="29" spans="1:16" s="7" customFormat="1" ht="4.5" customHeight="1">
      <c r="A29" s="329"/>
      <c r="B29" s="596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70" customFormat="1" ht="21" customHeight="1" thickBot="1">
      <c r="A30" s="593" t="s">
        <v>60</v>
      </c>
      <c r="B30" s="598"/>
      <c r="C30" s="1068">
        <v>705</v>
      </c>
      <c r="D30" s="580">
        <v>696</v>
      </c>
      <c r="E30" s="1065">
        <v>12</v>
      </c>
      <c r="F30" s="580">
        <v>201</v>
      </c>
      <c r="G30" s="580">
        <v>267</v>
      </c>
      <c r="H30" s="1065">
        <v>237</v>
      </c>
      <c r="I30" s="1066">
        <v>291</v>
      </c>
      <c r="J30" s="1066">
        <v>60</v>
      </c>
      <c r="K30" s="580">
        <v>207</v>
      </c>
      <c r="L30" s="580">
        <v>207</v>
      </c>
      <c r="M30" s="1065">
        <v>0</v>
      </c>
      <c r="N30" s="580">
        <v>192</v>
      </c>
      <c r="O30" s="580">
        <v>192</v>
      </c>
      <c r="P30" s="1039">
        <v>0</v>
      </c>
    </row>
    <row r="31" spans="1:16" s="334" customFormat="1" ht="3.65" customHeight="1"/>
    <row r="32" spans="1:16" s="82" customFormat="1" ht="10.95" customHeight="1">
      <c r="A32" s="70" t="s">
        <v>297</v>
      </c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5" spans="1:16" ht="10.75" thickBot="1">
      <c r="A35" s="593" t="s">
        <v>60</v>
      </c>
      <c r="B35" s="598"/>
      <c r="C35" s="1068">
        <v>705</v>
      </c>
      <c r="D35" s="580">
        <v>696</v>
      </c>
      <c r="E35" s="1065">
        <v>6</v>
      </c>
      <c r="F35" s="580">
        <v>204</v>
      </c>
      <c r="G35" s="580">
        <v>273</v>
      </c>
      <c r="H35" s="1065">
        <v>240</v>
      </c>
      <c r="I35" s="580">
        <v>288</v>
      </c>
      <c r="J35" s="1066">
        <v>57</v>
      </c>
      <c r="K35" s="1068">
        <v>204</v>
      </c>
      <c r="L35" s="580">
        <v>201</v>
      </c>
      <c r="M35" s="1065">
        <v>0</v>
      </c>
      <c r="N35" s="1068">
        <v>189</v>
      </c>
      <c r="O35" s="580">
        <v>189</v>
      </c>
      <c r="P35" s="1039">
        <v>0</v>
      </c>
    </row>
    <row r="36" spans="1:16" ht="10.75" thickBot="1">
      <c r="A36" s="593" t="s">
        <v>384</v>
      </c>
      <c r="B36" s="598"/>
      <c r="C36" s="1303">
        <f>C30-C35</f>
        <v>0</v>
      </c>
      <c r="D36" s="1304">
        <f t="shared" ref="D36:P36" si="0">D30-D35</f>
        <v>0</v>
      </c>
      <c r="E36" s="1294">
        <f t="shared" si="0"/>
        <v>6</v>
      </c>
      <c r="F36" s="1295">
        <f t="shared" si="0"/>
        <v>-3</v>
      </c>
      <c r="G36" s="1295">
        <f t="shared" si="0"/>
        <v>-6</v>
      </c>
      <c r="H36" s="1296">
        <f t="shared" si="0"/>
        <v>-3</v>
      </c>
      <c r="I36" s="1293">
        <f t="shared" si="0"/>
        <v>3</v>
      </c>
      <c r="J36" s="1334">
        <f t="shared" si="0"/>
        <v>3</v>
      </c>
      <c r="K36" s="1292">
        <f t="shared" si="0"/>
        <v>3</v>
      </c>
      <c r="L36" s="1293">
        <f t="shared" si="0"/>
        <v>6</v>
      </c>
      <c r="M36" s="1302">
        <f t="shared" si="0"/>
        <v>0</v>
      </c>
      <c r="N36" s="1292">
        <f t="shared" si="0"/>
        <v>3</v>
      </c>
      <c r="O36" s="1293">
        <f t="shared" si="0"/>
        <v>3</v>
      </c>
      <c r="P36" s="1342">
        <f t="shared" si="0"/>
        <v>0</v>
      </c>
    </row>
  </sheetData>
  <mergeCells count="6">
    <mergeCell ref="A4:P4"/>
    <mergeCell ref="C6:H7"/>
    <mergeCell ref="K6:P6"/>
    <mergeCell ref="A6:B12"/>
    <mergeCell ref="F8:H9"/>
    <mergeCell ref="N7:P8"/>
  </mergeCells>
  <printOptions horizontalCentered="1"/>
  <pageMargins left="0.39370078740157483" right="0.19685039370078741" top="0.98425196850393704" bottom="0.43307086614173229" header="0.51181102362204722" footer="0.23622047244094491"/>
  <pageSetup paperSize="9" orientation="landscape" r:id="rId1"/>
  <headerFooter alignWithMargins="0">
    <oddHeader>&amp;C&amp;"Arial,Standard"&amp;8- 2 - &amp;R&amp;8&amp;D</oddHeader>
    <oddFooter>&amp;R
&amp;12...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tabColor rgb="FF92D050"/>
  </sheetPr>
  <dimension ref="A1:F125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14" width="14.69140625" customWidth="1"/>
  </cols>
  <sheetData>
    <row r="1" spans="1:6" ht="18">
      <c r="A1" s="1404" t="s">
        <v>434</v>
      </c>
      <c r="B1" s="1403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7">
        <v>470.07299270072991</v>
      </c>
      <c r="D4" s="1428">
        <v>406.63029794376837</v>
      </c>
      <c r="E4" s="1428">
        <v>403.3926354985519</v>
      </c>
      <c r="F4" s="1427">
        <v>553.3419023136247</v>
      </c>
    </row>
    <row r="5" spans="1:6">
      <c r="A5" s="1426">
        <v>2024</v>
      </c>
      <c r="B5" s="1426" t="s">
        <v>423</v>
      </c>
      <c r="C5" s="1427">
        <v>496.42160052049445</v>
      </c>
      <c r="D5" s="1428">
        <v>459.08922621251401</v>
      </c>
      <c r="E5" s="1428">
        <v>356.39023180860295</v>
      </c>
      <c r="F5" s="1427">
        <v>578.53679106051027</v>
      </c>
    </row>
    <row r="6" spans="1:6">
      <c r="A6" s="1426">
        <v>2024</v>
      </c>
      <c r="B6" s="1426" t="s">
        <v>424</v>
      </c>
      <c r="C6" s="1427">
        <v>475.03467406380025</v>
      </c>
      <c r="D6" s="1428">
        <v>478.086047446723</v>
      </c>
      <c r="E6" s="1428">
        <v>337.04453441295544</v>
      </c>
      <c r="F6" s="1427">
        <v>512.42236024844715</v>
      </c>
    </row>
    <row r="7" spans="1:6">
      <c r="A7" s="1426">
        <v>2024</v>
      </c>
      <c r="B7" s="1426" t="s">
        <v>425</v>
      </c>
      <c r="C7" s="1427">
        <v>415.08478866109846</v>
      </c>
      <c r="D7" s="1428">
        <v>452.72206303724897</v>
      </c>
      <c r="E7" s="1428">
        <v>403.03302917362805</v>
      </c>
      <c r="F7" s="1427">
        <v>620.61155152887886</v>
      </c>
    </row>
    <row r="8" spans="1:6">
      <c r="A8" s="1426">
        <v>2024</v>
      </c>
      <c r="B8" s="1426" t="s">
        <v>411</v>
      </c>
      <c r="C8" s="1427">
        <v>340.19886363636363</v>
      </c>
      <c r="D8" s="1428">
        <v>327.86287381473375</v>
      </c>
      <c r="E8" s="1428">
        <v>373.16995544239336</v>
      </c>
      <c r="F8" s="1427">
        <v>840</v>
      </c>
    </row>
    <row r="9" spans="1:6">
      <c r="A9" s="1426">
        <v>2024</v>
      </c>
      <c r="B9" s="1426" t="s">
        <v>426</v>
      </c>
      <c r="C9" s="1427">
        <v>571.80851063829789</v>
      </c>
      <c r="D9" s="1428">
        <v>340.62140391254314</v>
      </c>
      <c r="E9" s="1428">
        <v>345.21575984990619</v>
      </c>
      <c r="F9" s="1427">
        <v>890.58913542463654</v>
      </c>
    </row>
    <row r="10" spans="1:6">
      <c r="A10" s="1426">
        <v>2024</v>
      </c>
      <c r="B10" s="1426" t="s">
        <v>427</v>
      </c>
      <c r="C10" s="1427">
        <v>474.9552772808587</v>
      </c>
      <c r="D10" s="1428">
        <v>332.95795795795794</v>
      </c>
      <c r="E10" s="1428">
        <v>364.78831246273108</v>
      </c>
      <c r="F10" s="1427">
        <v>854.65116279069764</v>
      </c>
    </row>
    <row r="11" spans="1:6">
      <c r="A11" s="1426">
        <v>2024</v>
      </c>
      <c r="B11" s="1426" t="s">
        <v>428</v>
      </c>
      <c r="C11" s="1427">
        <v>423.72881355932202</v>
      </c>
      <c r="D11" s="1428">
        <v>404.76190476190476</v>
      </c>
      <c r="E11" s="1428">
        <v>429.55124436605917</v>
      </c>
      <c r="F11" s="1427">
        <v>791.98767334360559</v>
      </c>
    </row>
    <row r="12" spans="1:6">
      <c r="A12" s="1426">
        <v>2024</v>
      </c>
      <c r="B12" s="1426" t="s">
        <v>429</v>
      </c>
      <c r="C12" s="1427">
        <v>422.1105527638191</v>
      </c>
      <c r="D12" s="1428">
        <v>351.83737294761534</v>
      </c>
      <c r="E12" s="1428">
        <v>516.15253825601167</v>
      </c>
      <c r="F12" s="1427">
        <v>684.93150684931504</v>
      </c>
    </row>
    <row r="13" spans="1:6">
      <c r="A13" s="1426">
        <v>2024</v>
      </c>
      <c r="B13" s="1426" t="s">
        <v>430</v>
      </c>
      <c r="C13" s="1427">
        <v>357.69561478933792</v>
      </c>
      <c r="D13" s="1428">
        <v>338.94622487778383</v>
      </c>
      <c r="E13" s="1428">
        <v>423.56506914188293</v>
      </c>
      <c r="F13" s="1427">
        <v>665.50319953461315</v>
      </c>
    </row>
    <row r="14" spans="1:6">
      <c r="A14" s="1426">
        <v>2024</v>
      </c>
      <c r="B14" s="1426" t="s">
        <v>431</v>
      </c>
      <c r="C14" s="1427">
        <v>399.16716240333136</v>
      </c>
      <c r="D14" s="1428">
        <v>338.65814696485626</v>
      </c>
      <c r="E14" s="1428">
        <v>427.08481824661442</v>
      </c>
      <c r="F14" s="1427">
        <v>519.20122887864818</v>
      </c>
    </row>
    <row r="15" spans="1:6">
      <c r="A15" s="1426">
        <v>2024</v>
      </c>
      <c r="B15" s="1426" t="s">
        <v>432</v>
      </c>
      <c r="C15" s="1427">
        <v>434.41396508728178</v>
      </c>
      <c r="D15" s="1428">
        <v>313.71814092953525</v>
      </c>
      <c r="E15" s="1428">
        <v>385.46056592414209</v>
      </c>
      <c r="F15" s="1427">
        <v>725.66371681415933</v>
      </c>
    </row>
    <row r="16" spans="1:6">
      <c r="A16" s="1426">
        <v>2023</v>
      </c>
      <c r="B16" s="1426" t="s">
        <v>420</v>
      </c>
      <c r="C16" s="1427">
        <v>613.97058823529414</v>
      </c>
      <c r="D16" s="1428">
        <v>515.80104424292392</v>
      </c>
      <c r="E16" s="1428">
        <v>322.35117933358293</v>
      </c>
      <c r="F16" s="1427">
        <v>852.33285233285233</v>
      </c>
    </row>
    <row r="17" spans="1:6">
      <c r="A17" s="1426">
        <v>2023</v>
      </c>
      <c r="B17" s="1426" t="s">
        <v>423</v>
      </c>
      <c r="C17" s="1427">
        <v>509.97008973080756</v>
      </c>
      <c r="D17" s="1428">
        <v>518.72805306281703</v>
      </c>
      <c r="E17" s="1428">
        <v>322.9580573951435</v>
      </c>
      <c r="F17" s="1427">
        <v>700.50014710208882</v>
      </c>
    </row>
    <row r="18" spans="1:6">
      <c r="A18" s="1426">
        <v>2023</v>
      </c>
      <c r="B18" s="1426" t="s">
        <v>424</v>
      </c>
      <c r="C18" s="1427">
        <v>558.52417302798983</v>
      </c>
      <c r="D18" s="1428">
        <v>448.7882540244118</v>
      </c>
      <c r="E18" s="1428">
        <v>315.12088512498292</v>
      </c>
      <c r="F18" s="1427">
        <v>711.44708423326131</v>
      </c>
    </row>
    <row r="19" spans="1:6">
      <c r="A19" s="1426">
        <v>2023</v>
      </c>
      <c r="B19" s="1426" t="s">
        <v>425</v>
      </c>
      <c r="C19" s="1427">
        <v>422.45989304812832</v>
      </c>
      <c r="D19" s="1428">
        <v>439.54072479368494</v>
      </c>
      <c r="E19" s="1428">
        <v>315.21481129836224</v>
      </c>
      <c r="F19" s="1427">
        <v>813.25033348154739</v>
      </c>
    </row>
    <row r="20" spans="1:6">
      <c r="A20" s="1426">
        <v>2023</v>
      </c>
      <c r="B20" s="1426" t="s">
        <v>411</v>
      </c>
      <c r="C20" s="1427">
        <v>628.33099579242639</v>
      </c>
      <c r="D20" s="1428">
        <v>411.45139813581892</v>
      </c>
      <c r="E20" s="1428">
        <v>353.13877808104138</v>
      </c>
      <c r="F20" s="1427">
        <v>806.0637741766858</v>
      </c>
    </row>
    <row r="21" spans="1:6">
      <c r="A21" s="1426">
        <v>2023</v>
      </c>
      <c r="B21" s="1426" t="s">
        <v>426</v>
      </c>
      <c r="C21" s="1427">
        <v>542.30459307010472</v>
      </c>
      <c r="D21" s="1428">
        <v>429.42295497780594</v>
      </c>
      <c r="E21" s="1428">
        <v>314.82233502538071</v>
      </c>
      <c r="F21" s="1427">
        <v>762.35854675402027</v>
      </c>
    </row>
    <row r="22" spans="1:6">
      <c r="A22" s="1426">
        <v>2023</v>
      </c>
      <c r="B22" s="1426" t="s">
        <v>427</v>
      </c>
      <c r="C22" s="1427">
        <v>659.49119373776909</v>
      </c>
      <c r="D22" s="1428">
        <v>352.66955266955267</v>
      </c>
      <c r="E22" s="1428">
        <v>357.00074608306392</v>
      </c>
      <c r="F22" s="1427">
        <v>742.12034383954153</v>
      </c>
    </row>
    <row r="23" spans="1:6">
      <c r="A23" s="1426">
        <v>2023</v>
      </c>
      <c r="B23" s="1426" t="s">
        <v>428</v>
      </c>
      <c r="C23" s="1427">
        <v>840.49079754601223</v>
      </c>
      <c r="D23" s="1428">
        <v>330.00516440006885</v>
      </c>
      <c r="E23" s="1428">
        <v>390.00889415950195</v>
      </c>
      <c r="F23" s="1427">
        <v>681.28654970760238</v>
      </c>
    </row>
    <row r="24" spans="1:6">
      <c r="A24" s="1426">
        <v>2023</v>
      </c>
      <c r="B24" s="1426" t="s">
        <v>429</v>
      </c>
      <c r="C24" s="1427">
        <v>491.44254278728607</v>
      </c>
      <c r="D24" s="1428">
        <v>377.111586961694</v>
      </c>
      <c r="E24" s="1428">
        <v>406.29596940276554</v>
      </c>
      <c r="F24" s="1427">
        <v>692.66862170087973</v>
      </c>
    </row>
    <row r="25" spans="1:6">
      <c r="A25" s="1426">
        <v>2023</v>
      </c>
      <c r="B25" s="1426" t="s">
        <v>430</v>
      </c>
      <c r="C25" s="1427">
        <v>607.14285714285711</v>
      </c>
      <c r="D25" s="1428">
        <v>396.75016926201761</v>
      </c>
      <c r="E25" s="1428">
        <v>362.85013553633667</v>
      </c>
      <c r="F25" s="1427">
        <v>647.67490573942189</v>
      </c>
    </row>
    <row r="26" spans="1:6">
      <c r="A26" s="1426">
        <v>2023</v>
      </c>
      <c r="B26" s="1426" t="s">
        <v>431</v>
      </c>
      <c r="C26" s="1427">
        <v>589.98935037273691</v>
      </c>
      <c r="D26" s="1428">
        <v>364.22413793103448</v>
      </c>
      <c r="E26" s="1428">
        <v>386.93024427096447</v>
      </c>
      <c r="F26" s="1427">
        <v>596.32819582955574</v>
      </c>
    </row>
    <row r="27" spans="1:6">
      <c r="A27" s="1426">
        <v>2023</v>
      </c>
      <c r="B27" s="1426" t="s">
        <v>432</v>
      </c>
      <c r="C27" s="1427">
        <v>554.52127659574467</v>
      </c>
      <c r="D27" s="1428">
        <v>358.20895522388059</v>
      </c>
      <c r="E27" s="1428">
        <v>371.36706135629709</v>
      </c>
      <c r="F27" s="1427">
        <v>660.87231352718084</v>
      </c>
    </row>
    <row r="28" spans="1:6">
      <c r="A28" s="1426">
        <v>2022</v>
      </c>
      <c r="B28" s="1426" t="s">
        <v>420</v>
      </c>
      <c r="C28" s="1427">
        <v>583.86075949367091</v>
      </c>
      <c r="D28" s="1428">
        <v>428.04095870372453</v>
      </c>
      <c r="E28" s="1428">
        <v>347.5120385232745</v>
      </c>
      <c r="F28" s="1427">
        <v>608.203125</v>
      </c>
    </row>
    <row r="29" spans="1:6">
      <c r="A29" s="1426">
        <v>2022</v>
      </c>
      <c r="B29" s="1426" t="s">
        <v>423</v>
      </c>
      <c r="C29" s="1427">
        <v>438.80837359098228</v>
      </c>
      <c r="D29" s="1428">
        <v>477.0378874856487</v>
      </c>
      <c r="E29" s="1428">
        <v>327.72551189817375</v>
      </c>
      <c r="F29" s="1427">
        <v>644.14923685698136</v>
      </c>
    </row>
    <row r="30" spans="1:6">
      <c r="A30" s="1426">
        <v>2022</v>
      </c>
      <c r="B30" s="1426" t="s">
        <v>424</v>
      </c>
      <c r="C30" s="1427">
        <v>453.44619105199519</v>
      </c>
      <c r="D30" s="1428">
        <v>419.18703121219454</v>
      </c>
      <c r="E30" s="1428">
        <v>324.99252317814774</v>
      </c>
      <c r="F30" s="1427">
        <v>669.70934422291612</v>
      </c>
    </row>
    <row r="31" spans="1:6">
      <c r="A31" s="1426">
        <v>2022</v>
      </c>
      <c r="B31" s="1426" t="s">
        <v>425</v>
      </c>
      <c r="C31" s="1427">
        <v>527.43022136669879</v>
      </c>
      <c r="D31" s="1428">
        <v>364.29872495446267</v>
      </c>
      <c r="E31" s="1428">
        <v>316.31427198462279</v>
      </c>
      <c r="F31" s="1427">
        <v>660.13712047012734</v>
      </c>
    </row>
    <row r="32" spans="1:6">
      <c r="A32" s="1426">
        <v>2022</v>
      </c>
      <c r="B32" s="1426" t="s">
        <v>411</v>
      </c>
      <c r="C32" s="1427">
        <v>600.38610038610034</v>
      </c>
      <c r="D32" s="1428">
        <v>362.14285714285717</v>
      </c>
      <c r="E32" s="1428">
        <v>363.0462317922736</v>
      </c>
      <c r="F32" s="1427">
        <v>726.06896551724139</v>
      </c>
    </row>
    <row r="33" spans="1:6">
      <c r="A33" s="1426">
        <v>2022</v>
      </c>
      <c r="B33" s="1426" t="s">
        <v>426</v>
      </c>
      <c r="C33" s="1427">
        <v>754.33526011560696</v>
      </c>
      <c r="D33" s="1428">
        <v>456.26417948071588</v>
      </c>
      <c r="E33" s="1428">
        <v>338.9127764127764</v>
      </c>
      <c r="F33" s="1427">
        <v>775.96596951435663</v>
      </c>
    </row>
    <row r="34" spans="1:6">
      <c r="A34" s="1426">
        <v>2022</v>
      </c>
      <c r="B34" s="1426" t="s">
        <v>427</v>
      </c>
      <c r="C34" s="1427">
        <v>607.5334143377886</v>
      </c>
      <c r="D34" s="1428">
        <v>375.26959022286127</v>
      </c>
      <c r="E34" s="1428">
        <v>322.0509383378016</v>
      </c>
      <c r="F34" s="1427">
        <v>914.89574979951885</v>
      </c>
    </row>
    <row r="35" spans="1:6">
      <c r="A35" s="1426">
        <v>2022</v>
      </c>
      <c r="B35" s="1426" t="s">
        <v>428</v>
      </c>
      <c r="C35" s="1427">
        <v>534.67908902691511</v>
      </c>
      <c r="D35" s="1428">
        <v>467.25896676538338</v>
      </c>
      <c r="E35" s="1428">
        <v>297.60940032414914</v>
      </c>
      <c r="F35" s="1427">
        <v>852.37388724035611</v>
      </c>
    </row>
    <row r="36" spans="1:6">
      <c r="A36" s="1426">
        <v>2022</v>
      </c>
      <c r="B36" s="1426" t="s">
        <v>429</v>
      </c>
      <c r="C36" s="1427">
        <v>578.00687285223364</v>
      </c>
      <c r="D36" s="1428">
        <v>497.03721260962311</v>
      </c>
      <c r="E36" s="1428">
        <v>310.01331164028988</v>
      </c>
      <c r="F36" s="1427">
        <v>843.46642468239565</v>
      </c>
    </row>
    <row r="37" spans="1:6">
      <c r="A37" s="1426">
        <v>2022</v>
      </c>
      <c r="B37" s="1426" t="s">
        <v>430</v>
      </c>
      <c r="C37" s="1427">
        <v>552.40793201133147</v>
      </c>
      <c r="D37" s="1428">
        <v>478.51162790697674</v>
      </c>
      <c r="E37" s="1428">
        <v>337.75229016161467</v>
      </c>
      <c r="F37" s="1427">
        <v>804.8780487804878</v>
      </c>
    </row>
    <row r="38" spans="1:6">
      <c r="A38" s="1426">
        <v>2022</v>
      </c>
      <c r="B38" s="1426" t="s">
        <v>431</v>
      </c>
      <c r="C38" s="1427">
        <v>595.50561797752812</v>
      </c>
      <c r="D38" s="1428">
        <v>449.94110718492345</v>
      </c>
      <c r="E38" s="1428">
        <v>350.75705698851101</v>
      </c>
      <c r="F38" s="1427">
        <v>841.7508417508418</v>
      </c>
    </row>
    <row r="39" spans="1:6">
      <c r="A39" s="1426">
        <v>2022</v>
      </c>
      <c r="B39" s="1426" t="s">
        <v>432</v>
      </c>
      <c r="C39" s="1427">
        <v>643.98541919805587</v>
      </c>
      <c r="D39" s="1428">
        <v>473.47527968242514</v>
      </c>
      <c r="E39" s="1428">
        <v>364.230640295005</v>
      </c>
      <c r="F39" s="1427">
        <v>708.39289360833163</v>
      </c>
    </row>
    <row r="40" spans="1:6">
      <c r="A40" s="1426">
        <v>2021</v>
      </c>
      <c r="B40" s="1426" t="s">
        <v>420</v>
      </c>
      <c r="C40" s="1427">
        <v>415.84158415841586</v>
      </c>
      <c r="D40" s="1428">
        <v>314.78968792401628</v>
      </c>
      <c r="E40" s="1428">
        <v>353.72100030129559</v>
      </c>
      <c r="F40" s="1427">
        <v>520.32520325203257</v>
      </c>
    </row>
    <row r="41" spans="1:6">
      <c r="A41" s="1426">
        <v>2021</v>
      </c>
      <c r="B41" s="1426" t="s">
        <v>423</v>
      </c>
      <c r="C41" s="1427">
        <v>467.24890829694323</v>
      </c>
      <c r="D41" s="1428">
        <v>323.46284420973217</v>
      </c>
      <c r="E41" s="1428">
        <v>334.02762552071914</v>
      </c>
      <c r="F41" s="1427">
        <v>546.80438992898644</v>
      </c>
    </row>
    <row r="42" spans="1:6">
      <c r="A42" s="1426">
        <v>2021</v>
      </c>
      <c r="B42" s="1426" t="s">
        <v>424</v>
      </c>
      <c r="C42" s="1427">
        <v>498.43260188087777</v>
      </c>
      <c r="D42" s="1428">
        <v>383.51192533702039</v>
      </c>
      <c r="E42" s="1428">
        <v>360.17100106875665</v>
      </c>
      <c r="F42" s="1427">
        <v>513.08411214953276</v>
      </c>
    </row>
    <row r="43" spans="1:6">
      <c r="A43" s="1426">
        <v>2021</v>
      </c>
      <c r="B43" s="1426" t="s">
        <v>425</v>
      </c>
      <c r="C43" s="1427">
        <v>306.63954133530609</v>
      </c>
      <c r="D43" s="1428">
        <v>309.45912571005186</v>
      </c>
      <c r="E43" s="1428">
        <v>337.46843780876054</v>
      </c>
      <c r="F43" s="1427">
        <v>497.96195652173913</v>
      </c>
    </row>
    <row r="44" spans="1:6">
      <c r="A44" s="1426">
        <v>2021</v>
      </c>
      <c r="B44" s="1426" t="s">
        <v>411</v>
      </c>
      <c r="C44" s="1427">
        <v>321.95012356773759</v>
      </c>
      <c r="D44" s="1428">
        <v>299.38811188811189</v>
      </c>
      <c r="E44" s="1428">
        <v>350.99424385138673</v>
      </c>
      <c r="F44" s="1427">
        <v>513.06345104794718</v>
      </c>
    </row>
    <row r="45" spans="1:6">
      <c r="A45" s="1426">
        <v>2021</v>
      </c>
      <c r="B45" s="1426" t="s">
        <v>426</v>
      </c>
      <c r="C45" s="1427">
        <v>349.01781635449976</v>
      </c>
      <c r="D45" s="1428">
        <v>279.37431793379409</v>
      </c>
      <c r="E45" s="1428">
        <v>341.11895708853882</v>
      </c>
      <c r="F45" s="1427">
        <v>513.90058972198824</v>
      </c>
    </row>
    <row r="46" spans="1:6">
      <c r="A46" s="1426">
        <v>2021</v>
      </c>
      <c r="B46" s="1426" t="s">
        <v>427</v>
      </c>
      <c r="C46" s="1427">
        <v>351.37931034482756</v>
      </c>
      <c r="D46" s="1428">
        <v>285.5688470348689</v>
      </c>
      <c r="E46" s="1428">
        <v>365.26832955404382</v>
      </c>
      <c r="F46" s="1427">
        <v>625.74765024209626</v>
      </c>
    </row>
    <row r="47" spans="1:6">
      <c r="A47" s="1426">
        <v>2021</v>
      </c>
      <c r="B47" s="1426" t="s">
        <v>428</v>
      </c>
      <c r="C47" s="1427">
        <v>303.20821975256865</v>
      </c>
      <c r="D47" s="1428">
        <v>293.20276497695852</v>
      </c>
      <c r="E47" s="1428">
        <v>311.52552736166308</v>
      </c>
      <c r="F47" s="1427">
        <v>631.02725366876314</v>
      </c>
    </row>
    <row r="48" spans="1:6">
      <c r="A48" s="1426">
        <v>2021</v>
      </c>
      <c r="B48" s="1426" t="s">
        <v>429</v>
      </c>
      <c r="C48" s="1427">
        <v>326.3654753877276</v>
      </c>
      <c r="D48" s="1428">
        <v>339.44954128440367</v>
      </c>
      <c r="E48" s="1428">
        <v>347.6099985382254</v>
      </c>
      <c r="F48" s="1427">
        <v>537.62376237623766</v>
      </c>
    </row>
    <row r="49" spans="1:6">
      <c r="A49" s="1426">
        <v>2021</v>
      </c>
      <c r="B49" s="1426" t="s">
        <v>430</v>
      </c>
      <c r="C49" s="1427">
        <v>423.32741267021908</v>
      </c>
      <c r="D49" s="1428">
        <v>342.23387769698417</v>
      </c>
      <c r="E49" s="1428">
        <v>340.81443776029619</v>
      </c>
      <c r="F49" s="1427">
        <v>510.08645533141208</v>
      </c>
    </row>
    <row r="50" spans="1:6">
      <c r="A50" s="1426">
        <v>2021</v>
      </c>
      <c r="B50" s="1426" t="s">
        <v>431</v>
      </c>
      <c r="C50" s="1427">
        <v>577.83312577833124</v>
      </c>
      <c r="D50" s="1428">
        <v>371.40052356020942</v>
      </c>
      <c r="E50" s="1428">
        <v>316.10044313146233</v>
      </c>
      <c r="F50" s="1427">
        <v>717.8451178451179</v>
      </c>
    </row>
    <row r="51" spans="1:6">
      <c r="A51" s="1426">
        <v>2021</v>
      </c>
      <c r="B51" s="1426" t="s">
        <v>432</v>
      </c>
      <c r="C51" s="1427">
        <v>665.71018651362988</v>
      </c>
      <c r="D51" s="1428">
        <v>385.03362426670481</v>
      </c>
      <c r="E51" s="1428">
        <v>330.04775937404736</v>
      </c>
      <c r="F51" s="1427">
        <v>682.46445497630327</v>
      </c>
    </row>
    <row r="52" spans="1:6">
      <c r="A52" s="1426">
        <v>2020</v>
      </c>
      <c r="B52" s="1426" t="s">
        <v>420</v>
      </c>
      <c r="C52" s="1427">
        <v>474.48015122873346</v>
      </c>
      <c r="D52" s="1428">
        <v>385.77625158142058</v>
      </c>
      <c r="E52" s="1428">
        <v>377.39420935412028</v>
      </c>
      <c r="F52" s="1427">
        <v>347.68077780028358</v>
      </c>
    </row>
    <row r="53" spans="1:6">
      <c r="A53" s="1426">
        <v>2020</v>
      </c>
      <c r="B53" s="1426" t="s">
        <v>423</v>
      </c>
      <c r="C53" s="1427">
        <v>592.70516717325233</v>
      </c>
      <c r="D53" s="1428">
        <v>456.05596851770878</v>
      </c>
      <c r="E53" s="1428">
        <v>339.05869624019476</v>
      </c>
      <c r="F53" s="1427">
        <v>355.44430538172713</v>
      </c>
    </row>
    <row r="54" spans="1:6">
      <c r="A54" s="1426">
        <v>2020</v>
      </c>
      <c r="B54" s="1426" t="s">
        <v>424</v>
      </c>
      <c r="C54" s="1427">
        <v>313.40079730144129</v>
      </c>
      <c r="D54" s="1428">
        <v>414.88821138211381</v>
      </c>
      <c r="E54" s="1428">
        <v>372.43143134315193</v>
      </c>
      <c r="F54" s="1427">
        <v>376.99530516431923</v>
      </c>
    </row>
    <row r="55" spans="1:6">
      <c r="A55" s="1426">
        <v>2020</v>
      </c>
      <c r="B55" s="1426" t="s">
        <v>425</v>
      </c>
      <c r="C55" s="1427">
        <v>641.62348877374779</v>
      </c>
      <c r="D55" s="1428">
        <v>377.14987714987717</v>
      </c>
      <c r="E55" s="1428">
        <v>280.48663665102021</v>
      </c>
      <c r="F55" s="1427">
        <v>399.71243709561469</v>
      </c>
    </row>
    <row r="56" spans="1:6">
      <c r="A56" s="1426">
        <v>2020</v>
      </c>
      <c r="B56" s="1426" t="s">
        <v>411</v>
      </c>
      <c r="C56" s="1427">
        <v>296.36430407638636</v>
      </c>
      <c r="D56" s="1428">
        <v>385.11216859279403</v>
      </c>
      <c r="E56" s="1428">
        <v>314.98829039812648</v>
      </c>
      <c r="F56" s="1427">
        <v>505.19584332533975</v>
      </c>
    </row>
    <row r="57" spans="1:6">
      <c r="A57" s="1426">
        <v>2020</v>
      </c>
      <c r="B57" s="1426" t="s">
        <v>426</v>
      </c>
      <c r="C57" s="1427">
        <v>348</v>
      </c>
      <c r="D57" s="1428">
        <v>354.59533607681755</v>
      </c>
      <c r="E57" s="1428">
        <v>354.9495383293966</v>
      </c>
      <c r="F57" s="1427">
        <v>534.00273847558196</v>
      </c>
    </row>
    <row r="58" spans="1:6">
      <c r="A58" s="1426">
        <v>2020</v>
      </c>
      <c r="B58" s="1426" t="s">
        <v>427</v>
      </c>
      <c r="C58" s="1427">
        <v>313.4895503483217</v>
      </c>
      <c r="D58" s="1428">
        <v>357.01275045537341</v>
      </c>
      <c r="E58" s="1428">
        <v>334.29076447193989</v>
      </c>
      <c r="F58" s="1427">
        <v>443.78346222486613</v>
      </c>
    </row>
    <row r="59" spans="1:6">
      <c r="A59" s="1426">
        <v>2020</v>
      </c>
      <c r="B59" s="1426" t="s">
        <v>428</v>
      </c>
      <c r="C59" s="1427">
        <v>345.81005586592181</v>
      </c>
      <c r="D59" s="1428">
        <v>315.11009870918753</v>
      </c>
      <c r="E59" s="1428">
        <v>441.25258799171843</v>
      </c>
      <c r="F59" s="1427">
        <v>525.80645161290317</v>
      </c>
    </row>
    <row r="60" spans="1:6">
      <c r="A60" s="1426">
        <v>2020</v>
      </c>
      <c r="B60" s="1426" t="s">
        <v>429</v>
      </c>
      <c r="C60" s="1427">
        <v>360.76923076923077</v>
      </c>
      <c r="D60" s="1428">
        <v>286.9540609376474</v>
      </c>
      <c r="E60" s="1428">
        <v>403.64931019136628</v>
      </c>
      <c r="F60" s="1427">
        <v>402.44708994708992</v>
      </c>
    </row>
    <row r="61" spans="1:6">
      <c r="A61" s="1426">
        <v>2020</v>
      </c>
      <c r="B61" s="1426" t="s">
        <v>430</v>
      </c>
      <c r="C61" s="1427">
        <v>452.52774352651051</v>
      </c>
      <c r="D61" s="1428">
        <v>331.24406457739792</v>
      </c>
      <c r="E61" s="1428">
        <v>337.11001642036126</v>
      </c>
      <c r="F61" s="1427">
        <v>469.4127243066884</v>
      </c>
    </row>
    <row r="62" spans="1:6">
      <c r="A62" s="1426">
        <v>2020</v>
      </c>
      <c r="B62" s="1426" t="s">
        <v>431</v>
      </c>
      <c r="C62" s="1427">
        <v>464.13043478260869</v>
      </c>
      <c r="D62" s="1428">
        <v>358.59946133128125</v>
      </c>
      <c r="E62" s="1428">
        <v>375.39978678038381</v>
      </c>
      <c r="F62" s="1427">
        <v>429.19628212137781</v>
      </c>
    </row>
    <row r="63" spans="1:6">
      <c r="A63" s="1426">
        <v>2020</v>
      </c>
      <c r="B63" s="1426" t="s">
        <v>432</v>
      </c>
      <c r="C63" s="1427">
        <v>384.68550592525071</v>
      </c>
      <c r="D63" s="1428">
        <v>326.10474631751225</v>
      </c>
      <c r="E63" s="1428">
        <v>348.73595505617976</v>
      </c>
      <c r="F63" s="1427">
        <v>444.85294117647061</v>
      </c>
    </row>
    <row r="64" spans="1:6">
      <c r="A64" s="1426">
        <v>2019</v>
      </c>
      <c r="B64" s="1426" t="s">
        <v>420</v>
      </c>
      <c r="C64" s="1427">
        <v>373.92485287460391</v>
      </c>
      <c r="D64" s="1428">
        <v>481.28914006415152</v>
      </c>
      <c r="E64" s="1428">
        <v>376.97715289982426</v>
      </c>
      <c r="F64" s="1427">
        <v>362.32530478739221</v>
      </c>
    </row>
    <row r="65" spans="1:6">
      <c r="A65" s="1426">
        <v>2019</v>
      </c>
      <c r="B65" s="1426" t="s">
        <v>423</v>
      </c>
      <c r="C65" s="1427">
        <v>241.20518431240532</v>
      </c>
      <c r="D65" s="1428">
        <v>470.35376183358244</v>
      </c>
      <c r="E65" s="1428">
        <v>356.5876217652268</v>
      </c>
      <c r="F65" s="1427">
        <v>359.03216110610157</v>
      </c>
    </row>
    <row r="66" spans="1:6">
      <c r="A66" s="1426">
        <v>2019</v>
      </c>
      <c r="B66" s="1426" t="s">
        <v>424</v>
      </c>
      <c r="C66" s="1427">
        <v>455.73159366262814</v>
      </c>
      <c r="D66" s="1428">
        <v>546.4219617520049</v>
      </c>
      <c r="E66" s="1428">
        <v>375.43231961836614</v>
      </c>
      <c r="F66" s="1427">
        <v>342.06451612903226</v>
      </c>
    </row>
    <row r="67" spans="1:6">
      <c r="A67" s="1426">
        <v>2019</v>
      </c>
      <c r="B67" s="1426" t="s">
        <v>425</v>
      </c>
      <c r="C67" s="1427">
        <v>532.30769230769226</v>
      </c>
      <c r="D67" s="1428">
        <v>481.70731707317071</v>
      </c>
      <c r="E67" s="1428">
        <v>355.0271739130435</v>
      </c>
      <c r="F67" s="1427">
        <v>378.53378054623863</v>
      </c>
    </row>
    <row r="68" spans="1:6">
      <c r="A68" s="1426">
        <v>2019</v>
      </c>
      <c r="B68" s="1426" t="s">
        <v>411</v>
      </c>
      <c r="C68" s="1427">
        <v>493.4823091247672</v>
      </c>
      <c r="D68" s="1428">
        <v>462.49694600537504</v>
      </c>
      <c r="E68" s="1428">
        <v>317.68890431161623</v>
      </c>
      <c r="F68" s="1427">
        <v>353.8235294117647</v>
      </c>
    </row>
    <row r="69" spans="1:6">
      <c r="A69" s="1426">
        <v>2019</v>
      </c>
      <c r="B69" s="1426" t="s">
        <v>426</v>
      </c>
      <c r="C69" s="1427">
        <v>464.51612903225805</v>
      </c>
      <c r="D69" s="1428">
        <v>436.67989014342385</v>
      </c>
      <c r="E69" s="1428">
        <v>348.97646567330457</v>
      </c>
      <c r="F69" s="1427">
        <v>397.31393396754339</v>
      </c>
    </row>
    <row r="70" spans="1:6">
      <c r="A70" s="1426">
        <v>2019</v>
      </c>
      <c r="B70" s="1426" t="s">
        <v>427</v>
      </c>
      <c r="C70" s="1427">
        <v>384.61538461538464</v>
      </c>
      <c r="D70" s="1428">
        <v>381.31122833458932</v>
      </c>
      <c r="E70" s="1428">
        <v>289.90715783168611</v>
      </c>
      <c r="F70" s="1427">
        <v>388.4560906515581</v>
      </c>
    </row>
    <row r="71" spans="1:6">
      <c r="A71" s="1426">
        <v>2019</v>
      </c>
      <c r="B71" s="1426" t="s">
        <v>428</v>
      </c>
      <c r="C71" s="1427">
        <v>451.23537061118333</v>
      </c>
      <c r="D71" s="1428">
        <v>401.01522842639594</v>
      </c>
      <c r="E71" s="1428">
        <v>321.9496021220159</v>
      </c>
      <c r="F71" s="1427">
        <v>340.8432571612488</v>
      </c>
    </row>
    <row r="72" spans="1:6">
      <c r="A72" s="1426">
        <v>2019</v>
      </c>
      <c r="B72" s="1426" t="s">
        <v>429</v>
      </c>
      <c r="C72" s="1427">
        <v>493.15068493150687</v>
      </c>
      <c r="D72" s="1428">
        <v>359.40183894109327</v>
      </c>
      <c r="E72" s="1428">
        <v>305.60769591740967</v>
      </c>
      <c r="F72" s="1427">
        <v>344.15038857382905</v>
      </c>
    </row>
    <row r="73" spans="1:6">
      <c r="A73" s="1426">
        <v>2019</v>
      </c>
      <c r="B73" s="1426" t="s">
        <v>430</v>
      </c>
      <c r="C73" s="1427">
        <v>633.02752293577987</v>
      </c>
      <c r="D73" s="1428">
        <v>380.09049773755657</v>
      </c>
      <c r="E73" s="1428">
        <v>249.31079947261176</v>
      </c>
      <c r="F73" s="1427">
        <v>338.73693915181315</v>
      </c>
    </row>
    <row r="74" spans="1:6">
      <c r="A74" s="1426">
        <v>2019</v>
      </c>
      <c r="B74" s="1426" t="s">
        <v>431</v>
      </c>
      <c r="C74" s="1427">
        <v>487.44460856720826</v>
      </c>
      <c r="D74" s="1428">
        <v>355.59701492537312</v>
      </c>
      <c r="E74" s="1428">
        <v>333.89402859545839</v>
      </c>
      <c r="F74" s="1427">
        <v>333.24391988555078</v>
      </c>
    </row>
    <row r="75" spans="1:6">
      <c r="A75" s="1426">
        <v>2019</v>
      </c>
      <c r="B75" s="1426" t="s">
        <v>432</v>
      </c>
      <c r="C75" s="1427">
        <v>733.33333333333337</v>
      </c>
      <c r="D75" s="1428">
        <v>369.91557943207982</v>
      </c>
      <c r="E75" s="1428">
        <v>291.67234564535914</v>
      </c>
      <c r="F75" s="1427">
        <v>349.89234081820979</v>
      </c>
    </row>
    <row r="76" spans="1:6">
      <c r="A76" s="1426">
        <v>2018</v>
      </c>
      <c r="B76" s="1426" t="s">
        <v>420</v>
      </c>
      <c r="C76" s="1427">
        <v>432.92682926829269</v>
      </c>
      <c r="D76" s="1428">
        <v>355.21582733812949</v>
      </c>
      <c r="E76" s="1428">
        <v>236.23511904761904</v>
      </c>
      <c r="F76" s="1427">
        <v>351.36965683323297</v>
      </c>
    </row>
    <row r="77" spans="1:6">
      <c r="A77" s="1426">
        <v>2018</v>
      </c>
      <c r="B77" s="1426" t="s">
        <v>423</v>
      </c>
      <c r="C77" s="1427">
        <v>447.47612551159619</v>
      </c>
      <c r="D77" s="1428">
        <v>362.71808999081725</v>
      </c>
      <c r="E77" s="1428">
        <v>257.30627595392934</v>
      </c>
      <c r="F77" s="1427">
        <v>362.09852554577668</v>
      </c>
    </row>
    <row r="78" spans="1:6">
      <c r="A78" s="1426">
        <v>2018</v>
      </c>
      <c r="B78" s="1426" t="s">
        <v>424</v>
      </c>
      <c r="C78" s="1427">
        <v>439.80738362760837</v>
      </c>
      <c r="D78" s="1428">
        <v>315.60620449509338</v>
      </c>
      <c r="E78" s="1428">
        <v>262.94933484290971</v>
      </c>
      <c r="F78" s="1427">
        <v>390.89508813965426</v>
      </c>
    </row>
    <row r="79" spans="1:6">
      <c r="A79" s="1426">
        <v>2018</v>
      </c>
      <c r="B79" s="1426" t="s">
        <v>425</v>
      </c>
      <c r="C79" s="1427">
        <v>416.07565011820333</v>
      </c>
      <c r="D79" s="1428">
        <v>330.81032947462154</v>
      </c>
      <c r="E79" s="1428">
        <v>275.91136526090065</v>
      </c>
      <c r="F79" s="1427">
        <v>393.3904041409516</v>
      </c>
    </row>
    <row r="80" spans="1:6">
      <c r="A80" s="1426">
        <v>2018</v>
      </c>
      <c r="B80" s="1426" t="s">
        <v>411</v>
      </c>
      <c r="C80" s="1427">
        <v>504.62351387054161</v>
      </c>
      <c r="D80" s="1428">
        <v>265.77287066246055</v>
      </c>
      <c r="E80" s="1428">
        <v>354.33987362820085</v>
      </c>
      <c r="F80" s="1427">
        <v>409.4031773293259</v>
      </c>
    </row>
    <row r="81" spans="1:6">
      <c r="A81" s="1426">
        <v>2018</v>
      </c>
      <c r="B81" s="1426" t="s">
        <v>426</v>
      </c>
      <c r="C81" s="1427">
        <v>386.57844990548205</v>
      </c>
      <c r="D81" s="1428">
        <v>263.88888888888891</v>
      </c>
      <c r="E81" s="1428">
        <v>306.55538167275256</v>
      </c>
      <c r="F81" s="1427">
        <v>397.43158744032809</v>
      </c>
    </row>
    <row r="82" spans="1:6">
      <c r="A82" s="1426">
        <v>2018</v>
      </c>
      <c r="B82" s="1426" t="s">
        <v>427</v>
      </c>
      <c r="C82" s="1427">
        <v>558.82352941176475</v>
      </c>
      <c r="D82" s="1428">
        <v>245.42936288088643</v>
      </c>
      <c r="E82" s="1428">
        <v>284.26234714943627</v>
      </c>
      <c r="F82" s="1427">
        <v>385.10697415948874</v>
      </c>
    </row>
    <row r="83" spans="1:6">
      <c r="A83" s="1426">
        <v>2018</v>
      </c>
      <c r="B83" s="1426" t="s">
        <v>428</v>
      </c>
      <c r="C83" s="1427">
        <v>242.22299895141558</v>
      </c>
      <c r="D83" s="1428">
        <v>285.05535055350555</v>
      </c>
      <c r="E83" s="1428">
        <v>270.20785219399539</v>
      </c>
      <c r="F83" s="1427">
        <v>364.83910104569878</v>
      </c>
    </row>
    <row r="84" spans="1:6">
      <c r="A84" s="1426">
        <v>2018</v>
      </c>
      <c r="B84" s="1426" t="s">
        <v>429</v>
      </c>
      <c r="C84" s="1427">
        <v>331.72413793103448</v>
      </c>
      <c r="D84" s="1428">
        <v>325.71706368497814</v>
      </c>
      <c r="E84" s="1428">
        <v>288.41111693759831</v>
      </c>
      <c r="F84" s="1427">
        <v>359.84509979148049</v>
      </c>
    </row>
    <row r="85" spans="1:6">
      <c r="A85" s="1426">
        <v>2018</v>
      </c>
      <c r="B85" s="1426" t="s">
        <v>430</v>
      </c>
      <c r="C85" s="1427">
        <v>431.77387914230019</v>
      </c>
      <c r="D85" s="1428">
        <v>359.14405470990516</v>
      </c>
      <c r="E85" s="1428">
        <v>309.51284648678518</v>
      </c>
      <c r="F85" s="1427">
        <v>345.3725998641724</v>
      </c>
    </row>
    <row r="86" spans="1:6">
      <c r="A86" s="1426">
        <v>2018</v>
      </c>
      <c r="B86" s="1426" t="s">
        <v>431</v>
      </c>
      <c r="C86" s="1427">
        <v>359.36370209689079</v>
      </c>
      <c r="D86" s="1428">
        <v>400.28849621348718</v>
      </c>
      <c r="E86" s="1428">
        <v>360.710944808232</v>
      </c>
      <c r="F86" s="1427">
        <v>348.49886468757882</v>
      </c>
    </row>
    <row r="87" spans="1:6">
      <c r="A87" s="1426">
        <v>2018</v>
      </c>
      <c r="B87" s="1426" t="s">
        <v>432</v>
      </c>
      <c r="C87" s="1427">
        <v>317.36526946107784</v>
      </c>
      <c r="D87" s="1428">
        <v>436.12871769868354</v>
      </c>
      <c r="E87" s="1428">
        <v>355.68353215412037</v>
      </c>
      <c r="F87" s="1427">
        <v>355.67393458870168</v>
      </c>
    </row>
    <row r="88" spans="1:6">
      <c r="A88" s="1426">
        <v>2017</v>
      </c>
      <c r="B88" s="1426" t="s">
        <v>420</v>
      </c>
      <c r="C88" s="1427">
        <v>360.68304872969594</v>
      </c>
      <c r="D88" s="1428">
        <v>402.97202797202794</v>
      </c>
      <c r="E88" s="1428">
        <v>275.57261062477517</v>
      </c>
      <c r="F88" s="1427">
        <v>386.76470588235293</v>
      </c>
    </row>
    <row r="89" spans="1:6">
      <c r="A89" s="1426">
        <v>2017</v>
      </c>
      <c r="B89" s="1426" t="s">
        <v>423</v>
      </c>
      <c r="C89" s="1427">
        <v>351.31150351448656</v>
      </c>
      <c r="D89" s="1428">
        <v>399.69135802469134</v>
      </c>
      <c r="E89" s="1428">
        <v>249.51176415883938</v>
      </c>
      <c r="F89" s="1427">
        <v>385.05747126436779</v>
      </c>
    </row>
    <row r="90" spans="1:6">
      <c r="A90" s="1426">
        <v>2017</v>
      </c>
      <c r="B90" s="1426" t="s">
        <v>424</v>
      </c>
      <c r="C90" s="1427">
        <v>345.62545191612435</v>
      </c>
      <c r="D90" s="1428">
        <v>409.87868284228767</v>
      </c>
      <c r="E90" s="1428">
        <v>262.48719990897712</v>
      </c>
      <c r="F90" s="1427">
        <v>369.38031591737547</v>
      </c>
    </row>
    <row r="91" spans="1:6">
      <c r="A91" s="1426">
        <v>2017</v>
      </c>
      <c r="B91" s="1426" t="s">
        <v>425</v>
      </c>
      <c r="C91" s="1427">
        <v>416.29955947136563</v>
      </c>
      <c r="D91" s="1428">
        <v>309.305373525557</v>
      </c>
      <c r="E91" s="1428">
        <v>285.67731918747575</v>
      </c>
      <c r="F91" s="1427">
        <v>386.23898952966596</v>
      </c>
    </row>
    <row r="92" spans="1:6">
      <c r="A92" s="1426">
        <v>2017</v>
      </c>
      <c r="B92" s="1426" t="s">
        <v>411</v>
      </c>
      <c r="C92" s="1427">
        <v>395.01779359430606</v>
      </c>
      <c r="D92" s="1428">
        <v>273.31486611265007</v>
      </c>
      <c r="E92" s="1428">
        <v>277.61298202756939</v>
      </c>
      <c r="F92" s="1427">
        <v>357.02062505629107</v>
      </c>
    </row>
    <row r="93" spans="1:6">
      <c r="A93" s="1426">
        <v>2017</v>
      </c>
      <c r="B93" s="1426" t="s">
        <v>426</v>
      </c>
      <c r="C93" s="1427">
        <v>484.79262672811058</v>
      </c>
      <c r="D93" s="1428">
        <v>362.63736263736263</v>
      </c>
      <c r="E93" s="1428">
        <v>241.23012160898037</v>
      </c>
      <c r="F93" s="1427">
        <v>390.35012809564472</v>
      </c>
    </row>
    <row r="94" spans="1:6">
      <c r="A94" s="1426">
        <v>2017</v>
      </c>
      <c r="B94" s="1426" t="s">
        <v>427</v>
      </c>
      <c r="C94" s="1427">
        <v>384.61538461538464</v>
      </c>
      <c r="D94" s="1428">
        <v>309.70149253731341</v>
      </c>
      <c r="E94" s="1428">
        <v>287.66643307638401</v>
      </c>
      <c r="F94" s="1427">
        <v>346.55972984381594</v>
      </c>
    </row>
    <row r="95" spans="1:6">
      <c r="A95" s="1426">
        <v>2017</v>
      </c>
      <c r="B95" s="1426" t="s">
        <v>428</v>
      </c>
      <c r="C95" s="1427">
        <v>351.80995475113122</v>
      </c>
      <c r="D95" s="1428">
        <v>253.90625</v>
      </c>
      <c r="E95" s="1428">
        <v>196.58036150464093</v>
      </c>
      <c r="F95" s="1427">
        <v>334.42073708340683</v>
      </c>
    </row>
    <row r="96" spans="1:6">
      <c r="A96" s="1426">
        <v>2017</v>
      </c>
      <c r="B96" s="1426" t="s">
        <v>429</v>
      </c>
      <c r="C96" s="1427">
        <v>465.66523605150212</v>
      </c>
      <c r="D96" s="1428">
        <v>315.38461538461536</v>
      </c>
      <c r="E96" s="1428">
        <v>265.06608463683762</v>
      </c>
      <c r="F96" s="1427">
        <v>339.59375318975196</v>
      </c>
    </row>
    <row r="97" spans="1:6">
      <c r="A97" s="1426">
        <v>2017</v>
      </c>
      <c r="B97" s="1426" t="s">
        <v>430</v>
      </c>
      <c r="C97" s="1427">
        <v>463.65638766519822</v>
      </c>
      <c r="D97" s="1428">
        <v>312.85551763367465</v>
      </c>
      <c r="E97" s="1428">
        <v>241.30835048196687</v>
      </c>
      <c r="F97" s="1427">
        <v>322.89263531499557</v>
      </c>
    </row>
    <row r="98" spans="1:6">
      <c r="A98" s="1426">
        <v>2017</v>
      </c>
      <c r="B98" s="1426" t="s">
        <v>431</v>
      </c>
      <c r="C98" s="1427">
        <v>474.74747474747477</v>
      </c>
      <c r="D98" s="1428">
        <v>334.99377334993773</v>
      </c>
      <c r="E98" s="1428">
        <v>268.23529411764707</v>
      </c>
      <c r="F98" s="1427">
        <v>347.63301214914117</v>
      </c>
    </row>
    <row r="99" spans="1:6">
      <c r="A99" s="1426">
        <v>2017</v>
      </c>
      <c r="B99" s="1426" t="s">
        <v>432</v>
      </c>
      <c r="C99" s="1427">
        <v>680.35190615835779</v>
      </c>
      <c r="D99" s="1428">
        <v>274.7952684258417</v>
      </c>
      <c r="E99" s="1428">
        <v>269.53361599030893</v>
      </c>
      <c r="F99" s="1427">
        <v>352.11701308698997</v>
      </c>
    </row>
    <row r="100" spans="1:6">
      <c r="A100" s="1426">
        <v>2016</v>
      </c>
      <c r="B100" s="1426" t="s">
        <v>420</v>
      </c>
      <c r="C100" s="1427">
        <v>339.43754087638979</v>
      </c>
      <c r="D100" s="1428">
        <v>286.67192429022083</v>
      </c>
      <c r="E100" s="1428">
        <v>241.05932645188199</v>
      </c>
      <c r="F100" s="1427">
        <v>379.90802971347716</v>
      </c>
    </row>
    <row r="101" spans="1:6">
      <c r="A101" s="1426">
        <v>2016</v>
      </c>
      <c r="B101" s="1426" t="s">
        <v>423</v>
      </c>
      <c r="C101" s="1427">
        <v>341.19583104772352</v>
      </c>
      <c r="D101" s="1428">
        <v>373.9946380697051</v>
      </c>
      <c r="E101" s="1428">
        <v>257.64342150463756</v>
      </c>
      <c r="F101" s="1427">
        <v>400.14015416958654</v>
      </c>
    </row>
    <row r="102" spans="1:6">
      <c r="A102" s="1426">
        <v>2016</v>
      </c>
      <c r="B102" s="1426" t="s">
        <v>424</v>
      </c>
      <c r="C102" s="1427">
        <v>311.11111111111109</v>
      </c>
      <c r="D102" s="1428">
        <v>350.57158410451825</v>
      </c>
      <c r="E102" s="1428">
        <v>234.19253773853603</v>
      </c>
      <c r="F102" s="1427">
        <v>371.27040720585478</v>
      </c>
    </row>
    <row r="103" spans="1:6">
      <c r="A103" s="1426">
        <v>2016</v>
      </c>
      <c r="B103" s="1426" t="s">
        <v>425</v>
      </c>
      <c r="C103" s="1427">
        <v>252.84264141468489</v>
      </c>
      <c r="D103" s="1428">
        <v>259.98370008149959</v>
      </c>
      <c r="E103" s="1428">
        <v>238.34482758620689</v>
      </c>
      <c r="F103" s="1427">
        <v>431.5312843029638</v>
      </c>
    </row>
    <row r="104" spans="1:6">
      <c r="A104" s="1426">
        <v>2016</v>
      </c>
      <c r="B104" s="1426" t="s">
        <v>411</v>
      </c>
      <c r="C104" s="1427">
        <v>371.26245847176079</v>
      </c>
      <c r="D104" s="1428">
        <v>306.86695278969955</v>
      </c>
      <c r="E104" s="1428">
        <v>256.43323518115477</v>
      </c>
      <c r="F104" s="1427">
        <v>424.65753424657532</v>
      </c>
    </row>
    <row r="105" spans="1:6">
      <c r="A105" s="1426">
        <v>2016</v>
      </c>
      <c r="B105" s="1426" t="s">
        <v>426</v>
      </c>
      <c r="C105" s="1427">
        <v>378.29803047194349</v>
      </c>
      <c r="D105" s="1428">
        <v>274.31421446384041</v>
      </c>
      <c r="E105" s="1428">
        <v>258.43198570471299</v>
      </c>
      <c r="F105" s="1427">
        <v>444.64084846537042</v>
      </c>
    </row>
    <row r="106" spans="1:6">
      <c r="A106" s="1426">
        <v>2016</v>
      </c>
      <c r="B106" s="1426" t="s">
        <v>427</v>
      </c>
      <c r="C106" s="1427">
        <v>330.74424516311257</v>
      </c>
      <c r="D106" s="1428">
        <v>269.41747572815535</v>
      </c>
      <c r="E106" s="1428">
        <v>224.81937951551211</v>
      </c>
      <c r="F106" s="1427">
        <v>436.21790517592717</v>
      </c>
    </row>
    <row r="107" spans="1:6">
      <c r="A107" s="1426">
        <v>2016</v>
      </c>
      <c r="B107" s="1426" t="s">
        <v>428</v>
      </c>
      <c r="C107" s="1427">
        <v>289.76325441813935</v>
      </c>
      <c r="D107" s="1428">
        <v>266.82134570765663</v>
      </c>
      <c r="E107" s="1428">
        <v>267.76456236657515</v>
      </c>
      <c r="F107" s="1427">
        <v>404.1158887100483</v>
      </c>
    </row>
    <row r="108" spans="1:6">
      <c r="A108" s="1426">
        <v>2016</v>
      </c>
      <c r="B108" s="1426" t="s">
        <v>429</v>
      </c>
      <c r="C108" s="1427">
        <v>300.183038438072</v>
      </c>
      <c r="D108" s="1428">
        <v>270.05347593582889</v>
      </c>
      <c r="E108" s="1428">
        <v>232.33183311032721</v>
      </c>
      <c r="F108" s="1427">
        <v>367.53731343283584</v>
      </c>
    </row>
    <row r="109" spans="1:6">
      <c r="A109" s="1426">
        <v>2016</v>
      </c>
      <c r="B109" s="1426" t="s">
        <v>430</v>
      </c>
      <c r="C109" s="1427">
        <v>300.45067601402104</v>
      </c>
      <c r="D109" s="1428">
        <v>349.28716904276985</v>
      </c>
      <c r="E109" s="1428">
        <v>266.46706586826349</v>
      </c>
      <c r="F109" s="1427">
        <v>362.34331940616943</v>
      </c>
    </row>
    <row r="110" spans="1:6">
      <c r="A110" s="1426">
        <v>2016</v>
      </c>
      <c r="B110" s="1426" t="s">
        <v>431</v>
      </c>
      <c r="C110" s="1427">
        <v>240.50803945412781</v>
      </c>
      <c r="D110" s="1428">
        <v>322.17573221757323</v>
      </c>
      <c r="E110" s="1428">
        <v>261.39348061177196</v>
      </c>
      <c r="F110" s="1427">
        <v>373.5252280143921</v>
      </c>
    </row>
    <row r="111" spans="1:6">
      <c r="A111" s="1426">
        <v>2016</v>
      </c>
      <c r="B111" s="1426" t="s">
        <v>432</v>
      </c>
      <c r="C111" s="1427">
        <v>329.39508506616255</v>
      </c>
      <c r="D111" s="1428">
        <v>311.72069825436409</v>
      </c>
      <c r="E111" s="1428">
        <v>240.02946437966958</v>
      </c>
      <c r="F111" s="1427">
        <v>391.10512129380055</v>
      </c>
    </row>
    <row r="112" spans="1:6">
      <c r="A112" s="1426">
        <v>2015</v>
      </c>
      <c r="B112" s="1426" t="s">
        <v>420</v>
      </c>
      <c r="C112" s="1427">
        <v>345.01187648456056</v>
      </c>
      <c r="D112" s="1428">
        <v>387.34739178690342</v>
      </c>
      <c r="E112" s="1428">
        <v>213.9742131209708</v>
      </c>
      <c r="F112" s="1427">
        <v>439.72819510378849</v>
      </c>
    </row>
    <row r="113" spans="1:6">
      <c r="A113" s="1426">
        <v>2015</v>
      </c>
      <c r="B113" s="1426" t="s">
        <v>423</v>
      </c>
      <c r="C113" s="1427">
        <v>313.88329979879273</v>
      </c>
      <c r="D113" s="1428">
        <v>479.77422389463783</v>
      </c>
      <c r="E113" s="1428">
        <v>233.70277678465021</v>
      </c>
      <c r="F113" s="1427">
        <v>416.59232827832295</v>
      </c>
    </row>
    <row r="114" spans="1:6">
      <c r="A114" s="1426">
        <v>2015</v>
      </c>
      <c r="B114" s="1426" t="s">
        <v>424</v>
      </c>
      <c r="C114" s="1427">
        <v>382.38841978287093</v>
      </c>
      <c r="D114" s="1428">
        <v>401.23456790123458</v>
      </c>
      <c r="E114" s="1428">
        <v>247.58637197797813</v>
      </c>
      <c r="F114" s="1427">
        <v>402.21198156682027</v>
      </c>
    </row>
    <row r="115" spans="1:6">
      <c r="A115" s="1426">
        <v>2015</v>
      </c>
      <c r="B115" s="1426" t="s">
        <v>425</v>
      </c>
      <c r="C115" s="1427">
        <v>382.30383973288815</v>
      </c>
      <c r="D115" s="1428">
        <v>368.29268292682929</v>
      </c>
      <c r="E115" s="1428">
        <v>263.25433667236746</v>
      </c>
      <c r="F115" s="1427">
        <v>415.89053696677013</v>
      </c>
    </row>
    <row r="116" spans="1:6">
      <c r="A116" s="1426">
        <v>2015</v>
      </c>
      <c r="B116" s="1426" t="s">
        <v>411</v>
      </c>
      <c r="C116" s="1427">
        <v>305.74098798397864</v>
      </c>
      <c r="D116" s="1428">
        <v>349.38704028021016</v>
      </c>
      <c r="E116" s="1428">
        <v>250.58651026392963</v>
      </c>
      <c r="F116" s="1427">
        <v>403.62844702467345</v>
      </c>
    </row>
    <row r="117" spans="1:6">
      <c r="A117" s="1426">
        <v>2015</v>
      </c>
      <c r="B117" s="1426" t="s">
        <v>426</v>
      </c>
      <c r="C117" s="1427">
        <v>321.77419354838707</v>
      </c>
      <c r="D117" s="1428">
        <v>320.37533512064346</v>
      </c>
      <c r="E117" s="1428">
        <v>271.52152152152155</v>
      </c>
      <c r="F117" s="1427">
        <v>381.28335608787393</v>
      </c>
    </row>
    <row r="118" spans="1:6">
      <c r="A118" s="1426">
        <v>2015</v>
      </c>
      <c r="B118" s="1426" t="s">
        <v>427</v>
      </c>
      <c r="C118" s="1427">
        <v>284.86997635933807</v>
      </c>
      <c r="D118" s="1428">
        <v>338.26429980276134</v>
      </c>
      <c r="E118" s="1428">
        <v>231.41931002546886</v>
      </c>
      <c r="F118" s="1427">
        <v>432.65792610250298</v>
      </c>
    </row>
    <row r="119" spans="1:6">
      <c r="A119" s="1426">
        <v>2015</v>
      </c>
      <c r="B119" s="1426" t="s">
        <v>428</v>
      </c>
      <c r="C119" s="1427">
        <v>349.8201438848921</v>
      </c>
      <c r="D119" s="1428">
        <v>387.09677419354841</v>
      </c>
      <c r="E119" s="1428">
        <v>234.35123435123435</v>
      </c>
      <c r="F119" s="1427">
        <v>412.94369645042838</v>
      </c>
    </row>
    <row r="120" spans="1:6">
      <c r="A120" s="1426">
        <v>2015</v>
      </c>
      <c r="B120" s="1426" t="s">
        <v>429</v>
      </c>
      <c r="C120" s="1427">
        <v>314.56953642384104</v>
      </c>
      <c r="D120" s="1428">
        <v>304.97925311203318</v>
      </c>
      <c r="E120" s="1428">
        <v>228.57401703207103</v>
      </c>
      <c r="F120" s="1427">
        <v>389.23654568210264</v>
      </c>
    </row>
    <row r="121" spans="1:6">
      <c r="A121" s="1426">
        <v>2015</v>
      </c>
      <c r="B121" s="1426" t="s">
        <v>430</v>
      </c>
      <c r="C121" s="1427">
        <v>432.31441048034935</v>
      </c>
      <c r="D121" s="1428">
        <v>360.97560975609758</v>
      </c>
      <c r="E121" s="1428">
        <v>233.87856469983728</v>
      </c>
      <c r="F121" s="1427">
        <v>407.07721848854754</v>
      </c>
    </row>
    <row r="122" spans="1:6">
      <c r="A122" s="1426">
        <v>2015</v>
      </c>
      <c r="B122" s="1426" t="s">
        <v>431</v>
      </c>
      <c r="C122" s="1427">
        <v>376.99412258606213</v>
      </c>
      <c r="D122" s="1428">
        <v>298.59894921190892</v>
      </c>
      <c r="E122" s="1428">
        <v>241.62120031176929</v>
      </c>
      <c r="F122" s="1427">
        <v>392.12919410473501</v>
      </c>
    </row>
    <row r="123" spans="1:6">
      <c r="A123" s="1426">
        <v>2015</v>
      </c>
      <c r="B123" s="1426" t="s">
        <v>432</v>
      </c>
      <c r="C123" s="1427">
        <v>348.09027777777777</v>
      </c>
      <c r="D123" s="1428">
        <v>353.61216730038024</v>
      </c>
      <c r="E123" s="1428">
        <v>252.3410145753603</v>
      </c>
      <c r="F123" s="1427">
        <v>406.65119876256767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8:D123 C5 C6 C7 D5:D7 C4:D4 C3:D3" calculatedColumn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>
    <tabColor rgb="FF92D050"/>
  </sheetPr>
  <dimension ref="A1:C44"/>
  <sheetViews>
    <sheetView zoomScale="140" zoomScaleNormal="140" workbookViewId="0">
      <pane ySplit="2" topLeftCell="A3" activePane="bottomLeft" state="frozen"/>
      <selection pane="bottomLeft"/>
    </sheetView>
  </sheetViews>
  <sheetFormatPr baseColWidth="10" defaultRowHeight="14.15"/>
  <cols>
    <col min="2" max="2" width="29.69140625" customWidth="1"/>
    <col min="3" max="3" width="17.84375" customWidth="1"/>
  </cols>
  <sheetData>
    <row r="1" spans="1:3" ht="18">
      <c r="A1" s="1404" t="s">
        <v>444</v>
      </c>
      <c r="B1" s="1402"/>
      <c r="C1" s="1394"/>
    </row>
    <row r="2" spans="1:3">
      <c r="A2" s="1408" t="s">
        <v>118</v>
      </c>
      <c r="B2" s="1408" t="s">
        <v>460</v>
      </c>
      <c r="C2" s="1408" t="s">
        <v>447</v>
      </c>
    </row>
    <row r="3" spans="1:3">
      <c r="A3" s="1424">
        <v>2024</v>
      </c>
      <c r="B3" s="1425" t="s">
        <v>404</v>
      </c>
      <c r="C3" s="1427">
        <v>231.48260000000002</v>
      </c>
    </row>
    <row r="4" spans="1:3">
      <c r="A4" s="1424">
        <v>2023</v>
      </c>
      <c r="B4" s="1425" t="s">
        <v>404</v>
      </c>
      <c r="C4" s="1427">
        <v>143.09370000000001</v>
      </c>
    </row>
    <row r="5" spans="1:3">
      <c r="A5" s="1424">
        <v>2022</v>
      </c>
      <c r="B5" s="1425" t="s">
        <v>404</v>
      </c>
      <c r="C5" s="1427">
        <v>208.6936</v>
      </c>
    </row>
    <row r="6" spans="1:3">
      <c r="A6" s="1424">
        <v>2021</v>
      </c>
      <c r="B6" s="1425" t="s">
        <v>404</v>
      </c>
      <c r="C6" s="1427">
        <v>196.49079999999998</v>
      </c>
    </row>
    <row r="7" spans="1:3">
      <c r="A7" s="1424">
        <v>2020</v>
      </c>
      <c r="B7" s="1425" t="s">
        <v>404</v>
      </c>
      <c r="C7" s="1427">
        <v>196.88159999999999</v>
      </c>
    </row>
    <row r="8" spans="1:3">
      <c r="A8" s="1424">
        <v>2019</v>
      </c>
      <c r="B8" s="1425" t="s">
        <v>404</v>
      </c>
      <c r="C8" s="1427">
        <v>156.47839999999999</v>
      </c>
    </row>
    <row r="9" spans="1:3">
      <c r="A9" s="1424">
        <v>2018</v>
      </c>
      <c r="B9" s="1425" t="s">
        <v>404</v>
      </c>
      <c r="C9" s="1427">
        <v>153.15980000000002</v>
      </c>
    </row>
    <row r="10" spans="1:3">
      <c r="A10" s="1424">
        <v>2017</v>
      </c>
      <c r="B10" s="1425" t="s">
        <v>404</v>
      </c>
      <c r="C10" s="1427">
        <v>188.2611</v>
      </c>
    </row>
    <row r="11" spans="1:3">
      <c r="A11" s="1424">
        <v>2016</v>
      </c>
      <c r="B11" s="1425" t="s">
        <v>404</v>
      </c>
      <c r="C11" s="1427">
        <v>149.78220000000002</v>
      </c>
    </row>
    <row r="12" spans="1:3">
      <c r="A12" s="1424">
        <v>2015</v>
      </c>
      <c r="B12" s="1425" t="s">
        <v>404</v>
      </c>
      <c r="C12" s="1427">
        <v>126.71260000000001</v>
      </c>
    </row>
    <row r="13" spans="1:3">
      <c r="A13" s="1424">
        <v>2024</v>
      </c>
      <c r="B13" s="1425" t="s">
        <v>410</v>
      </c>
      <c r="C13" s="1427">
        <v>454.2328</v>
      </c>
    </row>
    <row r="14" spans="1:3">
      <c r="A14" s="1424">
        <v>2023</v>
      </c>
      <c r="B14" s="1425" t="s">
        <v>410</v>
      </c>
      <c r="C14" s="1427">
        <v>427.54</v>
      </c>
    </row>
    <row r="15" spans="1:3">
      <c r="A15" s="1424">
        <v>2022</v>
      </c>
      <c r="B15" s="1425" t="s">
        <v>410</v>
      </c>
      <c r="C15" s="1427">
        <v>468.89769999999999</v>
      </c>
    </row>
    <row r="16" spans="1:3">
      <c r="A16" s="1424">
        <v>2021</v>
      </c>
      <c r="B16" s="1425" t="s">
        <v>410</v>
      </c>
      <c r="C16" s="1427">
        <v>424.22129999999999</v>
      </c>
    </row>
    <row r="17" spans="1:3">
      <c r="A17" s="1424">
        <v>2020</v>
      </c>
      <c r="B17" s="1425" t="s">
        <v>410</v>
      </c>
      <c r="C17" s="1427">
        <v>411.80270000000002</v>
      </c>
    </row>
    <row r="18" spans="1:3">
      <c r="A18" s="1424">
        <v>2019</v>
      </c>
      <c r="B18" s="1425" t="s">
        <v>410</v>
      </c>
      <c r="C18" s="1427">
        <v>339.21820000000002</v>
      </c>
    </row>
    <row r="19" spans="1:3">
      <c r="A19" s="1424">
        <v>2018</v>
      </c>
      <c r="B19" s="1425" t="s">
        <v>410</v>
      </c>
      <c r="C19" s="1427">
        <v>380.31809999999996</v>
      </c>
    </row>
    <row r="20" spans="1:3">
      <c r="A20" s="1424">
        <v>2017</v>
      </c>
      <c r="B20" s="1425" t="s">
        <v>410</v>
      </c>
      <c r="C20" s="1427">
        <v>349.86420000000004</v>
      </c>
    </row>
    <row r="21" spans="1:3">
      <c r="A21" s="1424">
        <v>2016</v>
      </c>
      <c r="B21" s="1425" t="s">
        <v>410</v>
      </c>
      <c r="C21" s="1427">
        <v>293.21570000000003</v>
      </c>
    </row>
    <row r="22" spans="1:3">
      <c r="A22" s="1424">
        <v>2015</v>
      </c>
      <c r="B22" s="1425" t="s">
        <v>410</v>
      </c>
      <c r="C22" s="1427">
        <v>342.91</v>
      </c>
    </row>
    <row r="23" spans="1:3">
      <c r="A23" s="1424">
        <v>2024</v>
      </c>
      <c r="B23" s="1425" t="s">
        <v>406</v>
      </c>
      <c r="C23" s="1427">
        <v>3722.9034999999999</v>
      </c>
    </row>
    <row r="24" spans="1:3">
      <c r="A24" s="1424">
        <v>2023</v>
      </c>
      <c r="B24" s="1425" t="s">
        <v>406</v>
      </c>
      <c r="C24" s="1427">
        <v>3353.8996000000002</v>
      </c>
    </row>
    <row r="25" spans="1:3">
      <c r="A25" s="1424">
        <v>2022</v>
      </c>
      <c r="B25" s="1425" t="s">
        <v>406</v>
      </c>
      <c r="C25" s="1427">
        <v>3509.2791999999999</v>
      </c>
    </row>
    <row r="26" spans="1:3">
      <c r="A26" s="1424">
        <v>2021</v>
      </c>
      <c r="B26" s="1425" t="s">
        <v>406</v>
      </c>
      <c r="C26" s="1427">
        <v>3673.4537</v>
      </c>
    </row>
    <row r="27" spans="1:3">
      <c r="A27" s="1424">
        <v>2020</v>
      </c>
      <c r="B27" s="1425" t="s">
        <v>406</v>
      </c>
      <c r="C27" s="1427">
        <v>3912.2902000000004</v>
      </c>
    </row>
    <row r="28" spans="1:3">
      <c r="A28" s="1424">
        <v>2019</v>
      </c>
      <c r="B28" s="1425" t="s">
        <v>406</v>
      </c>
      <c r="C28" s="1427">
        <v>3670.7968000000001</v>
      </c>
    </row>
    <row r="29" spans="1:3">
      <c r="A29" s="1424">
        <v>2018</v>
      </c>
      <c r="B29" s="1425" t="s">
        <v>406</v>
      </c>
      <c r="C29" s="1427">
        <v>3545.6363000000001</v>
      </c>
    </row>
    <row r="30" spans="1:3">
      <c r="A30" s="1424">
        <v>2017</v>
      </c>
      <c r="B30" s="1425" t="s">
        <v>406</v>
      </c>
      <c r="C30" s="1427">
        <v>2947.6376999999998</v>
      </c>
    </row>
    <row r="31" spans="1:3">
      <c r="A31" s="1424">
        <v>2016</v>
      </c>
      <c r="B31" s="1425" t="s">
        <v>406</v>
      </c>
      <c r="C31" s="1427">
        <v>3094.1136000000001</v>
      </c>
    </row>
    <row r="32" spans="1:3">
      <c r="A32" s="1424">
        <v>2015</v>
      </c>
      <c r="B32" s="1425" t="s">
        <v>406</v>
      </c>
      <c r="C32" s="1427">
        <v>0</v>
      </c>
    </row>
    <row r="33" spans="1:3">
      <c r="A33" s="1424">
        <v>2024</v>
      </c>
      <c r="B33" s="1425" t="s">
        <v>405</v>
      </c>
      <c r="C33" s="1427">
        <v>19.655600000000007</v>
      </c>
    </row>
    <row r="34" spans="1:3">
      <c r="A34" s="1424">
        <v>2023</v>
      </c>
      <c r="B34" s="1425" t="s">
        <v>405</v>
      </c>
      <c r="C34" s="1427">
        <v>-9.2558999999999934</v>
      </c>
    </row>
    <row r="35" spans="1:3">
      <c r="A35" s="1424">
        <v>2022</v>
      </c>
      <c r="B35" s="1425" t="s">
        <v>405</v>
      </c>
      <c r="C35" s="1427">
        <v>1.2490000000000001</v>
      </c>
    </row>
    <row r="36" spans="1:3">
      <c r="A36" s="1424">
        <v>2021</v>
      </c>
      <c r="B36" s="1425" t="s">
        <v>405</v>
      </c>
      <c r="C36" s="1427">
        <v>38.020899999999997</v>
      </c>
    </row>
    <row r="37" spans="1:3">
      <c r="A37" s="1424">
        <v>2020</v>
      </c>
      <c r="B37" s="1425" t="s">
        <v>405</v>
      </c>
      <c r="C37" s="1427">
        <v>59.916499999999985</v>
      </c>
    </row>
    <row r="38" spans="1:3">
      <c r="A38" s="1424">
        <v>2019</v>
      </c>
      <c r="B38" s="1425" t="s">
        <v>405</v>
      </c>
      <c r="C38" s="1427">
        <v>13.670099999999991</v>
      </c>
    </row>
    <row r="39" spans="1:3">
      <c r="A39" s="1424">
        <v>2018</v>
      </c>
      <c r="B39" s="1425" t="s">
        <v>405</v>
      </c>
      <c r="C39" s="1427">
        <v>-14.947699999999998</v>
      </c>
    </row>
    <row r="40" spans="1:3">
      <c r="A40" s="1424">
        <v>2017</v>
      </c>
      <c r="B40" s="1425" t="s">
        <v>405</v>
      </c>
      <c r="C40" s="1427">
        <v>5.0863000000000032</v>
      </c>
    </row>
    <row r="41" spans="1:3">
      <c r="A41" s="1424">
        <v>2016</v>
      </c>
      <c r="B41" s="1425" t="s">
        <v>405</v>
      </c>
      <c r="C41" s="1427">
        <v>-26.102699999999999</v>
      </c>
    </row>
    <row r="42" spans="1:3">
      <c r="A42" s="1424">
        <v>2015</v>
      </c>
      <c r="B42" s="1425" t="s">
        <v>405</v>
      </c>
      <c r="C42" s="1427">
        <v>-36.5655</v>
      </c>
    </row>
    <row r="44" spans="1:3">
      <c r="A44" s="1433" t="s">
        <v>462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3">
    <tabColor rgb="FF92D050"/>
  </sheetPr>
  <dimension ref="A1:N48"/>
  <sheetViews>
    <sheetView zoomScale="130" zoomScaleNormal="130" zoomScaleSheetLayoutView="55" workbookViewId="0">
      <pane ySplit="2" topLeftCell="A3" activePane="bottomLeft" state="frozen"/>
      <selection activeCell="F8" sqref="F8"/>
      <selection pane="bottomLeft"/>
    </sheetView>
  </sheetViews>
  <sheetFormatPr baseColWidth="10" defaultColWidth="9.69140625" defaultRowHeight="14.15"/>
  <cols>
    <col min="1" max="1" width="20.3828125" bestFit="1" customWidth="1"/>
    <col min="2" max="2" width="4.84375" customWidth="1"/>
    <col min="3" max="14" width="12.69140625" customWidth="1"/>
  </cols>
  <sheetData>
    <row r="1" spans="1:14" ht="18">
      <c r="A1" s="1404" t="s">
        <v>442</v>
      </c>
      <c r="B1" s="1402"/>
      <c r="C1" s="1394"/>
      <c r="D1" s="1394"/>
      <c r="E1" s="1394"/>
      <c r="F1" s="1403"/>
      <c r="G1" s="1403"/>
      <c r="H1" s="1403"/>
      <c r="I1" s="1403"/>
      <c r="J1" s="1403"/>
      <c r="K1" s="1403"/>
      <c r="L1" s="1403"/>
      <c r="M1" s="1403"/>
      <c r="N1" s="1403"/>
    </row>
    <row r="2" spans="1:14">
      <c r="A2" s="1406" t="s">
        <v>460</v>
      </c>
      <c r="B2" s="1406" t="s">
        <v>118</v>
      </c>
      <c r="C2" s="1406" t="s">
        <v>420</v>
      </c>
      <c r="D2" s="1406" t="s">
        <v>423</v>
      </c>
      <c r="E2" s="1406" t="s">
        <v>424</v>
      </c>
      <c r="F2" s="1406" t="s">
        <v>425</v>
      </c>
      <c r="G2" s="1406" t="s">
        <v>411</v>
      </c>
      <c r="H2" s="1406" t="s">
        <v>426</v>
      </c>
      <c r="I2" s="1406" t="s">
        <v>427</v>
      </c>
      <c r="J2" s="1406" t="s">
        <v>428</v>
      </c>
      <c r="K2" s="1406" t="s">
        <v>429</v>
      </c>
      <c r="L2" s="1406" t="s">
        <v>430</v>
      </c>
      <c r="M2" s="1406" t="s">
        <v>431</v>
      </c>
      <c r="N2" s="1406" t="s">
        <v>432</v>
      </c>
    </row>
    <row r="3" spans="1:14">
      <c r="A3" s="1416" t="s">
        <v>414</v>
      </c>
      <c r="B3" s="1414">
        <v>2025</v>
      </c>
      <c r="C3" s="1415">
        <v>246.05</v>
      </c>
      <c r="D3" s="1415">
        <v>246.5</v>
      </c>
      <c r="E3" s="1415">
        <v>243.83</v>
      </c>
      <c r="F3" s="1415">
        <v>239.52</v>
      </c>
      <c r="G3" s="1415">
        <v>241.78</v>
      </c>
      <c r="H3" s="1415">
        <v>243.06</v>
      </c>
      <c r="I3" s="1415">
        <v>215.18</v>
      </c>
      <c r="J3" s="1415">
        <v>204.53</v>
      </c>
      <c r="K3" s="1415">
        <v>201.3</v>
      </c>
      <c r="L3" s="1415">
        <v>199.33</v>
      </c>
      <c r="M3" s="1415">
        <v>199.59</v>
      </c>
      <c r="N3" s="1415">
        <v>202.78</v>
      </c>
    </row>
    <row r="4" spans="1:14">
      <c r="A4" s="1416" t="s">
        <v>414</v>
      </c>
      <c r="B4" s="1414">
        <v>2024</v>
      </c>
      <c r="C4" s="1415">
        <v>246.74</v>
      </c>
      <c r="D4" s="1415">
        <v>240.76</v>
      </c>
      <c r="E4" s="1415">
        <v>239.26</v>
      </c>
      <c r="F4" s="1415">
        <v>242.44</v>
      </c>
      <c r="G4" s="1415">
        <v>246.94</v>
      </c>
      <c r="H4" s="1415">
        <v>246.67</v>
      </c>
      <c r="I4" s="1415">
        <v>245.63</v>
      </c>
      <c r="J4" s="1415">
        <v>245.25</v>
      </c>
      <c r="K4" s="1415">
        <v>247.32</v>
      </c>
      <c r="L4" s="1415">
        <v>249.75</v>
      </c>
      <c r="M4" s="1415">
        <v>249.95</v>
      </c>
      <c r="N4" s="1415">
        <v>249.31</v>
      </c>
    </row>
    <row r="5" spans="1:14">
      <c r="A5" s="1416" t="s">
        <v>414</v>
      </c>
      <c r="B5" s="1414">
        <v>2023</v>
      </c>
      <c r="C5" s="1415">
        <v>339.68</v>
      </c>
      <c r="D5" s="1415">
        <v>324.38</v>
      </c>
      <c r="E5" s="1415">
        <v>293.69</v>
      </c>
      <c r="F5" s="1415">
        <v>283.35000000000002</v>
      </c>
      <c r="G5" s="1415">
        <v>270.27</v>
      </c>
      <c r="H5" s="1415">
        <v>254.45</v>
      </c>
      <c r="I5" s="1415">
        <v>244.34</v>
      </c>
      <c r="J5" s="1415">
        <v>243.95</v>
      </c>
      <c r="K5" s="1415">
        <v>242.79</v>
      </c>
      <c r="L5" s="1415">
        <v>245.63</v>
      </c>
      <c r="M5" s="1415">
        <v>243.9</v>
      </c>
      <c r="N5" s="1415">
        <v>245.54</v>
      </c>
    </row>
    <row r="6" spans="1:14">
      <c r="A6" s="1416" t="s">
        <v>414</v>
      </c>
      <c r="B6" s="1414">
        <v>2022</v>
      </c>
      <c r="C6" s="1415">
        <v>290.91000000000003</v>
      </c>
      <c r="D6" s="1415">
        <v>289.97000000000003</v>
      </c>
      <c r="E6" s="1415">
        <v>327.64999999999998</v>
      </c>
      <c r="F6" s="1415">
        <v>345.27</v>
      </c>
      <c r="G6" s="1415">
        <v>352.21</v>
      </c>
      <c r="H6" s="1415" t="s">
        <v>416</v>
      </c>
      <c r="I6" s="1415">
        <v>333.96</v>
      </c>
      <c r="J6" s="1415">
        <v>341.68</v>
      </c>
      <c r="K6" s="1415">
        <v>339.99</v>
      </c>
      <c r="L6" s="1415">
        <v>352.29</v>
      </c>
      <c r="M6" s="1415">
        <v>355.2</v>
      </c>
      <c r="N6" s="1415">
        <v>344.75</v>
      </c>
    </row>
    <row r="7" spans="1:14">
      <c r="A7" s="1416" t="s">
        <v>414</v>
      </c>
      <c r="B7" s="1414">
        <v>2021</v>
      </c>
      <c r="C7" s="1415">
        <v>208.1</v>
      </c>
      <c r="D7" s="1415">
        <v>217.16</v>
      </c>
      <c r="E7" s="1415">
        <v>225.06</v>
      </c>
      <c r="F7" s="1415">
        <v>229.55</v>
      </c>
      <c r="G7" s="1415">
        <v>230.07</v>
      </c>
      <c r="H7" s="1415">
        <v>217</v>
      </c>
      <c r="I7" s="1415">
        <v>214.39</v>
      </c>
      <c r="J7" s="1415">
        <v>224.15</v>
      </c>
      <c r="K7" s="1415">
        <v>242.04</v>
      </c>
      <c r="L7" s="1415">
        <v>255.44</v>
      </c>
      <c r="M7" s="1415">
        <v>273.83999999999997</v>
      </c>
      <c r="N7" s="1415">
        <v>273.31</v>
      </c>
    </row>
    <row r="8" spans="1:14">
      <c r="A8" s="1416" t="s">
        <v>414</v>
      </c>
      <c r="B8" s="1414">
        <v>2020</v>
      </c>
      <c r="C8" s="1415">
        <v>210.7</v>
      </c>
      <c r="D8" s="1415">
        <v>214.4</v>
      </c>
      <c r="E8" s="1415">
        <v>210.93</v>
      </c>
      <c r="F8" s="1415">
        <v>209.62</v>
      </c>
      <c r="G8" s="1415">
        <v>209.16</v>
      </c>
      <c r="H8" s="1415">
        <v>209.7</v>
      </c>
      <c r="I8" s="1415">
        <v>192.46</v>
      </c>
      <c r="J8" s="1415">
        <v>199.22</v>
      </c>
      <c r="K8" s="1415">
        <v>197.67</v>
      </c>
      <c r="L8" s="1415">
        <v>200.12</v>
      </c>
      <c r="M8" s="1415">
        <v>201.46</v>
      </c>
      <c r="N8" s="1415">
        <v>203.2</v>
      </c>
    </row>
    <row r="9" spans="1:14">
      <c r="A9" s="1416" t="s">
        <v>414</v>
      </c>
      <c r="B9" s="1414">
        <v>2019</v>
      </c>
      <c r="C9" s="1415">
        <v>205.17</v>
      </c>
      <c r="D9" s="1415">
        <v>209.69</v>
      </c>
      <c r="E9" s="1415">
        <v>205.7</v>
      </c>
      <c r="F9" s="1415">
        <v>202.07</v>
      </c>
      <c r="G9" s="1415">
        <v>195.59</v>
      </c>
      <c r="H9" s="1415">
        <v>226.76</v>
      </c>
      <c r="I9" s="1415">
        <v>185.94</v>
      </c>
      <c r="J9" s="1415">
        <v>194.31</v>
      </c>
      <c r="K9" s="1415">
        <v>198.86</v>
      </c>
      <c r="L9" s="1415">
        <v>200.52</v>
      </c>
      <c r="M9" s="1415">
        <v>201.11</v>
      </c>
      <c r="N9" s="1415">
        <v>205.3</v>
      </c>
    </row>
    <row r="10" spans="1:14">
      <c r="A10" s="1416" t="s">
        <v>414</v>
      </c>
      <c r="B10" s="1414">
        <v>2018</v>
      </c>
      <c r="C10" s="1415">
        <v>161.91</v>
      </c>
      <c r="D10" s="1415">
        <v>162.6</v>
      </c>
      <c r="E10" s="1415">
        <v>163.65</v>
      </c>
      <c r="F10" s="1415">
        <v>165.95</v>
      </c>
      <c r="G10" s="1415">
        <v>161.84</v>
      </c>
      <c r="H10" s="1415">
        <v>172</v>
      </c>
      <c r="I10" s="1415">
        <v>172.59</v>
      </c>
      <c r="J10" s="1415">
        <v>181.3</v>
      </c>
      <c r="K10" s="1415">
        <v>180.8</v>
      </c>
      <c r="L10" s="1415">
        <v>183.87</v>
      </c>
      <c r="M10" s="1415">
        <v>190.02</v>
      </c>
      <c r="N10" s="1415">
        <v>195.28</v>
      </c>
    </row>
    <row r="11" spans="1:14">
      <c r="A11" s="1416" t="s">
        <v>414</v>
      </c>
      <c r="B11" s="1414">
        <v>2017</v>
      </c>
      <c r="C11" s="1415">
        <v>155.18</v>
      </c>
      <c r="D11" s="1415">
        <v>156.33000000000001</v>
      </c>
      <c r="E11" s="1415">
        <v>158.53</v>
      </c>
      <c r="F11" s="1415">
        <v>156.96</v>
      </c>
      <c r="G11" s="1415">
        <v>158.47</v>
      </c>
      <c r="H11" s="1415">
        <v>160.1</v>
      </c>
      <c r="I11" s="1415">
        <v>158.63999999999999</v>
      </c>
      <c r="J11" s="1415">
        <v>158.33000000000001</v>
      </c>
      <c r="K11" s="1415">
        <v>161.19999999999999</v>
      </c>
      <c r="L11" s="1415">
        <v>160.1</v>
      </c>
      <c r="M11" s="1415">
        <v>159.38</v>
      </c>
      <c r="N11" s="1415">
        <v>160.31</v>
      </c>
    </row>
    <row r="12" spans="1:14">
      <c r="A12" s="1416" t="s">
        <v>414</v>
      </c>
      <c r="B12" s="1414">
        <v>2016</v>
      </c>
      <c r="C12" s="1415">
        <v>150.36000000000001</v>
      </c>
      <c r="D12" s="1415">
        <v>144.16999999999999</v>
      </c>
      <c r="E12" s="1415">
        <v>135.28</v>
      </c>
      <c r="F12" s="1415">
        <v>135.65</v>
      </c>
      <c r="G12" s="1415">
        <v>136.78</v>
      </c>
      <c r="H12" s="1415">
        <v>137.5</v>
      </c>
      <c r="I12" s="1415">
        <v>154.53</v>
      </c>
      <c r="J12" s="1415">
        <v>153.19999999999999</v>
      </c>
      <c r="K12" s="1415">
        <v>152.03</v>
      </c>
      <c r="L12" s="1415">
        <v>152.08000000000001</v>
      </c>
      <c r="M12" s="1415">
        <v>153.53</v>
      </c>
      <c r="N12" s="1415">
        <v>157.76</v>
      </c>
    </row>
    <row r="13" spans="1:14">
      <c r="A13" s="1416" t="s">
        <v>414</v>
      </c>
      <c r="B13" s="1414">
        <v>2015</v>
      </c>
      <c r="C13" s="1415" t="s">
        <v>416</v>
      </c>
      <c r="D13" s="1415">
        <v>210</v>
      </c>
      <c r="E13" s="1415" t="s">
        <v>416</v>
      </c>
      <c r="F13" s="1415" t="s">
        <v>416</v>
      </c>
      <c r="G13" s="1415" t="s">
        <v>416</v>
      </c>
      <c r="H13" s="1415" t="s">
        <v>416</v>
      </c>
      <c r="I13" s="1415">
        <v>160</v>
      </c>
      <c r="J13" s="1415">
        <v>172.5</v>
      </c>
      <c r="K13" s="1415">
        <v>166.21</v>
      </c>
      <c r="L13" s="1415">
        <v>161.9</v>
      </c>
      <c r="M13" s="1415">
        <v>161</v>
      </c>
      <c r="N13" s="1415">
        <v>158.1</v>
      </c>
    </row>
    <row r="14" spans="1:14">
      <c r="A14" s="1416" t="s">
        <v>413</v>
      </c>
      <c r="B14" s="1414">
        <v>2025</v>
      </c>
      <c r="C14" s="1415">
        <v>255.54</v>
      </c>
      <c r="D14" s="1415">
        <v>257.17</v>
      </c>
      <c r="E14" s="1415">
        <v>253.67</v>
      </c>
      <c r="F14" s="1415">
        <v>254.28</v>
      </c>
      <c r="G14" s="1415">
        <v>251.15</v>
      </c>
      <c r="H14" s="1415">
        <v>248.83</v>
      </c>
      <c r="I14" s="1415">
        <v>211.54</v>
      </c>
      <c r="J14" s="1415">
        <v>194.41</v>
      </c>
      <c r="K14" s="1415">
        <v>191.59</v>
      </c>
      <c r="L14" s="1415">
        <v>188.45</v>
      </c>
      <c r="M14" s="1415">
        <v>189.99</v>
      </c>
      <c r="N14" s="1415">
        <v>191.77</v>
      </c>
    </row>
    <row r="15" spans="1:14">
      <c r="A15" s="1416" t="s">
        <v>413</v>
      </c>
      <c r="B15" s="1414">
        <v>2024</v>
      </c>
      <c r="C15" s="1415">
        <v>245.51</v>
      </c>
      <c r="D15" s="1415">
        <v>236.37</v>
      </c>
      <c r="E15" s="1415">
        <v>232.45</v>
      </c>
      <c r="F15" s="1415">
        <v>237.33</v>
      </c>
      <c r="G15" s="1415">
        <v>248.76</v>
      </c>
      <c r="H15" s="1415">
        <v>248.31</v>
      </c>
      <c r="I15" s="1415">
        <v>253.87</v>
      </c>
      <c r="J15" s="1415">
        <v>243.79</v>
      </c>
      <c r="K15" s="1415">
        <v>242.92</v>
      </c>
      <c r="L15" s="1415">
        <v>247.82</v>
      </c>
      <c r="M15" s="1415">
        <v>250.28</v>
      </c>
      <c r="N15" s="1415">
        <v>254.62</v>
      </c>
    </row>
    <row r="16" spans="1:14">
      <c r="A16" s="1416" t="s">
        <v>413</v>
      </c>
      <c r="B16" s="1414">
        <v>2023</v>
      </c>
      <c r="C16" s="1415">
        <v>342.65</v>
      </c>
      <c r="D16" s="1415">
        <v>329.51</v>
      </c>
      <c r="E16" s="1415">
        <v>299.56</v>
      </c>
      <c r="F16" s="1415">
        <v>281.42</v>
      </c>
      <c r="G16" s="1415">
        <v>271.61</v>
      </c>
      <c r="H16" s="1415">
        <v>255.51</v>
      </c>
      <c r="I16" s="1415">
        <v>239.85</v>
      </c>
      <c r="J16" s="1415">
        <v>238.82</v>
      </c>
      <c r="K16" s="1415">
        <v>235.74</v>
      </c>
      <c r="L16" s="1415">
        <v>237.86</v>
      </c>
      <c r="M16" s="1415">
        <v>238.5</v>
      </c>
      <c r="N16" s="1415">
        <v>241.61</v>
      </c>
    </row>
    <row r="17" spans="1:14">
      <c r="A17" s="1416" t="s">
        <v>413</v>
      </c>
      <c r="B17" s="1414">
        <v>2022</v>
      </c>
      <c r="C17" s="1415">
        <v>313.31</v>
      </c>
      <c r="D17" s="1415">
        <v>298.99</v>
      </c>
      <c r="E17" s="1415">
        <v>343.14</v>
      </c>
      <c r="F17" s="1415">
        <v>353.68</v>
      </c>
      <c r="G17" s="1415">
        <v>365.04</v>
      </c>
      <c r="H17" s="1415">
        <v>320.25</v>
      </c>
      <c r="I17" s="1415">
        <v>344.4</v>
      </c>
      <c r="J17" s="1415">
        <v>341.18</v>
      </c>
      <c r="K17" s="1415">
        <v>346.24</v>
      </c>
      <c r="L17" s="1415">
        <v>358.35</v>
      </c>
      <c r="M17" s="1415">
        <v>359.33</v>
      </c>
      <c r="N17" s="1415">
        <v>349.75</v>
      </c>
    </row>
    <row r="18" spans="1:14">
      <c r="A18" s="1416" t="s">
        <v>413</v>
      </c>
      <c r="B18" s="1414">
        <v>2021</v>
      </c>
      <c r="C18" s="1415">
        <v>213.62</v>
      </c>
      <c r="D18" s="1415">
        <v>220.98</v>
      </c>
      <c r="E18" s="1415">
        <v>234.63</v>
      </c>
      <c r="F18" s="1415">
        <v>245.63</v>
      </c>
      <c r="G18" s="1415">
        <v>235.81</v>
      </c>
      <c r="H18" s="1415">
        <v>212.21</v>
      </c>
      <c r="I18" s="1415">
        <v>227.1</v>
      </c>
      <c r="J18" s="1415">
        <v>235.74</v>
      </c>
      <c r="K18" s="1415">
        <v>240.99</v>
      </c>
      <c r="L18" s="1415">
        <v>261.52</v>
      </c>
      <c r="M18" s="1415">
        <v>280.93</v>
      </c>
      <c r="N18" s="1415">
        <v>304.35000000000002</v>
      </c>
    </row>
    <row r="19" spans="1:14">
      <c r="A19" s="1416" t="s">
        <v>413</v>
      </c>
      <c r="B19" s="1414">
        <v>2020</v>
      </c>
      <c r="C19" s="1415">
        <v>196.77</v>
      </c>
      <c r="D19" s="1415">
        <v>197.37</v>
      </c>
      <c r="E19" s="1415">
        <v>193.75</v>
      </c>
      <c r="F19" s="1415">
        <v>195.33</v>
      </c>
      <c r="G19" s="1415">
        <v>197.95</v>
      </c>
      <c r="H19" s="1415">
        <v>196.25</v>
      </c>
      <c r="I19" s="1415">
        <v>196.68</v>
      </c>
      <c r="J19" s="1415">
        <v>193.66</v>
      </c>
      <c r="K19" s="1415">
        <v>193.59</v>
      </c>
      <c r="L19" s="1415">
        <v>194.68</v>
      </c>
      <c r="M19" s="1415">
        <v>197.78</v>
      </c>
      <c r="N19" s="1415">
        <v>208.49</v>
      </c>
    </row>
    <row r="20" spans="1:14">
      <c r="A20" s="1416" t="s">
        <v>413</v>
      </c>
      <c r="B20" s="1414">
        <v>2019</v>
      </c>
      <c r="C20" s="1415">
        <v>199.72</v>
      </c>
      <c r="D20" s="1415">
        <v>200.38</v>
      </c>
      <c r="E20" s="1415">
        <v>200.17</v>
      </c>
      <c r="F20" s="1415">
        <v>199.87</v>
      </c>
      <c r="G20" s="1415">
        <v>194.59</v>
      </c>
      <c r="H20" s="1415">
        <v>188.68</v>
      </c>
      <c r="I20" s="1415">
        <v>191.91</v>
      </c>
      <c r="J20" s="1415">
        <v>189.5</v>
      </c>
      <c r="K20" s="1415">
        <v>188.76</v>
      </c>
      <c r="L20" s="1415">
        <v>187.1</v>
      </c>
      <c r="M20" s="1415">
        <v>187.55</v>
      </c>
      <c r="N20" s="1415">
        <v>192.94</v>
      </c>
    </row>
    <row r="21" spans="1:14">
      <c r="A21" s="1416" t="s">
        <v>413</v>
      </c>
      <c r="B21" s="1414">
        <v>2018</v>
      </c>
      <c r="C21" s="1415">
        <v>187.65</v>
      </c>
      <c r="D21" s="1415">
        <v>181.39</v>
      </c>
      <c r="E21" s="1415">
        <v>181.09</v>
      </c>
      <c r="F21" s="1415">
        <v>181.33</v>
      </c>
      <c r="G21" s="1415">
        <v>179.1</v>
      </c>
      <c r="H21" s="1415">
        <v>180.87</v>
      </c>
      <c r="I21" s="1415">
        <v>181.83</v>
      </c>
      <c r="J21" s="1415">
        <v>188.46</v>
      </c>
      <c r="K21" s="1415">
        <v>192.58</v>
      </c>
      <c r="L21" s="1415">
        <v>195.29</v>
      </c>
      <c r="M21" s="1415">
        <v>196.77</v>
      </c>
      <c r="N21" s="1415">
        <v>197.85</v>
      </c>
    </row>
    <row r="22" spans="1:14">
      <c r="A22" s="1416" t="s">
        <v>413</v>
      </c>
      <c r="B22" s="1414">
        <v>2017</v>
      </c>
      <c r="C22" s="1415">
        <v>190.98</v>
      </c>
      <c r="D22" s="1415">
        <v>194</v>
      </c>
      <c r="E22" s="1415">
        <v>193.77</v>
      </c>
      <c r="F22" s="1415">
        <v>192</v>
      </c>
      <c r="G22" s="1415">
        <v>190.55</v>
      </c>
      <c r="H22" s="1415">
        <v>183.5</v>
      </c>
      <c r="I22" s="1415">
        <v>197.78</v>
      </c>
      <c r="J22" s="1415">
        <v>194.47</v>
      </c>
      <c r="K22" s="1415">
        <v>191.43</v>
      </c>
      <c r="L22" s="1415">
        <v>190.16</v>
      </c>
      <c r="M22" s="1415">
        <v>190.24</v>
      </c>
      <c r="N22" s="1415">
        <v>190.1</v>
      </c>
    </row>
    <row r="23" spans="1:14">
      <c r="A23" s="1416" t="s">
        <v>413</v>
      </c>
      <c r="B23" s="1414">
        <v>2016</v>
      </c>
      <c r="C23" s="1415">
        <v>177.68</v>
      </c>
      <c r="D23" s="1415">
        <v>175.74</v>
      </c>
      <c r="E23" s="1415">
        <v>167.18</v>
      </c>
      <c r="F23" s="1415">
        <v>178.1</v>
      </c>
      <c r="G23" s="1415">
        <v>182.38</v>
      </c>
      <c r="H23" s="1415">
        <v>181.79</v>
      </c>
      <c r="I23" s="1415">
        <v>180.66</v>
      </c>
      <c r="J23" s="1415">
        <v>181.84</v>
      </c>
      <c r="K23" s="1415">
        <v>181.93</v>
      </c>
      <c r="L23" s="1415">
        <v>183.55</v>
      </c>
      <c r="M23" s="1415">
        <v>185.07</v>
      </c>
      <c r="N23" s="1415">
        <v>187.43</v>
      </c>
    </row>
    <row r="24" spans="1:14">
      <c r="A24" s="1416" t="s">
        <v>413</v>
      </c>
      <c r="B24" s="1414">
        <v>2015</v>
      </c>
      <c r="C24" s="1415" t="s">
        <v>416</v>
      </c>
      <c r="D24" s="1415">
        <v>199.38</v>
      </c>
      <c r="E24" s="1415">
        <v>202</v>
      </c>
      <c r="F24" s="1415">
        <v>209.25</v>
      </c>
      <c r="G24" s="1415">
        <v>196.75</v>
      </c>
      <c r="H24" s="1415">
        <v>150</v>
      </c>
      <c r="I24" s="1415">
        <v>182.62</v>
      </c>
      <c r="J24" s="1415">
        <v>183.58</v>
      </c>
      <c r="K24" s="1415">
        <v>177.16</v>
      </c>
      <c r="L24" s="1415">
        <v>182.97</v>
      </c>
      <c r="M24" s="1415">
        <v>182.77</v>
      </c>
      <c r="N24" s="1415">
        <v>180.48</v>
      </c>
    </row>
    <row r="25" spans="1:14">
      <c r="A25" s="1416" t="s">
        <v>412</v>
      </c>
      <c r="B25" s="1414">
        <v>2025</v>
      </c>
      <c r="C25" s="1415">
        <v>414.9</v>
      </c>
      <c r="D25" s="1415">
        <v>416.23</v>
      </c>
      <c r="E25" s="1415">
        <v>404.32</v>
      </c>
      <c r="F25" s="1415">
        <v>397.94</v>
      </c>
      <c r="G25" s="1415">
        <v>394.44</v>
      </c>
      <c r="H25" s="1415">
        <v>386.72</v>
      </c>
      <c r="I25" s="1415">
        <v>392.5</v>
      </c>
      <c r="J25" s="1415">
        <v>383.25</v>
      </c>
      <c r="K25" s="1415">
        <v>369.78</v>
      </c>
      <c r="L25" s="1415">
        <v>366.69</v>
      </c>
      <c r="M25" s="1415">
        <v>384.61</v>
      </c>
      <c r="N25" s="1415">
        <v>392.63</v>
      </c>
    </row>
    <row r="26" spans="1:14">
      <c r="A26" s="1416" t="s">
        <v>412</v>
      </c>
      <c r="B26" s="1414">
        <v>2024</v>
      </c>
      <c r="C26" s="1415">
        <v>405.24</v>
      </c>
      <c r="D26" s="1415">
        <v>407.15</v>
      </c>
      <c r="E26" s="1415">
        <v>415.88</v>
      </c>
      <c r="F26" s="1415">
        <v>428.26</v>
      </c>
      <c r="G26" s="1415">
        <v>444.33</v>
      </c>
      <c r="H26" s="1415">
        <v>448.01</v>
      </c>
      <c r="I26" s="1415">
        <v>421.5</v>
      </c>
      <c r="J26" s="1415">
        <v>412.38</v>
      </c>
      <c r="K26" s="1415">
        <v>421.67</v>
      </c>
      <c r="L26" s="1415">
        <v>421.06</v>
      </c>
      <c r="M26" s="1415">
        <v>415.1</v>
      </c>
      <c r="N26" s="1415">
        <v>413.33</v>
      </c>
    </row>
    <row r="27" spans="1:14">
      <c r="A27" s="1416" t="s">
        <v>412</v>
      </c>
      <c r="B27" s="1414">
        <v>2023</v>
      </c>
      <c r="C27" s="1415">
        <v>513.1</v>
      </c>
      <c r="D27" s="1415">
        <v>514.01</v>
      </c>
      <c r="E27" s="1415">
        <v>491.77</v>
      </c>
      <c r="F27" s="1415">
        <v>450.58</v>
      </c>
      <c r="G27" s="1415">
        <v>418.38</v>
      </c>
      <c r="H27" s="1415">
        <v>421.56</v>
      </c>
      <c r="I27" s="1415">
        <v>416.67</v>
      </c>
      <c r="J27" s="1415">
        <v>422</v>
      </c>
      <c r="K27" s="1415">
        <v>428.75</v>
      </c>
      <c r="L27" s="1415">
        <v>397.34</v>
      </c>
      <c r="M27" s="1415">
        <v>405.57</v>
      </c>
      <c r="N27" s="1415">
        <v>411.99</v>
      </c>
    </row>
    <row r="28" spans="1:14">
      <c r="A28" s="1416" t="s">
        <v>412</v>
      </c>
      <c r="B28" s="1414">
        <v>2022</v>
      </c>
      <c r="C28" s="1415">
        <v>594.13</v>
      </c>
      <c r="D28" s="1415">
        <v>592.11</v>
      </c>
      <c r="E28" s="1415">
        <v>653.5</v>
      </c>
      <c r="F28" s="1423" t="s">
        <v>416</v>
      </c>
      <c r="G28" s="1415">
        <v>631.20000000000005</v>
      </c>
      <c r="H28" s="1415">
        <v>566.66999999999996</v>
      </c>
      <c r="I28" s="1415">
        <v>570.52</v>
      </c>
      <c r="J28" s="1415">
        <v>583.6</v>
      </c>
      <c r="K28" s="1415">
        <v>597.29999999999995</v>
      </c>
      <c r="L28" s="1415">
        <v>605.58000000000004</v>
      </c>
      <c r="M28" s="1415">
        <v>565.47</v>
      </c>
      <c r="N28" s="1415">
        <v>534.35</v>
      </c>
    </row>
    <row r="29" spans="1:14">
      <c r="A29" s="1416" t="s">
        <v>412</v>
      </c>
      <c r="B29" s="1414">
        <v>2021</v>
      </c>
      <c r="C29" s="1415">
        <v>453.45</v>
      </c>
      <c r="D29" s="1415">
        <v>486.39</v>
      </c>
      <c r="E29" s="1415">
        <v>527.05999999999995</v>
      </c>
      <c r="F29" s="1415">
        <v>569.04999999999995</v>
      </c>
      <c r="G29" s="1415">
        <v>630.49</v>
      </c>
      <c r="H29" s="1415">
        <v>626.88</v>
      </c>
      <c r="I29" s="1415">
        <v>497.62</v>
      </c>
      <c r="J29" s="1415">
        <v>512.48</v>
      </c>
      <c r="K29" s="1415">
        <v>530.47</v>
      </c>
      <c r="L29" s="1415">
        <v>571.91999999999996</v>
      </c>
      <c r="M29" s="1415">
        <v>575.51</v>
      </c>
      <c r="N29" s="1415">
        <v>581.91999999999996</v>
      </c>
    </row>
    <row r="30" spans="1:14">
      <c r="A30" s="1416" t="s">
        <v>412</v>
      </c>
      <c r="B30" s="1414">
        <v>2020</v>
      </c>
      <c r="C30" s="1415">
        <v>332.91</v>
      </c>
      <c r="D30" s="1415">
        <v>335.55</v>
      </c>
      <c r="E30" s="1415">
        <v>332.17</v>
      </c>
      <c r="F30" s="1415">
        <v>339.64</v>
      </c>
      <c r="G30" s="1415">
        <v>339.93</v>
      </c>
      <c r="H30" s="1415">
        <v>344.45</v>
      </c>
      <c r="I30" s="1415" t="s">
        <v>416</v>
      </c>
      <c r="J30" s="1415" t="s">
        <v>416</v>
      </c>
      <c r="K30" s="1415">
        <v>352.5</v>
      </c>
      <c r="L30" s="1415">
        <v>364.48</v>
      </c>
      <c r="M30" s="1415">
        <v>384.68</v>
      </c>
      <c r="N30" s="1415">
        <v>412.21</v>
      </c>
    </row>
    <row r="31" spans="1:14">
      <c r="A31" s="1416" t="s">
        <v>412</v>
      </c>
      <c r="B31" s="1414">
        <v>2019</v>
      </c>
      <c r="C31" s="1415">
        <v>344.23</v>
      </c>
      <c r="D31" s="1415">
        <v>339.45</v>
      </c>
      <c r="E31" s="1415">
        <v>327.9</v>
      </c>
      <c r="F31" s="1415">
        <v>325.88</v>
      </c>
      <c r="G31" s="1415">
        <v>316.76</v>
      </c>
      <c r="H31" s="1415">
        <v>319.39</v>
      </c>
      <c r="I31" s="1415">
        <v>326.35000000000002</v>
      </c>
      <c r="J31" s="1415">
        <v>319</v>
      </c>
      <c r="K31" s="1415">
        <v>317.48</v>
      </c>
      <c r="L31" s="1415">
        <v>320.76</v>
      </c>
      <c r="M31" s="1415">
        <v>324.14999999999998</v>
      </c>
      <c r="N31" s="1415">
        <v>325.29000000000002</v>
      </c>
    </row>
    <row r="32" spans="1:14">
      <c r="A32" s="1416" t="s">
        <v>412</v>
      </c>
      <c r="B32" s="1414">
        <v>2018</v>
      </c>
      <c r="C32" s="1415">
        <v>358.27</v>
      </c>
      <c r="D32" s="1415">
        <v>352.7</v>
      </c>
      <c r="E32" s="1415">
        <v>352.3</v>
      </c>
      <c r="F32" s="1415">
        <v>350.77</v>
      </c>
      <c r="G32" s="1415">
        <v>351.49</v>
      </c>
      <c r="H32" s="1415">
        <v>347.23</v>
      </c>
      <c r="I32" s="1415">
        <v>336.81</v>
      </c>
      <c r="J32" s="1415">
        <v>340.24</v>
      </c>
      <c r="K32" s="1415">
        <v>337</v>
      </c>
      <c r="L32" s="1415">
        <v>343.53</v>
      </c>
      <c r="M32" s="1415">
        <v>351.6</v>
      </c>
      <c r="N32" s="1415">
        <v>349.37</v>
      </c>
    </row>
    <row r="33" spans="1:14">
      <c r="A33" s="1416" t="s">
        <v>412</v>
      </c>
      <c r="B33" s="1414">
        <v>2017</v>
      </c>
      <c r="C33" s="1415">
        <v>360</v>
      </c>
      <c r="D33" s="1415">
        <v>366.67</v>
      </c>
      <c r="E33" s="1415">
        <v>360</v>
      </c>
      <c r="F33" s="1415">
        <v>355</v>
      </c>
      <c r="G33" s="1415">
        <v>355.71</v>
      </c>
      <c r="H33" s="1415">
        <v>358.75</v>
      </c>
      <c r="I33" s="1415">
        <v>356.25</v>
      </c>
      <c r="J33" s="1415">
        <v>350.71</v>
      </c>
      <c r="K33" s="1415">
        <v>350.67</v>
      </c>
      <c r="L33" s="1415">
        <v>358.33</v>
      </c>
      <c r="M33" s="1415">
        <v>360.79</v>
      </c>
      <c r="N33" s="1415">
        <v>360.45</v>
      </c>
    </row>
    <row r="34" spans="1:14">
      <c r="A34" s="1416" t="s">
        <v>412</v>
      </c>
      <c r="B34" s="1414">
        <v>2016</v>
      </c>
      <c r="C34" s="1415" t="s">
        <v>416</v>
      </c>
      <c r="D34" s="1415" t="s">
        <v>416</v>
      </c>
      <c r="E34" s="1415" t="s">
        <v>416</v>
      </c>
      <c r="F34" s="1415" t="s">
        <v>416</v>
      </c>
      <c r="G34" s="1415" t="s">
        <v>416</v>
      </c>
      <c r="H34" s="1415" t="s">
        <v>416</v>
      </c>
      <c r="I34" s="1415" t="s">
        <v>416</v>
      </c>
      <c r="J34" s="1415" t="s">
        <v>416</v>
      </c>
      <c r="K34" s="1415" t="s">
        <v>416</v>
      </c>
      <c r="L34" s="1415" t="s">
        <v>416</v>
      </c>
      <c r="M34" s="1415" t="s">
        <v>416</v>
      </c>
      <c r="N34" s="1415" t="s">
        <v>416</v>
      </c>
    </row>
    <row r="35" spans="1:14">
      <c r="A35" s="1416" t="s">
        <v>412</v>
      </c>
      <c r="B35" s="1414">
        <v>2015</v>
      </c>
      <c r="C35" s="1415" t="s">
        <v>416</v>
      </c>
      <c r="D35" s="1415" t="s">
        <v>416</v>
      </c>
      <c r="E35" s="1415" t="s">
        <v>416</v>
      </c>
      <c r="F35" s="1415" t="s">
        <v>416</v>
      </c>
      <c r="G35" s="1415" t="s">
        <v>416</v>
      </c>
      <c r="H35" s="1415" t="s">
        <v>416</v>
      </c>
      <c r="I35" s="1415" t="s">
        <v>416</v>
      </c>
      <c r="J35" s="1415" t="s">
        <v>416</v>
      </c>
      <c r="K35" s="1415" t="s">
        <v>416</v>
      </c>
      <c r="L35" s="1415" t="s">
        <v>416</v>
      </c>
      <c r="M35" s="1415" t="s">
        <v>416</v>
      </c>
      <c r="N35" s="1415" t="s">
        <v>416</v>
      </c>
    </row>
    <row r="36" spans="1:14">
      <c r="A36" s="1416" t="s">
        <v>415</v>
      </c>
      <c r="B36" s="1414">
        <v>2025</v>
      </c>
      <c r="C36" s="1415">
        <v>266.17</v>
      </c>
      <c r="D36" s="1415">
        <v>268</v>
      </c>
      <c r="E36" s="1415">
        <v>268.17</v>
      </c>
      <c r="F36" s="1415">
        <v>258.5</v>
      </c>
      <c r="G36" s="1415">
        <v>259.5</v>
      </c>
      <c r="H36" s="1415" t="s">
        <v>416</v>
      </c>
      <c r="I36" s="1415" t="s">
        <v>416</v>
      </c>
      <c r="J36" s="1415">
        <v>219.5</v>
      </c>
      <c r="K36" s="1415">
        <v>219.5</v>
      </c>
      <c r="L36" s="1415">
        <v>217</v>
      </c>
      <c r="M36" s="1415">
        <v>214.5</v>
      </c>
      <c r="N36" s="1415" t="s">
        <v>416</v>
      </c>
    </row>
    <row r="37" spans="1:14">
      <c r="A37" s="1416" t="s">
        <v>415</v>
      </c>
      <c r="B37" s="1414">
        <v>2024</v>
      </c>
      <c r="C37" s="1415">
        <v>255.3</v>
      </c>
      <c r="D37" s="1415">
        <v>243.5</v>
      </c>
      <c r="E37" s="1415">
        <v>232</v>
      </c>
      <c r="F37" s="1415">
        <v>253.5</v>
      </c>
      <c r="G37" s="1415" t="s">
        <v>416</v>
      </c>
      <c r="H37" s="1415">
        <v>259.17</v>
      </c>
      <c r="I37" s="1415" t="s">
        <v>416</v>
      </c>
      <c r="J37" s="1415">
        <v>259.5</v>
      </c>
      <c r="K37" s="1415">
        <v>264.5</v>
      </c>
      <c r="L37" s="1415">
        <v>251</v>
      </c>
      <c r="M37" s="1415">
        <v>259</v>
      </c>
      <c r="N37" s="1415">
        <v>263.13</v>
      </c>
    </row>
    <row r="38" spans="1:14">
      <c r="A38" s="1416" t="s">
        <v>415</v>
      </c>
      <c r="B38" s="1414">
        <v>2023</v>
      </c>
      <c r="C38" s="1415">
        <v>339.5</v>
      </c>
      <c r="D38" s="1415">
        <v>334.5</v>
      </c>
      <c r="E38" s="1415" t="s">
        <v>416</v>
      </c>
      <c r="F38" s="1415" t="s">
        <v>416</v>
      </c>
      <c r="G38" s="1415">
        <v>284.13</v>
      </c>
      <c r="H38" s="1415">
        <v>262</v>
      </c>
      <c r="I38" s="1415">
        <v>257.5</v>
      </c>
      <c r="J38" s="1415">
        <v>257.3</v>
      </c>
      <c r="K38" s="1415">
        <v>261.25</v>
      </c>
      <c r="L38" s="1415">
        <v>261.5</v>
      </c>
      <c r="M38" s="1415">
        <v>252.83</v>
      </c>
      <c r="N38" s="1415" t="s">
        <v>416</v>
      </c>
    </row>
    <row r="39" spans="1:14">
      <c r="A39" s="1416" t="s">
        <v>415</v>
      </c>
      <c r="B39" s="1414">
        <v>2022</v>
      </c>
      <c r="C39" s="1415">
        <v>292</v>
      </c>
      <c r="D39" s="1415">
        <v>300.43</v>
      </c>
      <c r="E39" s="1415" t="s">
        <v>416</v>
      </c>
      <c r="F39" s="1415" t="s">
        <v>416</v>
      </c>
      <c r="G39" s="1415" t="s">
        <v>416</v>
      </c>
      <c r="H39" s="1415" t="s">
        <v>416</v>
      </c>
      <c r="I39" s="1415">
        <v>324.63</v>
      </c>
      <c r="J39" s="1415">
        <v>344.7</v>
      </c>
      <c r="K39" s="1415">
        <v>359.73</v>
      </c>
      <c r="L39" s="1415">
        <v>370.65</v>
      </c>
      <c r="M39" s="1415">
        <v>350</v>
      </c>
      <c r="N39" s="1415">
        <v>350</v>
      </c>
    </row>
    <row r="40" spans="1:14">
      <c r="A40" s="1416" t="s">
        <v>415</v>
      </c>
      <c r="B40" s="1414">
        <v>2021</v>
      </c>
      <c r="C40" s="1415">
        <v>229</v>
      </c>
      <c r="D40" s="1415">
        <v>226.92</v>
      </c>
      <c r="E40" s="1415">
        <v>237</v>
      </c>
      <c r="F40" s="1415">
        <v>244.1</v>
      </c>
      <c r="G40" s="1415" t="s">
        <v>416</v>
      </c>
      <c r="H40" s="1415" t="s">
        <v>416</v>
      </c>
      <c r="I40" s="1415">
        <v>230.22</v>
      </c>
      <c r="J40" s="1415">
        <v>248.12</v>
      </c>
      <c r="K40" s="1415">
        <v>257.5</v>
      </c>
      <c r="L40" s="1415">
        <v>267.33</v>
      </c>
      <c r="M40" s="1415">
        <v>277.74</v>
      </c>
      <c r="N40" s="1415">
        <v>283.8</v>
      </c>
    </row>
    <row r="41" spans="1:14">
      <c r="A41" s="1416" t="s">
        <v>415</v>
      </c>
      <c r="B41" s="1414">
        <v>2020</v>
      </c>
      <c r="C41" s="1415">
        <v>218.59</v>
      </c>
      <c r="D41" s="1415">
        <v>221.31</v>
      </c>
      <c r="E41" s="1415">
        <v>194</v>
      </c>
      <c r="F41" s="1415">
        <v>201.5</v>
      </c>
      <c r="G41" s="1415">
        <v>201.63</v>
      </c>
      <c r="H41" s="1415">
        <v>202.1</v>
      </c>
      <c r="I41" s="1415">
        <v>212.1</v>
      </c>
      <c r="J41" s="1415">
        <v>200.18</v>
      </c>
      <c r="K41" s="1415">
        <v>194.85</v>
      </c>
      <c r="L41" s="1415">
        <v>202</v>
      </c>
      <c r="M41" s="1415">
        <v>215</v>
      </c>
      <c r="N41" s="1415">
        <v>215.1</v>
      </c>
    </row>
    <row r="42" spans="1:14">
      <c r="A42" s="1416" t="s">
        <v>415</v>
      </c>
      <c r="B42" s="1414">
        <v>2019</v>
      </c>
      <c r="C42" s="1415">
        <v>216.39</v>
      </c>
      <c r="D42" s="1415">
        <v>223.22</v>
      </c>
      <c r="E42" s="1415">
        <v>204</v>
      </c>
      <c r="F42" s="1415" t="s">
        <v>416</v>
      </c>
      <c r="G42" s="1415" t="s">
        <v>416</v>
      </c>
      <c r="H42" s="1415" t="s">
        <v>416</v>
      </c>
      <c r="I42" s="1415">
        <v>186</v>
      </c>
      <c r="J42" s="1415">
        <v>201.25</v>
      </c>
      <c r="K42" s="1415">
        <v>197</v>
      </c>
      <c r="L42" s="1415">
        <v>199.6</v>
      </c>
      <c r="M42" s="1415">
        <v>206.25</v>
      </c>
      <c r="N42" s="1415">
        <v>214.26</v>
      </c>
    </row>
    <row r="43" spans="1:14">
      <c r="A43" s="1416" t="s">
        <v>415</v>
      </c>
      <c r="B43" s="1414">
        <v>2018</v>
      </c>
      <c r="C43" s="1415">
        <v>200</v>
      </c>
      <c r="D43" s="1415">
        <v>200</v>
      </c>
      <c r="E43" s="1415">
        <v>200</v>
      </c>
      <c r="F43" s="1415">
        <v>200</v>
      </c>
      <c r="G43" s="1415">
        <v>200</v>
      </c>
      <c r="H43" s="1415">
        <v>200</v>
      </c>
      <c r="I43" s="1415">
        <v>198.5</v>
      </c>
      <c r="J43" s="1415">
        <v>201.38</v>
      </c>
      <c r="K43" s="1415">
        <v>199.71</v>
      </c>
      <c r="L43" s="1415">
        <v>207.79</v>
      </c>
      <c r="M43" s="1415">
        <v>208.58</v>
      </c>
      <c r="N43" s="1415">
        <v>210.72</v>
      </c>
    </row>
    <row r="44" spans="1:14">
      <c r="A44" s="1416" t="s">
        <v>415</v>
      </c>
      <c r="B44" s="1414">
        <v>2017</v>
      </c>
      <c r="C44" s="1415" t="s">
        <v>416</v>
      </c>
      <c r="D44" s="1415" t="s">
        <v>416</v>
      </c>
      <c r="E44" s="1415" t="s">
        <v>416</v>
      </c>
      <c r="F44" s="1415" t="s">
        <v>416</v>
      </c>
      <c r="G44" s="1415" t="s">
        <v>416</v>
      </c>
      <c r="H44" s="1415" t="s">
        <v>416</v>
      </c>
      <c r="I44" s="1415" t="s">
        <v>416</v>
      </c>
      <c r="J44" s="1415" t="s">
        <v>416</v>
      </c>
      <c r="K44" s="1415">
        <v>200</v>
      </c>
      <c r="L44" s="1415">
        <v>197.86</v>
      </c>
      <c r="M44" s="1415">
        <v>198.5</v>
      </c>
      <c r="N44" s="1415">
        <v>200</v>
      </c>
    </row>
    <row r="45" spans="1:14">
      <c r="A45" s="1416" t="s">
        <v>415</v>
      </c>
      <c r="B45" s="1414">
        <v>2016</v>
      </c>
      <c r="C45" s="1415" t="s">
        <v>416</v>
      </c>
      <c r="D45" s="1415" t="s">
        <v>416</v>
      </c>
      <c r="E45" s="1415" t="s">
        <v>416</v>
      </c>
      <c r="F45" s="1415" t="s">
        <v>416</v>
      </c>
      <c r="G45" s="1415" t="s">
        <v>416</v>
      </c>
      <c r="H45" s="1415" t="s">
        <v>416</v>
      </c>
      <c r="I45" s="1415" t="s">
        <v>416</v>
      </c>
      <c r="J45" s="1415" t="s">
        <v>416</v>
      </c>
      <c r="K45" s="1415" t="s">
        <v>416</v>
      </c>
      <c r="L45" s="1415" t="s">
        <v>416</v>
      </c>
      <c r="M45" s="1415" t="s">
        <v>416</v>
      </c>
      <c r="N45" s="1415" t="s">
        <v>416</v>
      </c>
    </row>
    <row r="46" spans="1:14">
      <c r="A46" s="1416" t="s">
        <v>415</v>
      </c>
      <c r="B46" s="1414">
        <v>2015</v>
      </c>
      <c r="C46" s="1415" t="s">
        <v>416</v>
      </c>
      <c r="D46" s="1415" t="s">
        <v>416</v>
      </c>
      <c r="E46" s="1415" t="s">
        <v>416</v>
      </c>
      <c r="F46" s="1415" t="s">
        <v>416</v>
      </c>
      <c r="G46" s="1415" t="s">
        <v>416</v>
      </c>
      <c r="H46" s="1415" t="s">
        <v>416</v>
      </c>
      <c r="I46" s="1415" t="s">
        <v>416</v>
      </c>
      <c r="J46" s="1415" t="s">
        <v>416</v>
      </c>
      <c r="K46" s="1415" t="s">
        <v>416</v>
      </c>
      <c r="L46" s="1415" t="s">
        <v>416</v>
      </c>
      <c r="M46" s="1415" t="s">
        <v>416</v>
      </c>
      <c r="N46" s="1415" t="s">
        <v>416</v>
      </c>
    </row>
    <row r="47" spans="1:14">
      <c r="A47" s="1420"/>
      <c r="B47" s="1420"/>
      <c r="C47" s="1420"/>
      <c r="D47" s="1420"/>
      <c r="E47" s="1420"/>
      <c r="F47" s="1420"/>
      <c r="G47" s="1420"/>
      <c r="H47" s="1420"/>
      <c r="I47" s="1420"/>
      <c r="J47" s="1420"/>
      <c r="K47" s="1420"/>
      <c r="L47" s="1420"/>
      <c r="M47" s="1420"/>
      <c r="N47" s="1420"/>
    </row>
    <row r="48" spans="1:14">
      <c r="A48" s="1434" t="s">
        <v>463</v>
      </c>
      <c r="B48" s="1420"/>
      <c r="C48" s="1420"/>
      <c r="D48" s="1420"/>
      <c r="E48" s="1420"/>
      <c r="F48" s="1420"/>
      <c r="G48" s="1420"/>
      <c r="H48" s="1420"/>
      <c r="I48" s="1420"/>
      <c r="J48" s="1420"/>
      <c r="K48" s="1420"/>
      <c r="L48" s="1420"/>
      <c r="M48" s="1420"/>
      <c r="N48" s="1420"/>
    </row>
  </sheetData>
  <phoneticPr fontId="75" type="noConversion"/>
  <printOptions horizontalCentered="1"/>
  <pageMargins left="0.27559055118110237" right="0.19685039370078741" top="0.35433070866141736" bottom="0.39370078740157483" header="0.19685039370078741" footer="0.23622047244094491"/>
  <pageSetup paperSize="9" scale="71" orientation="landscape" r:id="rId1"/>
  <headerFooter alignWithMargins="0">
    <oddHeader xml:space="preserve">&amp;R
</oddHeader>
    <oddFooter>&amp;R&amp;10
&amp;12
...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7">
    <tabColor rgb="FF92D050"/>
  </sheetPr>
  <dimension ref="A1:N48"/>
  <sheetViews>
    <sheetView zoomScale="130" zoomScaleNormal="130" zoomScaleSheetLayoutView="55" workbookViewId="0">
      <pane ySplit="2" topLeftCell="A3" activePane="bottomLeft" state="frozen"/>
      <selection activeCell="F8" sqref="F8"/>
      <selection pane="bottomLeft"/>
    </sheetView>
  </sheetViews>
  <sheetFormatPr baseColWidth="10" defaultColWidth="9.69140625" defaultRowHeight="14.15"/>
  <cols>
    <col min="1" max="1" width="35.84375" customWidth="1"/>
    <col min="2" max="2" width="5.53515625" bestFit="1" customWidth="1"/>
    <col min="3" max="14" width="12.69140625" customWidth="1"/>
  </cols>
  <sheetData>
    <row r="1" spans="1:14" ht="18">
      <c r="A1" s="1404" t="s">
        <v>443</v>
      </c>
      <c r="B1" s="1402"/>
      <c r="C1" s="1394"/>
      <c r="D1" s="1394"/>
      <c r="E1" s="1394"/>
      <c r="F1" s="1403"/>
      <c r="G1" s="1403"/>
      <c r="H1" s="1403"/>
      <c r="I1" s="1403"/>
      <c r="J1" s="1403"/>
      <c r="K1" s="1403"/>
      <c r="L1" s="1403"/>
      <c r="M1" s="1403"/>
      <c r="N1" s="1403"/>
    </row>
    <row r="2" spans="1:14">
      <c r="A2" s="1405" t="s">
        <v>460</v>
      </c>
      <c r="B2" s="1406" t="s">
        <v>118</v>
      </c>
      <c r="C2" s="1406" t="s">
        <v>420</v>
      </c>
      <c r="D2" s="1406" t="s">
        <v>423</v>
      </c>
      <c r="E2" s="1406" t="s">
        <v>424</v>
      </c>
      <c r="F2" s="1406" t="s">
        <v>425</v>
      </c>
      <c r="G2" s="1406" t="s">
        <v>411</v>
      </c>
      <c r="H2" s="1406" t="s">
        <v>426</v>
      </c>
      <c r="I2" s="1406" t="s">
        <v>427</v>
      </c>
      <c r="J2" s="1406" t="s">
        <v>428</v>
      </c>
      <c r="K2" s="1406" t="s">
        <v>429</v>
      </c>
      <c r="L2" s="1406" t="s">
        <v>430</v>
      </c>
      <c r="M2" s="1406" t="s">
        <v>431</v>
      </c>
      <c r="N2" s="1406" t="s">
        <v>432</v>
      </c>
    </row>
    <row r="3" spans="1:14">
      <c r="A3" s="1410" t="s">
        <v>453</v>
      </c>
      <c r="B3" s="1414">
        <v>2025</v>
      </c>
      <c r="C3" s="1415">
        <v>579.22</v>
      </c>
      <c r="D3" s="1415">
        <v>549.53</v>
      </c>
      <c r="E3" s="1415">
        <v>598.05999999999995</v>
      </c>
      <c r="F3" s="1415">
        <v>586.73</v>
      </c>
      <c r="G3" s="1415">
        <v>568.94000000000005</v>
      </c>
      <c r="H3" s="1415">
        <v>553.76</v>
      </c>
      <c r="I3" s="1415">
        <v>530.71</v>
      </c>
      <c r="J3" s="1415">
        <v>547.05999999999995</v>
      </c>
      <c r="K3" s="1415">
        <v>532.47</v>
      </c>
      <c r="L3" s="1415">
        <v>544.73</v>
      </c>
      <c r="M3" s="1415">
        <v>554.67999999999995</v>
      </c>
      <c r="N3" s="1413">
        <v>539.84</v>
      </c>
    </row>
    <row r="4" spans="1:14">
      <c r="A4" s="1410" t="s">
        <v>453</v>
      </c>
      <c r="B4" s="1414">
        <v>2024</v>
      </c>
      <c r="C4" s="1415">
        <v>580.13</v>
      </c>
      <c r="D4" s="1415">
        <v>562.65</v>
      </c>
      <c r="E4" s="1415">
        <v>563.95000000000005</v>
      </c>
      <c r="F4" s="1415">
        <v>552.92999999999995</v>
      </c>
      <c r="G4" s="1415">
        <v>558.57000000000005</v>
      </c>
      <c r="H4" s="1415">
        <v>527.36</v>
      </c>
      <c r="I4" s="1415">
        <v>542.41</v>
      </c>
      <c r="J4" s="1415">
        <v>536.84</v>
      </c>
      <c r="K4" s="1415">
        <v>537.44000000000005</v>
      </c>
      <c r="L4" s="1415">
        <v>548.24</v>
      </c>
      <c r="M4" s="1415">
        <v>544.66</v>
      </c>
      <c r="N4" s="1413">
        <v>571.88</v>
      </c>
    </row>
    <row r="5" spans="1:14">
      <c r="A5" s="1410" t="s">
        <v>453</v>
      </c>
      <c r="B5" s="1414">
        <v>2023</v>
      </c>
      <c r="C5" s="1415">
        <v>674.53</v>
      </c>
      <c r="D5" s="1415">
        <v>646.63</v>
      </c>
      <c r="E5" s="1415">
        <v>641.75</v>
      </c>
      <c r="F5" s="1415">
        <v>598.64</v>
      </c>
      <c r="G5" s="1415">
        <v>595.22</v>
      </c>
      <c r="H5" s="1415">
        <v>550.11</v>
      </c>
      <c r="I5" s="1415">
        <v>540.20000000000005</v>
      </c>
      <c r="J5" s="1415">
        <v>525.16</v>
      </c>
      <c r="K5" s="1415">
        <v>563.24</v>
      </c>
      <c r="L5" s="1415">
        <v>542.77</v>
      </c>
      <c r="M5" s="1415">
        <v>546.35</v>
      </c>
      <c r="N5" s="1413">
        <v>555.25</v>
      </c>
    </row>
    <row r="6" spans="1:14">
      <c r="A6" s="1410" t="s">
        <v>453</v>
      </c>
      <c r="B6" s="1414">
        <v>2022</v>
      </c>
      <c r="C6" s="1415">
        <v>546.78</v>
      </c>
      <c r="D6" s="1415">
        <v>555.17999999999995</v>
      </c>
      <c r="E6" s="1415">
        <v>606.41</v>
      </c>
      <c r="F6" s="1415">
        <v>669.91</v>
      </c>
      <c r="G6" s="1415">
        <v>642.14</v>
      </c>
      <c r="H6" s="1415">
        <v>651.20000000000005</v>
      </c>
      <c r="I6" s="1415">
        <v>666.67</v>
      </c>
      <c r="J6" s="1415">
        <v>628.89</v>
      </c>
      <c r="K6" s="1415">
        <v>646.29999999999995</v>
      </c>
      <c r="L6" s="1415">
        <v>658.41</v>
      </c>
      <c r="M6" s="1415">
        <v>642.44000000000005</v>
      </c>
      <c r="N6" s="1413">
        <v>659.45</v>
      </c>
    </row>
    <row r="7" spans="1:14">
      <c r="A7" s="1410" t="s">
        <v>453</v>
      </c>
      <c r="B7" s="1414">
        <v>2021</v>
      </c>
      <c r="C7" s="1415">
        <v>476.57</v>
      </c>
      <c r="D7" s="1415">
        <v>479.47</v>
      </c>
      <c r="E7" s="1415">
        <v>466.56</v>
      </c>
      <c r="F7" s="1415">
        <v>474.07</v>
      </c>
      <c r="G7" s="1415">
        <v>476.11</v>
      </c>
      <c r="H7" s="1415">
        <v>460.35</v>
      </c>
      <c r="I7" s="1415" t="s">
        <v>416</v>
      </c>
      <c r="J7" s="1415">
        <v>450.54</v>
      </c>
      <c r="K7" s="1415">
        <v>465.74</v>
      </c>
      <c r="L7" s="1415">
        <v>477.58</v>
      </c>
      <c r="M7" s="1415">
        <v>488.26</v>
      </c>
      <c r="N7" s="1413">
        <v>539.08000000000004</v>
      </c>
    </row>
    <row r="8" spans="1:14">
      <c r="A8" s="1410" t="s">
        <v>453</v>
      </c>
      <c r="B8" s="1414">
        <v>2020</v>
      </c>
      <c r="C8" s="1415">
        <v>453.37</v>
      </c>
      <c r="D8" s="1415">
        <v>472.46</v>
      </c>
      <c r="E8" s="1415">
        <v>482.75</v>
      </c>
      <c r="F8" s="1415">
        <v>482.07</v>
      </c>
      <c r="G8" s="1415" t="s">
        <v>416</v>
      </c>
      <c r="H8" s="1415">
        <v>448.57</v>
      </c>
      <c r="I8" s="1415">
        <v>448.06</v>
      </c>
      <c r="J8" s="1415" t="s">
        <v>416</v>
      </c>
      <c r="K8" s="1415">
        <v>472.1</v>
      </c>
      <c r="L8" s="1415">
        <v>467.63</v>
      </c>
      <c r="M8" s="1415">
        <v>469.59</v>
      </c>
      <c r="N8" s="1413">
        <v>481.75</v>
      </c>
    </row>
    <row r="9" spans="1:14">
      <c r="A9" s="1410" t="s">
        <v>453</v>
      </c>
      <c r="B9" s="1414">
        <v>2019</v>
      </c>
      <c r="C9" s="1415">
        <v>476.18</v>
      </c>
      <c r="D9" s="1415">
        <v>471.86</v>
      </c>
      <c r="E9" s="1415">
        <v>481.91</v>
      </c>
      <c r="F9" s="1415">
        <v>485.91</v>
      </c>
      <c r="G9" s="1415">
        <v>475</v>
      </c>
      <c r="H9" s="1415">
        <v>463.7</v>
      </c>
      <c r="I9" s="1415">
        <v>458.68</v>
      </c>
      <c r="J9" s="1415">
        <v>455.66</v>
      </c>
      <c r="K9" s="1415">
        <v>460.45</v>
      </c>
      <c r="L9" s="1415">
        <v>460.15</v>
      </c>
      <c r="M9" s="1415">
        <v>470.26</v>
      </c>
      <c r="N9" s="1413">
        <v>470.51</v>
      </c>
    </row>
    <row r="10" spans="1:14">
      <c r="A10" s="1410" t="s">
        <v>453</v>
      </c>
      <c r="B10" s="1414">
        <v>2018</v>
      </c>
      <c r="C10" s="1415">
        <v>460.24</v>
      </c>
      <c r="D10" s="1415">
        <v>461.48</v>
      </c>
      <c r="E10" s="1415">
        <v>470.19</v>
      </c>
      <c r="F10" s="1415">
        <v>462.75</v>
      </c>
      <c r="G10" s="1415">
        <v>462.62</v>
      </c>
      <c r="H10" s="1415">
        <v>443.75</v>
      </c>
      <c r="I10" s="1415">
        <v>449.36</v>
      </c>
      <c r="J10" s="1415">
        <v>455.16</v>
      </c>
      <c r="K10" s="1415">
        <v>465.15</v>
      </c>
      <c r="L10" s="1415">
        <v>464.12</v>
      </c>
      <c r="M10" s="1415">
        <v>467.95</v>
      </c>
      <c r="N10" s="1413">
        <v>465.65</v>
      </c>
    </row>
    <row r="11" spans="1:14">
      <c r="A11" s="1410" t="s">
        <v>453</v>
      </c>
      <c r="B11" s="1414">
        <v>2017</v>
      </c>
      <c r="C11" s="1415">
        <v>467.46</v>
      </c>
      <c r="D11" s="1415">
        <v>475.52</v>
      </c>
      <c r="E11" s="1415">
        <v>474.8</v>
      </c>
      <c r="F11" s="1415">
        <v>476.37</v>
      </c>
      <c r="G11" s="1415">
        <v>473.7</v>
      </c>
      <c r="H11" s="1415">
        <v>473.93</v>
      </c>
      <c r="I11" s="1415">
        <v>462.92</v>
      </c>
      <c r="J11" s="1415">
        <v>445.61</v>
      </c>
      <c r="K11" s="1415">
        <v>450.6</v>
      </c>
      <c r="L11" s="1415">
        <v>452.94</v>
      </c>
      <c r="M11" s="1415">
        <v>462.43</v>
      </c>
      <c r="N11" s="1413">
        <v>458.4</v>
      </c>
    </row>
    <row r="12" spans="1:14">
      <c r="A12" s="1410" t="s">
        <v>453</v>
      </c>
      <c r="B12" s="1414">
        <v>2016</v>
      </c>
      <c r="C12" s="1415">
        <v>458.2</v>
      </c>
      <c r="D12" s="1415">
        <v>463.4</v>
      </c>
      <c r="E12" s="1415">
        <v>464.38</v>
      </c>
      <c r="F12" s="1415">
        <v>464.38</v>
      </c>
      <c r="G12" s="1415">
        <v>451</v>
      </c>
      <c r="H12" s="1415">
        <v>446.79</v>
      </c>
      <c r="I12" s="1415">
        <v>439.41</v>
      </c>
      <c r="J12" s="1415">
        <v>443.82</v>
      </c>
      <c r="K12" s="1415">
        <v>447.86</v>
      </c>
      <c r="L12" s="1415">
        <v>457.35</v>
      </c>
      <c r="M12" s="1415">
        <v>460.86</v>
      </c>
      <c r="N12" s="1413">
        <v>466.61</v>
      </c>
    </row>
    <row r="13" spans="1:14">
      <c r="A13" s="1410" t="s">
        <v>453</v>
      </c>
      <c r="B13" s="1414">
        <v>2015</v>
      </c>
      <c r="C13" s="1415">
        <v>433.41</v>
      </c>
      <c r="D13" s="1415">
        <v>429.69</v>
      </c>
      <c r="E13" s="1415">
        <v>429.47</v>
      </c>
      <c r="F13" s="1415">
        <v>418.22</v>
      </c>
      <c r="G13" s="1415">
        <v>418.62</v>
      </c>
      <c r="H13" s="1415">
        <v>417.51</v>
      </c>
      <c r="I13" s="1415">
        <v>426.93</v>
      </c>
      <c r="J13" s="1415">
        <v>441.3</v>
      </c>
      <c r="K13" s="1415">
        <v>439.38</v>
      </c>
      <c r="L13" s="1415">
        <v>441.14</v>
      </c>
      <c r="M13" s="1415">
        <v>439.2</v>
      </c>
      <c r="N13" s="1412">
        <v>447.75</v>
      </c>
    </row>
    <row r="14" spans="1:14">
      <c r="A14" s="1410" t="s">
        <v>455</v>
      </c>
      <c r="B14" s="1414">
        <v>2025</v>
      </c>
      <c r="C14" s="1415">
        <v>545.67999999999995</v>
      </c>
      <c r="D14" s="1415">
        <v>537.19000000000005</v>
      </c>
      <c r="E14" s="1415">
        <v>553.72</v>
      </c>
      <c r="F14" s="1415">
        <v>546.42999999999995</v>
      </c>
      <c r="G14" s="1415">
        <v>539.76</v>
      </c>
      <c r="H14" s="1415">
        <v>524.6</v>
      </c>
      <c r="I14" s="1415">
        <v>513.62</v>
      </c>
      <c r="J14" s="1415">
        <v>525</v>
      </c>
      <c r="K14" s="1415">
        <v>512.89</v>
      </c>
      <c r="L14" s="1415">
        <v>511.28</v>
      </c>
      <c r="M14" s="1415">
        <v>525.32000000000005</v>
      </c>
      <c r="N14" s="1412">
        <v>503.33</v>
      </c>
    </row>
    <row r="15" spans="1:14">
      <c r="A15" s="1410" t="s">
        <v>455</v>
      </c>
      <c r="B15" s="1414">
        <v>2024</v>
      </c>
      <c r="C15" s="1415">
        <v>540.6</v>
      </c>
      <c r="D15" s="1415">
        <v>522.38</v>
      </c>
      <c r="E15" s="1415">
        <v>528</v>
      </c>
      <c r="F15" s="1415">
        <v>514.97</v>
      </c>
      <c r="G15" s="1415">
        <v>518.57000000000005</v>
      </c>
      <c r="H15" s="1415">
        <v>496.43</v>
      </c>
      <c r="I15" s="1415">
        <v>487.38</v>
      </c>
      <c r="J15" s="1415">
        <v>483.11</v>
      </c>
      <c r="K15" s="1415">
        <v>502.42</v>
      </c>
      <c r="L15" s="1415">
        <v>508.27</v>
      </c>
      <c r="M15" s="1415">
        <v>517.1</v>
      </c>
      <c r="N15" s="1412">
        <v>528</v>
      </c>
    </row>
    <row r="16" spans="1:14">
      <c r="A16" s="1410" t="s">
        <v>455</v>
      </c>
      <c r="B16" s="1414">
        <v>2023</v>
      </c>
      <c r="C16" s="1415">
        <v>638.33000000000004</v>
      </c>
      <c r="D16" s="1415">
        <v>627.03</v>
      </c>
      <c r="E16" s="1415">
        <v>619.64</v>
      </c>
      <c r="F16" s="1415">
        <v>557.94000000000005</v>
      </c>
      <c r="G16" s="1415">
        <v>590.86</v>
      </c>
      <c r="H16" s="1415">
        <v>521.11</v>
      </c>
      <c r="I16" s="1415">
        <v>510.64</v>
      </c>
      <c r="J16" s="1415">
        <v>474.62</v>
      </c>
      <c r="K16" s="1415">
        <v>513.37</v>
      </c>
      <c r="L16" s="1415">
        <v>494.8</v>
      </c>
      <c r="M16" s="1415">
        <v>508.27</v>
      </c>
      <c r="N16" s="1412">
        <v>483.57</v>
      </c>
    </row>
    <row r="17" spans="1:14">
      <c r="A17" s="1410" t="s">
        <v>455</v>
      </c>
      <c r="B17" s="1414">
        <v>2022</v>
      </c>
      <c r="C17" s="1415">
        <v>553.89</v>
      </c>
      <c r="D17" s="1415">
        <v>593.17999999999995</v>
      </c>
      <c r="E17" s="1415">
        <v>604.71</v>
      </c>
      <c r="F17" s="1415">
        <v>665.28</v>
      </c>
      <c r="G17" s="1415">
        <v>674</v>
      </c>
      <c r="H17" s="1415">
        <v>642.58000000000004</v>
      </c>
      <c r="I17" s="1415">
        <v>611.07000000000005</v>
      </c>
      <c r="J17" s="1415">
        <v>627.46</v>
      </c>
      <c r="K17" s="1415">
        <v>646.23</v>
      </c>
      <c r="L17" s="1415">
        <v>643.70000000000005</v>
      </c>
      <c r="M17" s="1415">
        <v>633.71</v>
      </c>
      <c r="N17" s="1412">
        <v>655.89</v>
      </c>
    </row>
    <row r="18" spans="1:14">
      <c r="A18" s="1410" t="s">
        <v>455</v>
      </c>
      <c r="B18" s="1414">
        <v>2021</v>
      </c>
      <c r="C18" s="1415">
        <v>463.52</v>
      </c>
      <c r="D18" s="1415">
        <v>464.71</v>
      </c>
      <c r="E18" s="1415">
        <v>465.7</v>
      </c>
      <c r="F18" s="1415">
        <v>464.23</v>
      </c>
      <c r="G18" s="1415">
        <v>451.82</v>
      </c>
      <c r="H18" s="1415">
        <v>459.22</v>
      </c>
      <c r="I18" s="1415" t="s">
        <v>416</v>
      </c>
      <c r="J18" s="1415">
        <v>448.85</v>
      </c>
      <c r="K18" s="1415">
        <v>473.72</v>
      </c>
      <c r="L18" s="1415">
        <v>475</v>
      </c>
      <c r="M18" s="1415">
        <v>514.76</v>
      </c>
      <c r="N18" s="1412">
        <v>551.32000000000005</v>
      </c>
    </row>
    <row r="19" spans="1:14">
      <c r="A19" s="1410" t="s">
        <v>455</v>
      </c>
      <c r="B19" s="1414">
        <v>2020</v>
      </c>
      <c r="C19" s="1415">
        <v>437.55</v>
      </c>
      <c r="D19" s="1415">
        <v>431.16</v>
      </c>
      <c r="E19" s="1415">
        <v>429.83</v>
      </c>
      <c r="F19" s="1415">
        <v>433.39</v>
      </c>
      <c r="G19" s="1415">
        <v>436.73</v>
      </c>
      <c r="H19" s="1415">
        <v>425.65</v>
      </c>
      <c r="I19" s="1415">
        <v>435.96</v>
      </c>
      <c r="J19" s="1415">
        <v>436.49</v>
      </c>
      <c r="K19" s="1415">
        <v>416.15</v>
      </c>
      <c r="L19" s="1415">
        <v>440.5</v>
      </c>
      <c r="M19" s="1415">
        <v>442.32</v>
      </c>
      <c r="N19" s="1415">
        <v>444.38</v>
      </c>
    </row>
    <row r="20" spans="1:14">
      <c r="A20" s="1410" t="s">
        <v>455</v>
      </c>
      <c r="B20" s="1414">
        <v>2019</v>
      </c>
      <c r="C20" s="1415">
        <v>465.88</v>
      </c>
      <c r="D20" s="1415">
        <v>463.78</v>
      </c>
      <c r="E20" s="1415">
        <v>455.94</v>
      </c>
      <c r="F20" s="1415">
        <v>458.63</v>
      </c>
      <c r="G20" s="1415">
        <v>455</v>
      </c>
      <c r="H20" s="1415">
        <v>446.14</v>
      </c>
      <c r="I20" s="1415">
        <v>436.06</v>
      </c>
      <c r="J20" s="1415">
        <v>450.69</v>
      </c>
      <c r="K20" s="1415">
        <v>429.77</v>
      </c>
      <c r="L20" s="1415">
        <v>428.86</v>
      </c>
      <c r="M20" s="1415">
        <v>465.36</v>
      </c>
      <c r="N20" s="1412">
        <v>444.43</v>
      </c>
    </row>
    <row r="21" spans="1:14">
      <c r="A21" s="1410" t="s">
        <v>455</v>
      </c>
      <c r="B21" s="1414">
        <v>2018</v>
      </c>
      <c r="C21" s="1415">
        <v>467.38</v>
      </c>
      <c r="D21" s="1415">
        <v>465.77</v>
      </c>
      <c r="E21" s="1415">
        <v>467.19</v>
      </c>
      <c r="F21" s="1415">
        <v>459.71</v>
      </c>
      <c r="G21" s="1415">
        <v>456.79</v>
      </c>
      <c r="H21" s="1415">
        <v>447.91</v>
      </c>
      <c r="I21" s="1415">
        <v>451.98</v>
      </c>
      <c r="J21" s="1415">
        <v>453.29</v>
      </c>
      <c r="K21" s="1415">
        <v>462.83</v>
      </c>
      <c r="L21" s="1415">
        <v>460.82</v>
      </c>
      <c r="M21" s="1415">
        <v>461.14</v>
      </c>
      <c r="N21" s="1412">
        <v>461.11</v>
      </c>
    </row>
    <row r="22" spans="1:14">
      <c r="A22" s="1410" t="s">
        <v>455</v>
      </c>
      <c r="B22" s="1414">
        <v>2017</v>
      </c>
      <c r="C22" s="1415">
        <v>468.95</v>
      </c>
      <c r="D22" s="1415">
        <v>475.76</v>
      </c>
      <c r="E22" s="1415">
        <v>475.56</v>
      </c>
      <c r="F22" s="1415">
        <v>479</v>
      </c>
      <c r="G22" s="1415">
        <v>473.51</v>
      </c>
      <c r="H22" s="1415">
        <v>474.27</v>
      </c>
      <c r="I22" s="1415">
        <v>462.43</v>
      </c>
      <c r="J22" s="1415">
        <v>454.74</v>
      </c>
      <c r="K22" s="1415">
        <v>459.23</v>
      </c>
      <c r="L22" s="1415">
        <v>463.52</v>
      </c>
      <c r="M22" s="1415">
        <v>467.91</v>
      </c>
      <c r="N22" s="1412">
        <v>464.69</v>
      </c>
    </row>
    <row r="23" spans="1:14">
      <c r="A23" s="1410" t="s">
        <v>455</v>
      </c>
      <c r="B23" s="1414">
        <v>2016</v>
      </c>
      <c r="C23" s="1415">
        <v>466.26</v>
      </c>
      <c r="D23" s="1415">
        <v>469.11</v>
      </c>
      <c r="E23" s="1415">
        <v>469.8</v>
      </c>
      <c r="F23" s="1415">
        <v>475.55</v>
      </c>
      <c r="G23" s="1415">
        <v>463.74</v>
      </c>
      <c r="H23" s="1415">
        <v>448.23</v>
      </c>
      <c r="I23" s="1415">
        <v>446.01</v>
      </c>
      <c r="J23" s="1415">
        <v>450.23</v>
      </c>
      <c r="K23" s="1415">
        <v>455.09</v>
      </c>
      <c r="L23" s="1415">
        <v>463.62</v>
      </c>
      <c r="M23" s="1415">
        <v>466.32</v>
      </c>
      <c r="N23" s="1412">
        <v>471.3</v>
      </c>
    </row>
    <row r="24" spans="1:14">
      <c r="A24" s="1410" t="s">
        <v>455</v>
      </c>
      <c r="B24" s="1414">
        <v>2015</v>
      </c>
      <c r="C24" s="1415">
        <v>438.78</v>
      </c>
      <c r="D24" s="1415">
        <v>433.59</v>
      </c>
      <c r="E24" s="1415">
        <v>433.94</v>
      </c>
      <c r="F24" s="1415">
        <v>435.78</v>
      </c>
      <c r="G24" s="1415">
        <v>438.98</v>
      </c>
      <c r="H24" s="1415">
        <v>435.08</v>
      </c>
      <c r="I24" s="1415">
        <v>437.66</v>
      </c>
      <c r="J24" s="1415">
        <v>443.91</v>
      </c>
      <c r="K24" s="1415">
        <v>443.68</v>
      </c>
      <c r="L24" s="1415">
        <v>450</v>
      </c>
      <c r="M24" s="1415">
        <v>446.72</v>
      </c>
      <c r="N24" s="1412">
        <v>456.34</v>
      </c>
    </row>
    <row r="25" spans="1:14">
      <c r="A25" s="1417" t="s">
        <v>454</v>
      </c>
      <c r="B25" s="1414">
        <v>2025</v>
      </c>
      <c r="C25" s="1415">
        <v>611.15</v>
      </c>
      <c r="D25" s="1415" t="s">
        <v>416</v>
      </c>
      <c r="E25" s="1415" t="s">
        <v>416</v>
      </c>
      <c r="F25" s="1415" t="s">
        <v>416</v>
      </c>
      <c r="G25" s="1415" t="s">
        <v>416</v>
      </c>
      <c r="H25" s="1415" t="s">
        <v>416</v>
      </c>
      <c r="I25" s="1415" t="s">
        <v>416</v>
      </c>
      <c r="J25" s="1415" t="s">
        <v>416</v>
      </c>
      <c r="K25" s="1415" t="s">
        <v>416</v>
      </c>
      <c r="L25" s="1415">
        <v>574</v>
      </c>
      <c r="M25" s="1415" t="s">
        <v>416</v>
      </c>
      <c r="N25" s="1412" t="s">
        <v>416</v>
      </c>
    </row>
    <row r="26" spans="1:14">
      <c r="A26" s="1417" t="s">
        <v>454</v>
      </c>
      <c r="B26" s="1414">
        <v>2024</v>
      </c>
      <c r="C26" s="1415" t="s">
        <v>416</v>
      </c>
      <c r="D26" s="1415" t="s">
        <v>416</v>
      </c>
      <c r="E26" s="1415" t="s">
        <v>416</v>
      </c>
      <c r="F26" s="1415" t="s">
        <v>416</v>
      </c>
      <c r="G26" s="1415" t="s">
        <v>416</v>
      </c>
      <c r="H26" s="1415" t="s">
        <v>416</v>
      </c>
      <c r="I26" s="1415">
        <v>595.83000000000004</v>
      </c>
      <c r="J26" s="1415" t="s">
        <v>416</v>
      </c>
      <c r="K26" s="1415" t="s">
        <v>416</v>
      </c>
      <c r="L26" s="1415">
        <v>580</v>
      </c>
      <c r="M26" s="1415">
        <v>563.13</v>
      </c>
      <c r="N26" s="1412">
        <v>600.38</v>
      </c>
    </row>
    <row r="27" spans="1:14">
      <c r="A27" s="1417" t="s">
        <v>454</v>
      </c>
      <c r="B27" s="1414">
        <v>2023</v>
      </c>
      <c r="C27" s="1415" t="s">
        <v>416</v>
      </c>
      <c r="D27" s="1415" t="s">
        <v>416</v>
      </c>
      <c r="E27" s="1415" t="s">
        <v>416</v>
      </c>
      <c r="F27" s="1415" t="s">
        <v>416</v>
      </c>
      <c r="G27" s="1415" t="s">
        <v>416</v>
      </c>
      <c r="H27" s="1415" t="s">
        <v>416</v>
      </c>
      <c r="I27" s="1415" t="s">
        <v>416</v>
      </c>
      <c r="J27" s="1415">
        <v>610</v>
      </c>
      <c r="K27" s="1415" t="s">
        <v>416</v>
      </c>
      <c r="L27" s="1415" t="s">
        <v>416</v>
      </c>
      <c r="M27" s="1415" t="s">
        <v>416</v>
      </c>
      <c r="N27" s="1415" t="s">
        <v>416</v>
      </c>
    </row>
    <row r="28" spans="1:14">
      <c r="A28" s="1417" t="s">
        <v>454</v>
      </c>
      <c r="B28" s="1414">
        <v>2022</v>
      </c>
      <c r="C28" s="1415">
        <v>587.69000000000005</v>
      </c>
      <c r="D28" s="1415" t="s">
        <v>416</v>
      </c>
      <c r="E28" s="1415" t="s">
        <v>416</v>
      </c>
      <c r="F28" s="1415" t="s">
        <v>416</v>
      </c>
      <c r="G28" s="1415" t="s">
        <v>416</v>
      </c>
      <c r="H28" s="1415">
        <v>669.09</v>
      </c>
      <c r="I28" s="1415">
        <v>677.33</v>
      </c>
      <c r="J28" s="1415" t="s">
        <v>416</v>
      </c>
      <c r="K28" s="1415">
        <v>678.43</v>
      </c>
      <c r="L28" s="1415" t="s">
        <v>416</v>
      </c>
      <c r="M28" s="1415">
        <v>714.67</v>
      </c>
      <c r="N28" s="1415" t="s">
        <v>416</v>
      </c>
    </row>
    <row r="29" spans="1:14">
      <c r="A29" s="1417" t="s">
        <v>454</v>
      </c>
      <c r="B29" s="1414">
        <v>2021</v>
      </c>
      <c r="C29" s="1415">
        <v>507.86</v>
      </c>
      <c r="D29" s="1415">
        <v>500</v>
      </c>
      <c r="E29" s="1415" t="s">
        <v>416</v>
      </c>
      <c r="F29" s="1415" t="s">
        <v>416</v>
      </c>
      <c r="G29" s="1415" t="s">
        <v>416</v>
      </c>
      <c r="H29" s="1415">
        <v>482.94</v>
      </c>
      <c r="I29" s="1415" t="s">
        <v>416</v>
      </c>
      <c r="J29" s="1415" t="s">
        <v>416</v>
      </c>
      <c r="K29" s="1415">
        <v>530</v>
      </c>
      <c r="L29" s="1415" t="s">
        <v>416</v>
      </c>
      <c r="M29" s="1415">
        <v>549.69000000000005</v>
      </c>
      <c r="N29" s="1415" t="s">
        <v>416</v>
      </c>
    </row>
    <row r="30" spans="1:14">
      <c r="A30" s="1417" t="s">
        <v>454</v>
      </c>
      <c r="B30" s="1414">
        <v>2020</v>
      </c>
      <c r="C30" s="1415" t="s">
        <v>416</v>
      </c>
      <c r="D30" s="1415" t="s">
        <v>416</v>
      </c>
      <c r="E30" s="1415" t="s">
        <v>416</v>
      </c>
      <c r="F30" s="1415">
        <v>507.04</v>
      </c>
      <c r="G30" s="1415" t="s">
        <v>416</v>
      </c>
      <c r="H30" s="1415">
        <v>445</v>
      </c>
      <c r="I30" s="1415">
        <v>491.3</v>
      </c>
      <c r="J30" s="1415" t="s">
        <v>416</v>
      </c>
      <c r="K30" s="1415" t="s">
        <v>416</v>
      </c>
      <c r="L30" s="1415">
        <v>479.38</v>
      </c>
      <c r="M30" s="1415">
        <v>507.92</v>
      </c>
      <c r="N30" s="1415" t="s">
        <v>416</v>
      </c>
    </row>
    <row r="31" spans="1:14">
      <c r="A31" s="1417" t="s">
        <v>454</v>
      </c>
      <c r="B31" s="1414">
        <v>2019</v>
      </c>
      <c r="C31" s="1415">
        <v>500</v>
      </c>
      <c r="D31" s="1415">
        <v>505.71</v>
      </c>
      <c r="E31" s="1415" t="s">
        <v>416</v>
      </c>
      <c r="F31" s="1415" t="s">
        <v>416</v>
      </c>
      <c r="G31" s="1415" t="s">
        <v>416</v>
      </c>
      <c r="H31" s="1415" t="s">
        <v>416</v>
      </c>
      <c r="I31" s="1415">
        <v>457.73</v>
      </c>
      <c r="J31" s="1415" t="s">
        <v>416</v>
      </c>
      <c r="K31" s="1415" t="s">
        <v>416</v>
      </c>
      <c r="L31" s="1415">
        <v>491.25</v>
      </c>
      <c r="M31" s="1415" t="s">
        <v>416</v>
      </c>
      <c r="N31" s="1415" t="s">
        <v>416</v>
      </c>
    </row>
    <row r="32" spans="1:14">
      <c r="A32" s="1417" t="s">
        <v>454</v>
      </c>
      <c r="B32" s="1414">
        <v>2018</v>
      </c>
      <c r="C32" s="1415" t="s">
        <v>416</v>
      </c>
      <c r="D32" s="1415">
        <v>516</v>
      </c>
      <c r="E32" s="1415" t="s">
        <v>416</v>
      </c>
      <c r="F32" s="1415" t="s">
        <v>416</v>
      </c>
      <c r="G32" s="1415" t="s">
        <v>416</v>
      </c>
      <c r="H32" s="1415" t="s">
        <v>416</v>
      </c>
      <c r="I32" s="1415" t="s">
        <v>416</v>
      </c>
      <c r="J32" s="1415">
        <v>477</v>
      </c>
      <c r="K32" s="1415">
        <v>492.94</v>
      </c>
      <c r="L32" s="1415">
        <v>484.33</v>
      </c>
      <c r="M32" s="1415">
        <v>506.32</v>
      </c>
      <c r="N32" s="1415">
        <v>506</v>
      </c>
    </row>
    <row r="33" spans="1:14">
      <c r="A33" s="1417" t="s">
        <v>454</v>
      </c>
      <c r="B33" s="1414">
        <v>2017</v>
      </c>
      <c r="C33" s="1415">
        <v>476.15</v>
      </c>
      <c r="D33" s="1415" t="s">
        <v>416</v>
      </c>
      <c r="E33" s="1415" t="s">
        <v>416</v>
      </c>
      <c r="F33" s="1415" t="s">
        <v>416</v>
      </c>
      <c r="G33" s="1415" t="s">
        <v>416</v>
      </c>
      <c r="H33" s="1415" t="s">
        <v>416</v>
      </c>
      <c r="I33" s="1415">
        <v>475</v>
      </c>
      <c r="J33" s="1415" t="s">
        <v>416</v>
      </c>
      <c r="K33" s="1415" t="s">
        <v>416</v>
      </c>
      <c r="L33" s="1415">
        <v>501.9</v>
      </c>
      <c r="M33" s="1415">
        <v>493.6</v>
      </c>
      <c r="N33" s="1415">
        <v>501.74</v>
      </c>
    </row>
    <row r="34" spans="1:14">
      <c r="A34" s="1417" t="s">
        <v>454</v>
      </c>
      <c r="B34" s="1414">
        <v>2016</v>
      </c>
      <c r="C34" s="1415">
        <v>468.81</v>
      </c>
      <c r="D34" s="1415">
        <v>472.61</v>
      </c>
      <c r="E34" s="1415">
        <v>474.66</v>
      </c>
      <c r="F34" s="1415" t="s">
        <v>416</v>
      </c>
      <c r="G34" s="1415" t="s">
        <v>416</v>
      </c>
      <c r="H34" s="1415" t="s">
        <v>416</v>
      </c>
      <c r="I34" s="1415" t="s">
        <v>416</v>
      </c>
      <c r="J34" s="1415" t="s">
        <v>416</v>
      </c>
      <c r="K34" s="1415" t="s">
        <v>416</v>
      </c>
      <c r="L34" s="1415">
        <v>473.47</v>
      </c>
      <c r="M34" s="1415">
        <v>478.02</v>
      </c>
      <c r="N34" s="1415">
        <v>477.53</v>
      </c>
    </row>
    <row r="35" spans="1:14">
      <c r="A35" s="1417" t="s">
        <v>454</v>
      </c>
      <c r="B35" s="1414">
        <v>2015</v>
      </c>
      <c r="C35" s="1415" t="s">
        <v>416</v>
      </c>
      <c r="D35" s="1415" t="s">
        <v>416</v>
      </c>
      <c r="E35" s="1415">
        <v>437.54</v>
      </c>
      <c r="F35" s="1415">
        <v>440</v>
      </c>
      <c r="G35" s="1415">
        <v>441.65</v>
      </c>
      <c r="H35" s="1415">
        <v>440</v>
      </c>
      <c r="I35" s="1415">
        <v>437.54</v>
      </c>
      <c r="J35" s="1415" t="s">
        <v>416</v>
      </c>
      <c r="K35" s="1415">
        <v>443.03</v>
      </c>
      <c r="L35" s="1415">
        <v>462.11</v>
      </c>
      <c r="M35" s="1415" t="s">
        <v>416</v>
      </c>
      <c r="N35" s="1415">
        <v>466.14</v>
      </c>
    </row>
    <row r="36" spans="1:14">
      <c r="A36" s="1417" t="s">
        <v>452</v>
      </c>
      <c r="B36" s="1411">
        <v>2025</v>
      </c>
      <c r="C36" s="1412">
        <v>746.5</v>
      </c>
      <c r="D36" s="1412" t="s">
        <v>416</v>
      </c>
      <c r="E36" s="1412">
        <v>741.18</v>
      </c>
      <c r="F36" s="1412">
        <v>775</v>
      </c>
      <c r="G36" s="1412">
        <v>808.89</v>
      </c>
      <c r="H36" s="1412" t="s">
        <v>416</v>
      </c>
      <c r="I36" s="1412" t="s">
        <v>416</v>
      </c>
      <c r="J36" s="1412" t="s">
        <v>416</v>
      </c>
      <c r="K36" s="1412">
        <v>772.05</v>
      </c>
      <c r="L36" s="1412">
        <v>789.35</v>
      </c>
      <c r="M36" s="1412">
        <v>806.67</v>
      </c>
      <c r="N36" s="1412">
        <v>763.53</v>
      </c>
    </row>
    <row r="37" spans="1:14">
      <c r="A37" s="1417" t="s">
        <v>452</v>
      </c>
      <c r="B37" s="1414">
        <v>2024</v>
      </c>
      <c r="C37" s="1415">
        <v>706.79</v>
      </c>
      <c r="D37" s="1415" t="s">
        <v>416</v>
      </c>
      <c r="E37" s="1415">
        <v>739.41</v>
      </c>
      <c r="F37" s="1415">
        <v>836.15</v>
      </c>
      <c r="G37" s="1415">
        <v>742.78</v>
      </c>
      <c r="H37" s="1415">
        <v>707.37</v>
      </c>
      <c r="I37" s="1415" t="s">
        <v>416</v>
      </c>
      <c r="J37" s="1415" t="s">
        <v>416</v>
      </c>
      <c r="K37" s="1415">
        <v>753.33</v>
      </c>
      <c r="L37" s="1415">
        <v>786.63</v>
      </c>
      <c r="M37" s="1415">
        <v>786.33</v>
      </c>
      <c r="N37" s="1412" t="s">
        <v>416</v>
      </c>
    </row>
    <row r="38" spans="1:14">
      <c r="A38" s="1417" t="s">
        <v>452</v>
      </c>
      <c r="B38" s="1414">
        <v>2023</v>
      </c>
      <c r="C38" s="1415">
        <v>965.77</v>
      </c>
      <c r="D38" s="1415">
        <v>951.43</v>
      </c>
      <c r="E38" s="1415">
        <v>947.75</v>
      </c>
      <c r="F38" s="1415" t="s">
        <v>416</v>
      </c>
      <c r="G38" s="1415">
        <v>847</v>
      </c>
      <c r="H38" s="1415">
        <v>752.65</v>
      </c>
      <c r="I38" s="1415">
        <v>801.07</v>
      </c>
      <c r="J38" s="1415">
        <v>858.75</v>
      </c>
      <c r="K38" s="1415">
        <v>783.57</v>
      </c>
      <c r="L38" s="1415">
        <v>742.14</v>
      </c>
      <c r="M38" s="1415" t="s">
        <v>416</v>
      </c>
      <c r="N38" s="1412">
        <v>724.23</v>
      </c>
    </row>
    <row r="39" spans="1:14">
      <c r="A39" s="1410" t="s">
        <v>452</v>
      </c>
      <c r="B39" s="1414">
        <v>2022</v>
      </c>
      <c r="C39" s="1415" t="s">
        <v>416</v>
      </c>
      <c r="D39" s="1415" t="s">
        <v>416</v>
      </c>
      <c r="E39" s="1415" t="s">
        <v>416</v>
      </c>
      <c r="F39" s="1415">
        <v>983.57</v>
      </c>
      <c r="G39" s="1415">
        <v>1107.78</v>
      </c>
      <c r="H39" s="1415">
        <v>1050.6300000000001</v>
      </c>
      <c r="I39" s="1415" t="s">
        <v>416</v>
      </c>
      <c r="J39" s="1415" t="s">
        <v>416</v>
      </c>
      <c r="K39" s="1415" t="s">
        <v>416</v>
      </c>
      <c r="L39" s="1415">
        <v>1025.3800000000001</v>
      </c>
      <c r="M39" s="1415">
        <v>984.09</v>
      </c>
      <c r="N39" s="1412">
        <v>1072</v>
      </c>
    </row>
    <row r="40" spans="1:14">
      <c r="A40" s="1417" t="s">
        <v>452</v>
      </c>
      <c r="B40" s="1414">
        <v>2021</v>
      </c>
      <c r="C40" s="1415">
        <v>757.69</v>
      </c>
      <c r="D40" s="1415" t="s">
        <v>416</v>
      </c>
      <c r="E40" s="1415" t="s">
        <v>416</v>
      </c>
      <c r="F40" s="1415" t="s">
        <v>416</v>
      </c>
      <c r="G40" s="1415" t="s">
        <v>416</v>
      </c>
      <c r="H40" s="1415">
        <v>826.33</v>
      </c>
      <c r="I40" s="1415">
        <v>836.96</v>
      </c>
      <c r="J40" s="1415" t="s">
        <v>416</v>
      </c>
      <c r="K40" s="1415" t="s">
        <v>416</v>
      </c>
      <c r="L40" s="1415">
        <v>830</v>
      </c>
      <c r="M40" s="1415">
        <v>973.33</v>
      </c>
      <c r="N40" s="1412" t="s">
        <v>416</v>
      </c>
    </row>
    <row r="41" spans="1:14">
      <c r="A41" s="1417" t="s">
        <v>452</v>
      </c>
      <c r="B41" s="1414">
        <v>2020</v>
      </c>
      <c r="C41" s="1415">
        <v>731.51</v>
      </c>
      <c r="D41" s="1415">
        <v>783.92</v>
      </c>
      <c r="E41" s="1415" t="s">
        <v>416</v>
      </c>
      <c r="F41" s="1415" t="s">
        <v>416</v>
      </c>
      <c r="G41" s="1415" t="s">
        <v>416</v>
      </c>
      <c r="H41" s="1415" t="s">
        <v>416</v>
      </c>
      <c r="I41" s="1415" t="s">
        <v>416</v>
      </c>
      <c r="J41" s="1415">
        <v>723.8</v>
      </c>
      <c r="K41" s="1415" t="s">
        <v>416</v>
      </c>
      <c r="L41" s="1415">
        <v>760.87</v>
      </c>
      <c r="M41" s="1415">
        <v>717.7</v>
      </c>
      <c r="N41" s="1412">
        <v>771.11</v>
      </c>
    </row>
    <row r="42" spans="1:14">
      <c r="A42" s="1417" t="s">
        <v>452</v>
      </c>
      <c r="B42" s="1414">
        <v>2019</v>
      </c>
      <c r="C42" s="1415" t="s">
        <v>416</v>
      </c>
      <c r="D42" s="1415">
        <v>718.82</v>
      </c>
      <c r="E42" s="1415" t="s">
        <v>416</v>
      </c>
      <c r="F42" s="1415" t="s">
        <v>416</v>
      </c>
      <c r="G42" s="1415" t="s">
        <v>416</v>
      </c>
      <c r="H42" s="1415" t="s">
        <v>416</v>
      </c>
      <c r="I42" s="1415" t="s">
        <v>416</v>
      </c>
      <c r="J42" s="1415">
        <v>687.5</v>
      </c>
      <c r="K42" s="1415">
        <v>719.44</v>
      </c>
      <c r="L42" s="1415">
        <v>745.88</v>
      </c>
      <c r="M42" s="1415" t="s">
        <v>416</v>
      </c>
      <c r="N42" s="1412" t="s">
        <v>416</v>
      </c>
    </row>
    <row r="43" spans="1:14">
      <c r="A43" s="1410" t="s">
        <v>452</v>
      </c>
      <c r="B43" s="1414">
        <v>2018</v>
      </c>
      <c r="C43" s="1415" t="s">
        <v>416</v>
      </c>
      <c r="D43" s="1415" t="s">
        <v>416</v>
      </c>
      <c r="E43" s="1415" t="s">
        <v>416</v>
      </c>
      <c r="F43" s="1415" t="s">
        <v>416</v>
      </c>
      <c r="G43" s="1415" t="s">
        <v>416</v>
      </c>
      <c r="H43" s="1415">
        <v>715.29</v>
      </c>
      <c r="I43" s="1415">
        <v>748.53</v>
      </c>
      <c r="J43" s="1415" t="s">
        <v>416</v>
      </c>
      <c r="K43" s="1415">
        <v>710</v>
      </c>
      <c r="L43" s="1415">
        <v>699.41</v>
      </c>
      <c r="M43" s="1415">
        <v>683.24</v>
      </c>
      <c r="N43" s="1412">
        <v>683.24</v>
      </c>
    </row>
    <row r="44" spans="1:14">
      <c r="A44" s="1417" t="s">
        <v>452</v>
      </c>
      <c r="B44" s="1414">
        <v>2017</v>
      </c>
      <c r="C44" s="1415" t="s">
        <v>416</v>
      </c>
      <c r="D44" s="1415" t="s">
        <v>416</v>
      </c>
      <c r="E44" s="1415" t="s">
        <v>416</v>
      </c>
      <c r="F44" s="1415" t="s">
        <v>416</v>
      </c>
      <c r="G44" s="1415" t="s">
        <v>416</v>
      </c>
      <c r="H44" s="1415" t="s">
        <v>416</v>
      </c>
      <c r="I44" s="1415" t="s">
        <v>416</v>
      </c>
      <c r="J44" s="1415" t="s">
        <v>416</v>
      </c>
      <c r="K44" s="1415" t="s">
        <v>416</v>
      </c>
      <c r="L44" s="1415" t="s">
        <v>416</v>
      </c>
      <c r="M44" s="1415">
        <v>717.06</v>
      </c>
      <c r="N44" s="1412">
        <v>723.04</v>
      </c>
    </row>
    <row r="45" spans="1:14">
      <c r="A45" s="1417" t="s">
        <v>452</v>
      </c>
      <c r="B45" s="1414">
        <v>2016</v>
      </c>
      <c r="C45" s="1415" t="s">
        <v>416</v>
      </c>
      <c r="D45" s="1415" t="s">
        <v>416</v>
      </c>
      <c r="E45" s="1415" t="s">
        <v>416</v>
      </c>
      <c r="F45" s="1415" t="s">
        <v>416</v>
      </c>
      <c r="G45" s="1415" t="s">
        <v>416</v>
      </c>
      <c r="H45" s="1415" t="s">
        <v>416</v>
      </c>
      <c r="I45" s="1415" t="s">
        <v>416</v>
      </c>
      <c r="J45" s="1415" t="s">
        <v>416</v>
      </c>
      <c r="K45" s="1415" t="s">
        <v>416</v>
      </c>
      <c r="L45" s="1415" t="s">
        <v>416</v>
      </c>
      <c r="M45" s="1415" t="s">
        <v>416</v>
      </c>
      <c r="N45" s="1412" t="s">
        <v>416</v>
      </c>
    </row>
    <row r="46" spans="1:14">
      <c r="A46" s="1417" t="s">
        <v>452</v>
      </c>
      <c r="B46" s="1414">
        <v>2015</v>
      </c>
      <c r="C46" s="1415" t="s">
        <v>416</v>
      </c>
      <c r="D46" s="1415" t="s">
        <v>416</v>
      </c>
      <c r="E46" s="1415" t="s">
        <v>416</v>
      </c>
      <c r="F46" s="1415" t="s">
        <v>416</v>
      </c>
      <c r="G46" s="1415" t="s">
        <v>416</v>
      </c>
      <c r="H46" s="1415" t="s">
        <v>416</v>
      </c>
      <c r="I46" s="1415" t="s">
        <v>416</v>
      </c>
      <c r="J46" s="1415" t="s">
        <v>416</v>
      </c>
      <c r="K46" s="1415" t="s">
        <v>416</v>
      </c>
      <c r="L46" s="1415" t="s">
        <v>416</v>
      </c>
      <c r="M46" s="1415" t="s">
        <v>416</v>
      </c>
      <c r="N46" s="1412" t="s">
        <v>416</v>
      </c>
    </row>
    <row r="47" spans="1:14">
      <c r="A47" s="1420"/>
      <c r="B47" s="1420"/>
      <c r="C47" s="1420"/>
      <c r="D47" s="1420"/>
      <c r="E47" s="1420"/>
      <c r="F47" s="1420"/>
      <c r="G47" s="1420"/>
      <c r="H47" s="1420"/>
      <c r="I47" s="1420"/>
      <c r="J47" s="1420"/>
      <c r="K47" s="1420"/>
      <c r="L47" s="1420"/>
      <c r="M47" s="1420"/>
      <c r="N47" s="1420"/>
    </row>
    <row r="48" spans="1:14">
      <c r="A48" s="1434" t="s">
        <v>463</v>
      </c>
      <c r="B48" s="1420"/>
      <c r="C48" s="1420"/>
      <c r="D48" s="1420"/>
      <c r="E48" s="1420"/>
      <c r="F48" s="1420"/>
      <c r="G48" s="1420"/>
      <c r="H48" s="1420"/>
      <c r="I48" s="1420"/>
      <c r="J48" s="1420"/>
      <c r="K48" s="1420"/>
      <c r="L48" s="1420"/>
      <c r="M48" s="1420"/>
      <c r="N48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71" orientation="landscape" r:id="rId1"/>
  <headerFooter alignWithMargins="0">
    <oddHeader xml:space="preserve">&amp;R
</oddHeader>
    <oddFooter>&amp;R&amp;10
&amp;12
...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tabColor rgb="FF92D050"/>
  </sheetPr>
  <dimension ref="A1:N48"/>
  <sheetViews>
    <sheetView zoomScale="130" zoomScaleNormal="130" zoomScaleSheetLayoutView="55" workbookViewId="0">
      <pane ySplit="2" topLeftCell="A3" activePane="bottomLeft" state="frozen"/>
      <selection activeCell="F8" sqref="F8"/>
      <selection pane="bottomLeft"/>
    </sheetView>
  </sheetViews>
  <sheetFormatPr baseColWidth="10" defaultColWidth="9.69140625" defaultRowHeight="14.15"/>
  <cols>
    <col min="1" max="1" width="17.53515625" bestFit="1" customWidth="1"/>
    <col min="2" max="2" width="5.15234375" customWidth="1"/>
    <col min="3" max="14" width="12.69140625" customWidth="1"/>
  </cols>
  <sheetData>
    <row r="1" spans="1:14" ht="18">
      <c r="A1" s="1404" t="s">
        <v>465</v>
      </c>
      <c r="B1" s="1402"/>
      <c r="C1" s="1394"/>
      <c r="D1" s="1394"/>
      <c r="E1" s="1394"/>
      <c r="F1" s="1403"/>
      <c r="G1" s="1403"/>
      <c r="H1" s="1403"/>
      <c r="I1" s="1403"/>
      <c r="J1" s="1403"/>
      <c r="K1" s="1403"/>
      <c r="L1" s="1403"/>
      <c r="M1" s="1403"/>
      <c r="N1" s="1403"/>
    </row>
    <row r="2" spans="1:14">
      <c r="A2" s="1407" t="s">
        <v>460</v>
      </c>
      <c r="B2" s="1406" t="s">
        <v>118</v>
      </c>
      <c r="C2" s="1406" t="s">
        <v>420</v>
      </c>
      <c r="D2" s="1406" t="s">
        <v>423</v>
      </c>
      <c r="E2" s="1406" t="s">
        <v>424</v>
      </c>
      <c r="F2" s="1406" t="s">
        <v>425</v>
      </c>
      <c r="G2" s="1406" t="s">
        <v>411</v>
      </c>
      <c r="H2" s="1406" t="s">
        <v>426</v>
      </c>
      <c r="I2" s="1406" t="s">
        <v>427</v>
      </c>
      <c r="J2" s="1406" t="s">
        <v>428</v>
      </c>
      <c r="K2" s="1406" t="s">
        <v>429</v>
      </c>
      <c r="L2" s="1406" t="s">
        <v>430</v>
      </c>
      <c r="M2" s="1406" t="s">
        <v>431</v>
      </c>
      <c r="N2" s="1406" t="s">
        <v>432</v>
      </c>
    </row>
    <row r="3" spans="1:14">
      <c r="A3" s="1418" t="s">
        <v>458</v>
      </c>
      <c r="B3" s="1418">
        <v>2025</v>
      </c>
      <c r="C3" s="1422">
        <v>2.3540743751270066</v>
      </c>
      <c r="D3" s="1422">
        <v>2.2293306288032455</v>
      </c>
      <c r="E3" s="1422">
        <v>2.4527744740187831</v>
      </c>
      <c r="F3" s="1422">
        <v>2.4496075484301936</v>
      </c>
      <c r="G3" s="1422">
        <v>2.3531309454876337</v>
      </c>
      <c r="H3" s="1422">
        <v>2.2782851970706819</v>
      </c>
      <c r="I3" s="1422">
        <v>2.4663537503485453</v>
      </c>
      <c r="J3" s="1422">
        <v>2.6747176453332027</v>
      </c>
      <c r="K3" s="1422">
        <v>2.6451564828614007</v>
      </c>
      <c r="L3" s="1422">
        <v>2.7328048964029499</v>
      </c>
      <c r="M3" s="1422">
        <v>2.7790971491557692</v>
      </c>
      <c r="N3" s="1422">
        <v>2.66219548278923</v>
      </c>
    </row>
    <row r="4" spans="1:14">
      <c r="A4" s="1418" t="s">
        <v>458</v>
      </c>
      <c r="B4" s="1418">
        <v>2024</v>
      </c>
      <c r="C4" s="1422">
        <v>2.3511793791035096</v>
      </c>
      <c r="D4" s="1422">
        <v>2.3369745804950988</v>
      </c>
      <c r="E4" s="1422">
        <v>2.357059266070384</v>
      </c>
      <c r="F4" s="1422">
        <v>2.2806880052796568</v>
      </c>
      <c r="G4" s="1422">
        <v>2.2619664695877542</v>
      </c>
      <c r="H4" s="1422">
        <v>2.1379170551749302</v>
      </c>
      <c r="I4" s="1422">
        <v>2.2082400358262428</v>
      </c>
      <c r="J4" s="1422">
        <v>2.1889500509683999</v>
      </c>
      <c r="K4" s="1422">
        <v>2.1730551512210905</v>
      </c>
      <c r="L4" s="1422">
        <v>2.1951551551551551</v>
      </c>
      <c r="M4" s="1422">
        <v>2.1790758151630327</v>
      </c>
      <c r="N4" s="1422">
        <v>2.2938510288395975</v>
      </c>
    </row>
    <row r="5" spans="1:14">
      <c r="A5" s="1418" t="s">
        <v>458</v>
      </c>
      <c r="B5" s="1418">
        <v>2023</v>
      </c>
      <c r="C5" s="1422">
        <v>1.985780734809232</v>
      </c>
      <c r="D5" s="1422">
        <v>1.9934336272273261</v>
      </c>
      <c r="E5" s="1422">
        <v>2.1851271749123224</v>
      </c>
      <c r="F5" s="1422">
        <v>2.1127227810128812</v>
      </c>
      <c r="G5" s="1422">
        <v>2.2023162023162026</v>
      </c>
      <c r="H5" s="1422">
        <v>2.161957162507369</v>
      </c>
      <c r="I5" s="1422">
        <v>2.2108537284112306</v>
      </c>
      <c r="J5" s="1422">
        <v>2.1527362164377948</v>
      </c>
      <c r="K5" s="1422">
        <v>2.3198649038263519</v>
      </c>
      <c r="L5" s="1422">
        <v>2.2097056548467204</v>
      </c>
      <c r="M5" s="1422">
        <v>2.2400574005740057</v>
      </c>
      <c r="N5" s="1422">
        <v>2.261342347479026</v>
      </c>
    </row>
    <row r="6" spans="1:14">
      <c r="A6" s="1418" t="s">
        <v>458</v>
      </c>
      <c r="B6" s="1418">
        <v>2022</v>
      </c>
      <c r="C6" s="1422">
        <v>1.8795503764050734</v>
      </c>
      <c r="D6" s="1422">
        <v>1.9146118563989374</v>
      </c>
      <c r="E6" s="1422">
        <v>1.8507858995879749</v>
      </c>
      <c r="F6" s="1422">
        <v>1.9402496596866221</v>
      </c>
      <c r="G6" s="1422">
        <v>1.8231736747962863</v>
      </c>
      <c r="H6" s="1422" t="s">
        <v>416</v>
      </c>
      <c r="I6" s="1422">
        <v>1.9962570367708707</v>
      </c>
      <c r="J6" s="1422">
        <v>1.8405818309529383</v>
      </c>
      <c r="K6" s="1422">
        <v>1.9009382628900848</v>
      </c>
      <c r="L6" s="1422">
        <v>1.8689432002043769</v>
      </c>
      <c r="M6" s="1422">
        <v>1.8086711711711714</v>
      </c>
      <c r="N6" s="1422">
        <v>1.9128353879622917</v>
      </c>
    </row>
    <row r="7" spans="1:14">
      <c r="A7" s="1418" t="s">
        <v>458</v>
      </c>
      <c r="B7" s="1418">
        <v>2021</v>
      </c>
      <c r="C7" s="1422">
        <v>2.2901009130225853</v>
      </c>
      <c r="D7" s="1422">
        <v>2.2079112175354578</v>
      </c>
      <c r="E7" s="1422">
        <v>2.0730471874166887</v>
      </c>
      <c r="F7" s="1422">
        <v>2.0652145502069263</v>
      </c>
      <c r="G7" s="1422">
        <v>2.0694136567131745</v>
      </c>
      <c r="H7" s="1422">
        <v>2.1214285714285714</v>
      </c>
      <c r="I7" s="1422" t="s">
        <v>416</v>
      </c>
      <c r="J7" s="1422">
        <v>2.0099933080526435</v>
      </c>
      <c r="K7" s="1422">
        <v>1.9242274004296811</v>
      </c>
      <c r="L7" s="1422">
        <v>1.869636705292828</v>
      </c>
      <c r="M7" s="1422">
        <v>1.783011977797254</v>
      </c>
      <c r="N7" s="1422">
        <v>1.9724122790969962</v>
      </c>
    </row>
    <row r="8" spans="1:14">
      <c r="A8" s="1418" t="s">
        <v>458</v>
      </c>
      <c r="B8" s="1418">
        <v>2020</v>
      </c>
      <c r="C8" s="1422">
        <v>2.1517323208353112</v>
      </c>
      <c r="D8" s="1422">
        <v>2.2036380597014924</v>
      </c>
      <c r="E8" s="1422">
        <v>2.2886739676669983</v>
      </c>
      <c r="F8" s="1422">
        <v>2.2997328499189007</v>
      </c>
      <c r="G8" s="1422" t="s">
        <v>416</v>
      </c>
      <c r="H8" s="1422">
        <v>2.1391034811635672</v>
      </c>
      <c r="I8" s="1422">
        <v>2.3280681700093524</v>
      </c>
      <c r="J8" s="1422" t="s">
        <v>416</v>
      </c>
      <c r="K8" s="1422">
        <v>2.3883239743006022</v>
      </c>
      <c r="L8" s="1422">
        <v>2.3367479512292624</v>
      </c>
      <c r="M8" s="1422">
        <v>2.3309341804824779</v>
      </c>
      <c r="N8" s="1422">
        <v>2.3708169291338583</v>
      </c>
    </row>
    <row r="9" spans="1:14">
      <c r="A9" s="1418" t="s">
        <v>458</v>
      </c>
      <c r="B9" s="1418">
        <v>2019</v>
      </c>
      <c r="C9" s="1422">
        <v>2.3209046156845545</v>
      </c>
      <c r="D9" s="1422">
        <v>2.2502742143163719</v>
      </c>
      <c r="E9" s="1422">
        <v>2.342780748663102</v>
      </c>
      <c r="F9" s="1422">
        <v>2.4046617508784087</v>
      </c>
      <c r="G9" s="1422">
        <v>2.4285495168464646</v>
      </c>
      <c r="H9" s="1422">
        <v>2.0448932792379608</v>
      </c>
      <c r="I9" s="1422">
        <v>2.4668172528772723</v>
      </c>
      <c r="J9" s="1422">
        <v>2.3450156965673408</v>
      </c>
      <c r="K9" s="1422">
        <v>2.315448053907271</v>
      </c>
      <c r="L9" s="1422">
        <v>2.294783562736884</v>
      </c>
      <c r="M9" s="1422">
        <v>2.3383223111729898</v>
      </c>
      <c r="N9" s="1422">
        <v>2.2918168533852898</v>
      </c>
    </row>
    <row r="10" spans="1:14">
      <c r="A10" s="1418" t="s">
        <v>458</v>
      </c>
      <c r="B10" s="1418">
        <v>2018</v>
      </c>
      <c r="C10" s="1422">
        <v>2.8425668581310606</v>
      </c>
      <c r="D10" s="1422">
        <v>2.8381303813038135</v>
      </c>
      <c r="E10" s="1422">
        <v>2.8731439046746101</v>
      </c>
      <c r="F10" s="1422">
        <v>2.7884905091895149</v>
      </c>
      <c r="G10" s="1422">
        <v>2.8585022244191793</v>
      </c>
      <c r="H10" s="1422">
        <v>2.5799418604651163</v>
      </c>
      <c r="I10" s="1422">
        <v>2.6036270931108407</v>
      </c>
      <c r="J10" s="1422">
        <v>2.5105350248207392</v>
      </c>
      <c r="K10" s="1422">
        <v>2.5727323008849554</v>
      </c>
      <c r="L10" s="1422">
        <v>2.5241746886387122</v>
      </c>
      <c r="M10" s="1422">
        <v>2.4626355120513628</v>
      </c>
      <c r="N10" s="1422">
        <v>2.3845247849242113</v>
      </c>
    </row>
    <row r="11" spans="1:14">
      <c r="A11" s="1418" t="s">
        <v>458</v>
      </c>
      <c r="B11" s="1418">
        <v>2017</v>
      </c>
      <c r="C11" s="1422">
        <v>3.0123727284443871</v>
      </c>
      <c r="D11" s="1422">
        <v>3.0417706134459155</v>
      </c>
      <c r="E11" s="1422">
        <v>2.9950167160789758</v>
      </c>
      <c r="F11" s="1422">
        <v>3.0349770642201834</v>
      </c>
      <c r="G11" s="1422">
        <v>2.9892093140657536</v>
      </c>
      <c r="H11" s="1422">
        <v>2.9602123672704561</v>
      </c>
      <c r="I11" s="1422">
        <v>2.9180534543620782</v>
      </c>
      <c r="J11" s="1422">
        <v>2.81443819869892</v>
      </c>
      <c r="K11" s="1422">
        <v>2.7952853598014893</v>
      </c>
      <c r="L11" s="1422">
        <v>2.8291068082448469</v>
      </c>
      <c r="M11" s="1422">
        <v>2.9014305433555028</v>
      </c>
      <c r="N11" s="1422">
        <v>2.8594597966440021</v>
      </c>
    </row>
    <row r="12" spans="1:14">
      <c r="A12" s="1418" t="s">
        <v>458</v>
      </c>
      <c r="B12" s="1418">
        <v>2016</v>
      </c>
      <c r="C12" s="1422">
        <v>3.0473530194200582</v>
      </c>
      <c r="D12" s="1422">
        <v>3.2142609419435391</v>
      </c>
      <c r="E12" s="1422">
        <v>3.4327321111768185</v>
      </c>
      <c r="F12" s="1422">
        <v>3.4233689642462215</v>
      </c>
      <c r="G12" s="1422">
        <v>3.2972656821172688</v>
      </c>
      <c r="H12" s="1422">
        <v>3.2493818181818184</v>
      </c>
      <c r="I12" s="1422">
        <v>2.8435255290234909</v>
      </c>
      <c r="J12" s="1422">
        <v>2.8969973890339427</v>
      </c>
      <c r="K12" s="1422">
        <v>2.9458659475103599</v>
      </c>
      <c r="L12" s="1422">
        <v>3.0072987901104682</v>
      </c>
      <c r="M12" s="1422">
        <v>3.0017586139516705</v>
      </c>
      <c r="N12" s="1422">
        <v>2.9577205882352944</v>
      </c>
    </row>
    <row r="13" spans="1:14">
      <c r="A13" s="1418" t="s">
        <v>458</v>
      </c>
      <c r="B13" s="1418">
        <v>2015</v>
      </c>
      <c r="C13" s="1422" t="s">
        <v>416</v>
      </c>
      <c r="D13" s="1422">
        <v>2.0461428571428573</v>
      </c>
      <c r="E13" s="1422" t="s">
        <v>416</v>
      </c>
      <c r="F13" s="1422" t="s">
        <v>416</v>
      </c>
      <c r="G13" s="1422" t="s">
        <v>416</v>
      </c>
      <c r="H13" s="1422" t="s">
        <v>416</v>
      </c>
      <c r="I13" s="1422">
        <v>2.6683124999999999</v>
      </c>
      <c r="J13" s="1422">
        <v>2.5582608695652174</v>
      </c>
      <c r="K13" s="1422">
        <v>2.6435232537151796</v>
      </c>
      <c r="L13" s="1422">
        <v>2.724768375540457</v>
      </c>
      <c r="M13" s="1422">
        <v>2.7279503105590059</v>
      </c>
      <c r="N13" s="1422">
        <v>2.8320683111954459</v>
      </c>
    </row>
    <row r="14" spans="1:14">
      <c r="A14" s="1418" t="s">
        <v>457</v>
      </c>
      <c r="B14" s="1418">
        <v>2025</v>
      </c>
      <c r="C14" s="1422">
        <v>2.1353995460593254</v>
      </c>
      <c r="D14" s="1422">
        <v>2.0888517323171443</v>
      </c>
      <c r="E14" s="1422">
        <v>2.1828359679899085</v>
      </c>
      <c r="F14" s="1422">
        <v>2.1489303130407422</v>
      </c>
      <c r="G14" s="1422">
        <v>2.1491538920963569</v>
      </c>
      <c r="H14" s="1422">
        <v>2.1082666881003096</v>
      </c>
      <c r="I14" s="1422">
        <v>2.4280041599697459</v>
      </c>
      <c r="J14" s="1422">
        <v>2.7004783704541948</v>
      </c>
      <c r="K14" s="1422">
        <v>2.6770186335403725</v>
      </c>
      <c r="L14" s="1422">
        <v>2.7130803926771025</v>
      </c>
      <c r="M14" s="1422">
        <v>2.7649876309279438</v>
      </c>
      <c r="N14" s="1422">
        <v>2.6246545340772798</v>
      </c>
    </row>
    <row r="15" spans="1:14">
      <c r="A15" s="1418" t="s">
        <v>457</v>
      </c>
      <c r="B15" s="1418">
        <v>2024</v>
      </c>
      <c r="C15" s="1422">
        <v>2.2019469675369638</v>
      </c>
      <c r="D15" s="1422">
        <v>2.2100097305072555</v>
      </c>
      <c r="E15" s="1422">
        <v>2.2714562271456229</v>
      </c>
      <c r="F15" s="1422">
        <v>2.1698478911220662</v>
      </c>
      <c r="G15" s="1422">
        <v>2.0846197137803508</v>
      </c>
      <c r="H15" s="1422">
        <v>1.9992348274334502</v>
      </c>
      <c r="I15" s="1422">
        <v>1.9198014731949422</v>
      </c>
      <c r="J15" s="1422">
        <v>1.9816645473563315</v>
      </c>
      <c r="K15" s="1422">
        <v>2.0682529227729294</v>
      </c>
      <c r="L15" s="1422">
        <v>2.0509644096521669</v>
      </c>
      <c r="M15" s="1422">
        <v>2.0660859836982581</v>
      </c>
      <c r="N15" s="1422">
        <v>2.0736784227476237</v>
      </c>
    </row>
    <row r="16" spans="1:14">
      <c r="A16" s="1418" t="s">
        <v>457</v>
      </c>
      <c r="B16" s="1418">
        <v>2023</v>
      </c>
      <c r="C16" s="1422">
        <v>1.862921348314607</v>
      </c>
      <c r="D16" s="1422">
        <v>1.9029164517010106</v>
      </c>
      <c r="E16" s="1422">
        <v>2.0685004673521163</v>
      </c>
      <c r="F16" s="1422">
        <v>1.9825883021817925</v>
      </c>
      <c r="G16" s="1422">
        <v>2.1753985493906702</v>
      </c>
      <c r="H16" s="1422">
        <v>2.0394896481546714</v>
      </c>
      <c r="I16" s="1422">
        <v>2.1289972899728999</v>
      </c>
      <c r="J16" s="1422">
        <v>1.9873544929235407</v>
      </c>
      <c r="K16" s="1422">
        <v>2.1776957665224401</v>
      </c>
      <c r="L16" s="1422">
        <v>2.0802152526696376</v>
      </c>
      <c r="M16" s="1422">
        <v>2.1311111111111112</v>
      </c>
      <c r="N16" s="1422">
        <v>2.001448615537436</v>
      </c>
    </row>
    <row r="17" spans="1:14">
      <c r="A17" s="1418" t="s">
        <v>457</v>
      </c>
      <c r="B17" s="1418">
        <v>2022</v>
      </c>
      <c r="C17" s="1422">
        <v>1.7678656921260094</v>
      </c>
      <c r="D17" s="1422">
        <v>1.9839459513696107</v>
      </c>
      <c r="E17" s="1422">
        <v>1.7622836160167863</v>
      </c>
      <c r="F17" s="1422">
        <v>1.8810223931237275</v>
      </c>
      <c r="G17" s="1422">
        <v>1.8463730002191541</v>
      </c>
      <c r="H17" s="1422">
        <v>2.0064949258391884</v>
      </c>
      <c r="I17" s="1422">
        <v>1.774303135888502</v>
      </c>
      <c r="J17" s="1422">
        <v>1.8390878715047776</v>
      </c>
      <c r="K17" s="1422">
        <v>1.866422134935305</v>
      </c>
      <c r="L17" s="1422">
        <v>1.7962885447188504</v>
      </c>
      <c r="M17" s="1422">
        <v>1.763587788383937</v>
      </c>
      <c r="N17" s="1422">
        <v>1.8753109363831308</v>
      </c>
    </row>
    <row r="18" spans="1:14">
      <c r="A18" s="1418" t="s">
        <v>457</v>
      </c>
      <c r="B18" s="1418">
        <v>2021</v>
      </c>
      <c r="C18" s="1422">
        <v>2.1698342851792902</v>
      </c>
      <c r="D18" s="1422">
        <v>2.1029504932573082</v>
      </c>
      <c r="E18" s="1422">
        <v>1.9848271747005923</v>
      </c>
      <c r="F18" s="1422">
        <v>1.8899564385457803</v>
      </c>
      <c r="G18" s="1422">
        <v>1.9160340952461727</v>
      </c>
      <c r="H18" s="1422">
        <v>2.1639885019556102</v>
      </c>
      <c r="I18" s="1422" t="s">
        <v>416</v>
      </c>
      <c r="J18" s="1422">
        <v>1.9040044116399424</v>
      </c>
      <c r="K18" s="1422">
        <v>1.9657247188680029</v>
      </c>
      <c r="L18" s="1422">
        <v>1.8163046803303764</v>
      </c>
      <c r="M18" s="1422">
        <v>1.8323425764425301</v>
      </c>
      <c r="N18" s="1422">
        <v>1.8114670609495647</v>
      </c>
    </row>
    <row r="19" spans="1:14">
      <c r="A19" s="1418" t="s">
        <v>457</v>
      </c>
      <c r="B19" s="1418">
        <v>2020</v>
      </c>
      <c r="C19" s="1422">
        <v>2.2236621436194541</v>
      </c>
      <c r="D19" s="1422">
        <v>2.18452652378781</v>
      </c>
      <c r="E19" s="1422">
        <v>2.2184774193548384</v>
      </c>
      <c r="F19" s="1422">
        <v>2.2187579992832642</v>
      </c>
      <c r="G19" s="1422">
        <v>2.2062642081333674</v>
      </c>
      <c r="H19" s="1422">
        <v>2.1689171974522292</v>
      </c>
      <c r="I19" s="1422">
        <v>2.2165954850518608</v>
      </c>
      <c r="J19" s="1422">
        <v>2.2538985851492308</v>
      </c>
      <c r="K19" s="1422">
        <v>2.1496461594090603</v>
      </c>
      <c r="L19" s="1422">
        <v>2.2626874871584137</v>
      </c>
      <c r="M19" s="1422">
        <v>2.2364243098392151</v>
      </c>
      <c r="N19" s="1422">
        <v>2.1314211712791979</v>
      </c>
    </row>
    <row r="20" spans="1:14">
      <c r="A20" s="1418" t="s">
        <v>457</v>
      </c>
      <c r="B20" s="1418">
        <v>2019</v>
      </c>
      <c r="C20" s="1422">
        <v>2.332665732024835</v>
      </c>
      <c r="D20" s="1422">
        <v>2.3145024453538277</v>
      </c>
      <c r="E20" s="1422">
        <v>2.2777639006844184</v>
      </c>
      <c r="F20" s="1422">
        <v>2.294641516986041</v>
      </c>
      <c r="G20" s="1422">
        <v>2.3382496531168098</v>
      </c>
      <c r="H20" s="1422">
        <v>2.3645325418698322</v>
      </c>
      <c r="I20" s="1422">
        <v>2.2722109322078059</v>
      </c>
      <c r="J20" s="1422">
        <v>2.3783113456464382</v>
      </c>
      <c r="K20" s="1422">
        <v>2.276806526806527</v>
      </c>
      <c r="L20" s="1422">
        <v>2.2921432389096741</v>
      </c>
      <c r="M20" s="1422">
        <v>2.4812583311117034</v>
      </c>
      <c r="N20" s="1422">
        <v>2.3034622162330258</v>
      </c>
    </row>
    <row r="21" spans="1:14">
      <c r="A21" s="1418" t="s">
        <v>457</v>
      </c>
      <c r="B21" s="1418">
        <v>2018</v>
      </c>
      <c r="C21" s="1422">
        <v>2.4907007727151611</v>
      </c>
      <c r="D21" s="1422">
        <v>2.5677821269088703</v>
      </c>
      <c r="E21" s="1422">
        <v>2.5798774090231378</v>
      </c>
      <c r="F21" s="1422">
        <v>2.5352120443390502</v>
      </c>
      <c r="G21" s="1422">
        <v>2.5504745951982133</v>
      </c>
      <c r="H21" s="1422">
        <v>2.4764195278376735</v>
      </c>
      <c r="I21" s="1422">
        <v>2.4857284276522025</v>
      </c>
      <c r="J21" s="1422">
        <v>2.4052318794439138</v>
      </c>
      <c r="K21" s="1422">
        <v>2.4033129089209675</v>
      </c>
      <c r="L21" s="1422">
        <v>2.3596702340109581</v>
      </c>
      <c r="M21" s="1422">
        <v>2.3435483051278139</v>
      </c>
      <c r="N21" s="1422">
        <v>2.3306039929239324</v>
      </c>
    </row>
    <row r="22" spans="1:14">
      <c r="A22" s="1418" t="s">
        <v>457</v>
      </c>
      <c r="B22" s="1418">
        <v>2017</v>
      </c>
      <c r="C22" s="1422">
        <v>2.4554927217509688</v>
      </c>
      <c r="D22" s="1422">
        <v>2.4523711340206185</v>
      </c>
      <c r="E22" s="1422">
        <v>2.4542498838829538</v>
      </c>
      <c r="F22" s="1422">
        <v>2.4947916666666665</v>
      </c>
      <c r="G22" s="1422">
        <v>2.4849645762267119</v>
      </c>
      <c r="H22" s="1422">
        <v>2.5845776566757492</v>
      </c>
      <c r="I22" s="1422">
        <v>2.3381029426635656</v>
      </c>
      <c r="J22" s="1422">
        <v>2.3383555304160026</v>
      </c>
      <c r="K22" s="1422">
        <v>2.3989447839941493</v>
      </c>
      <c r="L22" s="1422">
        <v>2.4375262936474549</v>
      </c>
      <c r="M22" s="1422">
        <v>2.4595773759461732</v>
      </c>
      <c r="N22" s="1422">
        <v>2.4444502893214097</v>
      </c>
    </row>
    <row r="23" spans="1:14">
      <c r="A23" s="1418" t="s">
        <v>457</v>
      </c>
      <c r="B23" s="1418">
        <v>2016</v>
      </c>
      <c r="C23" s="1422">
        <v>2.6241557856821252</v>
      </c>
      <c r="D23" s="1422">
        <v>2.6693410720382382</v>
      </c>
      <c r="E23" s="1422">
        <v>2.810144754157196</v>
      </c>
      <c r="F23" s="1422">
        <v>2.6701291409320609</v>
      </c>
      <c r="G23" s="1422">
        <v>2.5427130167781558</v>
      </c>
      <c r="H23" s="1422">
        <v>2.4656471753121738</v>
      </c>
      <c r="I23" s="1422">
        <v>2.4687811358352705</v>
      </c>
      <c r="J23" s="1422">
        <v>2.4759678838539374</v>
      </c>
      <c r="K23" s="1422">
        <v>2.5014566041884239</v>
      </c>
      <c r="L23" s="1422">
        <v>2.525851266684827</v>
      </c>
      <c r="M23" s="1422">
        <v>2.5196952504457775</v>
      </c>
      <c r="N23" s="1422">
        <v>2.5145387611374912</v>
      </c>
    </row>
    <row r="24" spans="1:14">
      <c r="A24" s="1418" t="s">
        <v>457</v>
      </c>
      <c r="B24" s="1418">
        <v>2015</v>
      </c>
      <c r="C24" s="1422" t="s">
        <v>416</v>
      </c>
      <c r="D24" s="1422">
        <v>2.1746915437857357</v>
      </c>
      <c r="E24" s="1422">
        <v>2.1482178217821781</v>
      </c>
      <c r="F24" s="1422">
        <v>2.0825806451612903</v>
      </c>
      <c r="G24" s="1422">
        <v>2.231156289707751</v>
      </c>
      <c r="H24" s="1422">
        <v>2.9005333333333332</v>
      </c>
      <c r="I24" s="1422">
        <v>2.3965611652611982</v>
      </c>
      <c r="J24" s="1422">
        <v>2.4180738642553656</v>
      </c>
      <c r="K24" s="1422">
        <v>2.5044027997290588</v>
      </c>
      <c r="L24" s="1422">
        <v>2.4594195769798328</v>
      </c>
      <c r="M24" s="1422">
        <v>2.4441647972862066</v>
      </c>
      <c r="N24" s="1422">
        <v>2.5284796099290778</v>
      </c>
    </row>
    <row r="25" spans="1:14">
      <c r="A25" s="1418" t="s">
        <v>456</v>
      </c>
      <c r="B25" s="1418">
        <v>2025</v>
      </c>
      <c r="C25" s="1422">
        <v>1.7992287298144132</v>
      </c>
      <c r="D25" s="1422" t="s">
        <v>416</v>
      </c>
      <c r="E25" s="1422">
        <v>1.8331519588444796</v>
      </c>
      <c r="F25" s="1422">
        <v>1.9475297783585466</v>
      </c>
      <c r="G25" s="1422">
        <v>2.0507301490721024</v>
      </c>
      <c r="H25" s="1422" t="s">
        <v>416</v>
      </c>
      <c r="I25" s="1422" t="s">
        <v>416</v>
      </c>
      <c r="J25" s="1422" t="s">
        <v>416</v>
      </c>
      <c r="K25" s="1422">
        <v>2.0878630537076099</v>
      </c>
      <c r="L25" s="1422">
        <v>2.1526357413619133</v>
      </c>
      <c r="M25" s="1422">
        <v>2.0973713631990845</v>
      </c>
      <c r="N25" s="1422">
        <v>1.9446552734126277</v>
      </c>
    </row>
    <row r="26" spans="1:14">
      <c r="A26" s="1418" t="s">
        <v>456</v>
      </c>
      <c r="B26" s="1418">
        <v>2024</v>
      </c>
      <c r="C26" s="1422">
        <v>1.7441269371236796</v>
      </c>
      <c r="D26" s="1422" t="s">
        <v>416</v>
      </c>
      <c r="E26" s="1422">
        <v>1.7779407521400403</v>
      </c>
      <c r="F26" s="1422">
        <v>1.9524354364171297</v>
      </c>
      <c r="G26" s="1422">
        <v>1.671685459005694</v>
      </c>
      <c r="H26" s="1422">
        <v>1.5789156492042589</v>
      </c>
      <c r="I26" s="1422" t="s">
        <v>416</v>
      </c>
      <c r="J26" s="1422" t="s">
        <v>416</v>
      </c>
      <c r="K26" s="1422">
        <v>1.7865392368439776</v>
      </c>
      <c r="L26" s="1422">
        <v>1.8682135562627653</v>
      </c>
      <c r="M26" s="1422">
        <v>1.8943146229824139</v>
      </c>
      <c r="N26" s="1422" t="s">
        <v>416</v>
      </c>
    </row>
    <row r="27" spans="1:14">
      <c r="A27" s="1418" t="s">
        <v>456</v>
      </c>
      <c r="B27" s="1418">
        <v>2023</v>
      </c>
      <c r="C27" s="1422">
        <v>1.8822256870005845</v>
      </c>
      <c r="D27" s="1422">
        <v>1.8509951168265208</v>
      </c>
      <c r="E27" s="1422">
        <v>1.9272220753604328</v>
      </c>
      <c r="F27" s="1422" t="s">
        <v>416</v>
      </c>
      <c r="G27" s="1422">
        <v>2.0244753573306564</v>
      </c>
      <c r="H27" s="1422">
        <v>1.7853923522155801</v>
      </c>
      <c r="I27" s="1422">
        <v>1.9225526195790434</v>
      </c>
      <c r="J27" s="1422">
        <v>2.0349526066350712</v>
      </c>
      <c r="K27" s="1422">
        <v>1.8275685131195336</v>
      </c>
      <c r="L27" s="1422">
        <v>1.8677706749886747</v>
      </c>
      <c r="M27" s="1422" t="s">
        <v>416</v>
      </c>
      <c r="N27" s="1422">
        <v>1.7578824728755553</v>
      </c>
    </row>
    <row r="28" spans="1:14">
      <c r="A28" s="1418" t="s">
        <v>456</v>
      </c>
      <c r="B28" s="1418">
        <v>2022</v>
      </c>
      <c r="C28" s="1422" t="s">
        <v>416</v>
      </c>
      <c r="D28" s="1422" t="s">
        <v>416</v>
      </c>
      <c r="E28" s="1422" t="s">
        <v>416</v>
      </c>
      <c r="F28" s="1422">
        <v>1.471066840160931</v>
      </c>
      <c r="G28" s="1422">
        <v>1.7550380228136881</v>
      </c>
      <c r="H28" s="1422">
        <v>1.8540420350468529</v>
      </c>
      <c r="I28" s="1422" t="s">
        <v>416</v>
      </c>
      <c r="J28" s="1422" t="s">
        <v>416</v>
      </c>
      <c r="K28" s="1422" t="s">
        <v>416</v>
      </c>
      <c r="L28" s="1422">
        <v>1.6932197232405297</v>
      </c>
      <c r="M28" s="1422">
        <v>1.7403045254390153</v>
      </c>
      <c r="N28" s="1422">
        <v>2.0061757275194161</v>
      </c>
    </row>
    <row r="29" spans="1:14">
      <c r="A29" s="1418" t="s">
        <v>456</v>
      </c>
      <c r="B29" s="1418">
        <v>2021</v>
      </c>
      <c r="C29" s="1422">
        <v>1.6709449773955234</v>
      </c>
      <c r="D29" s="1422" t="s">
        <v>416</v>
      </c>
      <c r="E29" s="1422" t="s">
        <v>416</v>
      </c>
      <c r="F29" s="1422" t="s">
        <v>416</v>
      </c>
      <c r="G29" s="1422" t="s">
        <v>416</v>
      </c>
      <c r="H29" s="1422">
        <v>1.3181629657988772</v>
      </c>
      <c r="I29" s="1422">
        <v>1.6819259676058036</v>
      </c>
      <c r="J29" s="1422" t="s">
        <v>416</v>
      </c>
      <c r="K29" s="1422" t="s">
        <v>416</v>
      </c>
      <c r="L29" s="1422">
        <v>1.4512519233459227</v>
      </c>
      <c r="M29" s="1422">
        <v>1.6912477628538167</v>
      </c>
      <c r="N29" s="1422" t="s">
        <v>416</v>
      </c>
    </row>
    <row r="30" spans="1:14">
      <c r="A30" s="1418" t="s">
        <v>456</v>
      </c>
      <c r="B30" s="1418">
        <v>2020</v>
      </c>
      <c r="C30" s="1422">
        <v>2.1973205971583911</v>
      </c>
      <c r="D30" s="1422">
        <v>2.3362241096706895</v>
      </c>
      <c r="E30" s="1422" t="s">
        <v>416</v>
      </c>
      <c r="F30" s="1422" t="s">
        <v>416</v>
      </c>
      <c r="G30" s="1422" t="s">
        <v>416</v>
      </c>
      <c r="H30" s="1422" t="s">
        <v>416</v>
      </c>
      <c r="I30" s="1422" t="s">
        <v>416</v>
      </c>
      <c r="J30" s="1422" t="s">
        <v>416</v>
      </c>
      <c r="K30" s="1422" t="s">
        <v>416</v>
      </c>
      <c r="L30" s="1422">
        <v>2.0875493854258118</v>
      </c>
      <c r="M30" s="1422">
        <v>1.8657065612977022</v>
      </c>
      <c r="N30" s="1422">
        <v>1.8706727153635285</v>
      </c>
    </row>
    <row r="31" spans="1:14">
      <c r="A31" s="1418" t="s">
        <v>456</v>
      </c>
      <c r="B31" s="1418">
        <v>2019</v>
      </c>
      <c r="C31" s="1422" t="s">
        <v>416</v>
      </c>
      <c r="D31" s="1422">
        <v>2.1176020032405365</v>
      </c>
      <c r="E31" s="1422" t="s">
        <v>416</v>
      </c>
      <c r="F31" s="1422" t="s">
        <v>416</v>
      </c>
      <c r="G31" s="1422" t="s">
        <v>416</v>
      </c>
      <c r="H31" s="1422" t="s">
        <v>416</v>
      </c>
      <c r="I31" s="1422" t="s">
        <v>416</v>
      </c>
      <c r="J31" s="1422">
        <v>2.1551724137931036</v>
      </c>
      <c r="K31" s="1422">
        <v>2.2660955020788713</v>
      </c>
      <c r="L31" s="1422">
        <v>2.3253522883152513</v>
      </c>
      <c r="M31" s="1422" t="s">
        <v>416</v>
      </c>
      <c r="N31" s="1422" t="s">
        <v>416</v>
      </c>
    </row>
    <row r="32" spans="1:14">
      <c r="A32" s="1418" t="s">
        <v>456</v>
      </c>
      <c r="B32" s="1418">
        <v>2018</v>
      </c>
      <c r="C32" s="1422" t="s">
        <v>416</v>
      </c>
      <c r="D32" s="1422" t="s">
        <v>416</v>
      </c>
      <c r="E32" s="1422" t="s">
        <v>416</v>
      </c>
      <c r="F32" s="1422" t="s">
        <v>416</v>
      </c>
      <c r="G32" s="1422" t="s">
        <v>416</v>
      </c>
      <c r="H32" s="1422">
        <v>2.0599890562451399</v>
      </c>
      <c r="I32" s="1422">
        <v>2.2224102609779992</v>
      </c>
      <c r="J32" s="1422" t="s">
        <v>416</v>
      </c>
      <c r="K32" s="1422">
        <v>2.1068249258160239</v>
      </c>
      <c r="L32" s="1422">
        <v>2.0359502809070533</v>
      </c>
      <c r="M32" s="1422">
        <v>1.943230944254835</v>
      </c>
      <c r="N32" s="1422">
        <v>1.9556344276841171</v>
      </c>
    </row>
    <row r="33" spans="1:14">
      <c r="A33" s="1418" t="s">
        <v>456</v>
      </c>
      <c r="B33" s="1418">
        <v>2017</v>
      </c>
      <c r="C33" s="1422" t="s">
        <v>416</v>
      </c>
      <c r="D33" s="1422" t="s">
        <v>416</v>
      </c>
      <c r="E33" s="1422" t="s">
        <v>416</v>
      </c>
      <c r="F33" s="1422" t="s">
        <v>416</v>
      </c>
      <c r="G33" s="1422" t="s">
        <v>416</v>
      </c>
      <c r="H33" s="1422" t="s">
        <v>416</v>
      </c>
      <c r="I33" s="1422" t="s">
        <v>416</v>
      </c>
      <c r="J33" s="1422" t="s">
        <v>416</v>
      </c>
      <c r="K33" s="1422" t="s">
        <v>416</v>
      </c>
      <c r="L33" s="1422" t="s">
        <v>416</v>
      </c>
      <c r="M33" s="1422">
        <v>1.987471936583608</v>
      </c>
      <c r="N33" s="1422">
        <v>2.0059370231654876</v>
      </c>
    </row>
    <row r="34" spans="1:14">
      <c r="A34" s="1418" t="s">
        <v>456</v>
      </c>
      <c r="B34" s="1418">
        <v>2016</v>
      </c>
      <c r="C34" s="1422" t="s">
        <v>416</v>
      </c>
      <c r="D34" s="1422" t="s">
        <v>416</v>
      </c>
      <c r="E34" s="1422" t="s">
        <v>416</v>
      </c>
      <c r="F34" s="1422" t="s">
        <v>416</v>
      </c>
      <c r="G34" s="1422" t="s">
        <v>416</v>
      </c>
      <c r="H34" s="1422" t="s">
        <v>416</v>
      </c>
      <c r="I34" s="1422" t="s">
        <v>416</v>
      </c>
      <c r="J34" s="1422" t="s">
        <v>416</v>
      </c>
      <c r="K34" s="1422" t="s">
        <v>416</v>
      </c>
      <c r="L34" s="1422" t="s">
        <v>416</v>
      </c>
      <c r="M34" s="1422" t="s">
        <v>416</v>
      </c>
      <c r="N34" s="1422" t="s">
        <v>416</v>
      </c>
    </row>
    <row r="35" spans="1:14">
      <c r="A35" s="1418" t="s">
        <v>456</v>
      </c>
      <c r="B35" s="1418">
        <v>2015</v>
      </c>
      <c r="C35" s="1422" t="s">
        <v>416</v>
      </c>
      <c r="D35" s="1422" t="s">
        <v>416</v>
      </c>
      <c r="E35" s="1422" t="s">
        <v>416</v>
      </c>
      <c r="F35" s="1422" t="s">
        <v>416</v>
      </c>
      <c r="G35" s="1422" t="s">
        <v>416</v>
      </c>
      <c r="H35" s="1422" t="s">
        <v>416</v>
      </c>
      <c r="I35" s="1422" t="s">
        <v>416</v>
      </c>
      <c r="J35" s="1422" t="s">
        <v>416</v>
      </c>
      <c r="K35" s="1422" t="s">
        <v>416</v>
      </c>
      <c r="L35" s="1422" t="s">
        <v>416</v>
      </c>
      <c r="M35" s="1422" t="s">
        <v>416</v>
      </c>
      <c r="N35" s="1422" t="s">
        <v>416</v>
      </c>
    </row>
    <row r="36" spans="1:14">
      <c r="A36" s="1418" t="s">
        <v>459</v>
      </c>
      <c r="B36" s="1418">
        <v>2025</v>
      </c>
      <c r="C36" s="1422">
        <v>2.2960889656986136</v>
      </c>
      <c r="D36" s="1422" t="s">
        <v>416</v>
      </c>
      <c r="E36" s="1422" t="s">
        <v>416</v>
      </c>
      <c r="F36" s="1422" t="s">
        <v>416</v>
      </c>
      <c r="G36" s="1422" t="s">
        <v>416</v>
      </c>
      <c r="H36" s="1422" t="s">
        <v>416</v>
      </c>
      <c r="I36" s="1422" t="s">
        <v>416</v>
      </c>
      <c r="J36" s="1422" t="s">
        <v>416</v>
      </c>
      <c r="K36" s="1422" t="s">
        <v>416</v>
      </c>
      <c r="L36" s="1422">
        <v>2.6451612903225805</v>
      </c>
      <c r="M36" s="1422" t="s">
        <v>416</v>
      </c>
      <c r="N36" s="1422" t="s">
        <v>416</v>
      </c>
    </row>
    <row r="37" spans="1:14">
      <c r="A37" s="1418" t="s">
        <v>459</v>
      </c>
      <c r="B37" s="1418">
        <v>2024</v>
      </c>
      <c r="C37" s="1422" t="s">
        <v>416</v>
      </c>
      <c r="D37" s="1422" t="s">
        <v>416</v>
      </c>
      <c r="E37" s="1422" t="s">
        <v>416</v>
      </c>
      <c r="F37" s="1422" t="s">
        <v>416</v>
      </c>
      <c r="G37" s="1422" t="s">
        <v>416</v>
      </c>
      <c r="H37" s="1422" t="s">
        <v>416</v>
      </c>
      <c r="I37" s="1422" t="s">
        <v>416</v>
      </c>
      <c r="J37" s="1422" t="s">
        <v>416</v>
      </c>
      <c r="K37" s="1422" t="s">
        <v>416</v>
      </c>
      <c r="L37" s="1422">
        <v>2.310756972111554</v>
      </c>
      <c r="M37" s="1422">
        <v>2.1742471042471041</v>
      </c>
      <c r="N37" s="1422">
        <v>2.2816858587010223</v>
      </c>
    </row>
    <row r="38" spans="1:14">
      <c r="A38" s="1418" t="s">
        <v>459</v>
      </c>
      <c r="B38" s="1418">
        <v>2023</v>
      </c>
      <c r="C38" s="1422" t="s">
        <v>416</v>
      </c>
      <c r="D38" s="1422" t="s">
        <v>416</v>
      </c>
      <c r="E38" s="1422" t="s">
        <v>416</v>
      </c>
      <c r="F38" s="1422" t="s">
        <v>416</v>
      </c>
      <c r="G38" s="1422" t="s">
        <v>416</v>
      </c>
      <c r="H38" s="1422" t="s">
        <v>416</v>
      </c>
      <c r="I38" s="1422" t="s">
        <v>416</v>
      </c>
      <c r="J38" s="1422">
        <v>2.3707734162456275</v>
      </c>
      <c r="K38" s="1422" t="s">
        <v>416</v>
      </c>
      <c r="L38" s="1422" t="s">
        <v>416</v>
      </c>
      <c r="M38" s="1422" t="s">
        <v>416</v>
      </c>
      <c r="N38" s="1422" t="s">
        <v>416</v>
      </c>
    </row>
    <row r="39" spans="1:14">
      <c r="A39" s="1418" t="s">
        <v>459</v>
      </c>
      <c r="B39" s="1418">
        <v>2022</v>
      </c>
      <c r="C39" s="1422">
        <v>2.01263698630137</v>
      </c>
      <c r="D39" s="1422" t="s">
        <v>416</v>
      </c>
      <c r="E39" s="1422" t="s">
        <v>416</v>
      </c>
      <c r="F39" s="1422" t="s">
        <v>416</v>
      </c>
      <c r="G39" s="1422" t="s">
        <v>416</v>
      </c>
      <c r="H39" s="1422" t="s">
        <v>416</v>
      </c>
      <c r="I39" s="1422">
        <v>2.0864676708868561</v>
      </c>
      <c r="J39" s="1422" t="s">
        <v>416</v>
      </c>
      <c r="K39" s="1422">
        <v>1.8859422344536179</v>
      </c>
      <c r="L39" s="1422" t="s">
        <v>416</v>
      </c>
      <c r="M39" s="1422">
        <v>2.0419142857142858</v>
      </c>
      <c r="N39" s="1422" t="s">
        <v>416</v>
      </c>
    </row>
    <row r="40" spans="1:14">
      <c r="A40" s="1418" t="s">
        <v>459</v>
      </c>
      <c r="B40" s="1418">
        <v>2021</v>
      </c>
      <c r="C40" s="1422">
        <v>2.2177292576419214</v>
      </c>
      <c r="D40" s="1422">
        <v>2.203419707385863</v>
      </c>
      <c r="E40" s="1422" t="s">
        <v>416</v>
      </c>
      <c r="F40" s="1422" t="s">
        <v>416</v>
      </c>
      <c r="G40" s="1422" t="s">
        <v>416</v>
      </c>
      <c r="H40" s="1422" t="s">
        <v>416</v>
      </c>
      <c r="I40" s="1422" t="s">
        <v>416</v>
      </c>
      <c r="J40" s="1422" t="s">
        <v>416</v>
      </c>
      <c r="K40" s="1422">
        <v>2.058252427184466</v>
      </c>
      <c r="L40" s="1422" t="s">
        <v>416</v>
      </c>
      <c r="M40" s="1422">
        <v>1.979153164830417</v>
      </c>
      <c r="N40" s="1422" t="s">
        <v>416</v>
      </c>
    </row>
    <row r="41" spans="1:14">
      <c r="A41" s="1418" t="s">
        <v>459</v>
      </c>
      <c r="B41" s="1418">
        <v>2020</v>
      </c>
      <c r="C41" s="1422" t="s">
        <v>416</v>
      </c>
      <c r="D41" s="1422" t="s">
        <v>416</v>
      </c>
      <c r="E41" s="1422" t="s">
        <v>416</v>
      </c>
      <c r="F41" s="1422">
        <v>2.5163275434243175</v>
      </c>
      <c r="G41" s="1422" t="s">
        <v>416</v>
      </c>
      <c r="H41" s="1422">
        <v>2.2018802572983671</v>
      </c>
      <c r="I41" s="1422">
        <v>2.3163602074493164</v>
      </c>
      <c r="J41" s="1422" t="s">
        <v>416</v>
      </c>
      <c r="K41" s="1422" t="s">
        <v>416</v>
      </c>
      <c r="L41" s="1422">
        <v>2.3731683168316833</v>
      </c>
      <c r="M41" s="1422">
        <v>2.3624186046511628</v>
      </c>
      <c r="N41" s="1422" t="s">
        <v>416</v>
      </c>
    </row>
    <row r="42" spans="1:14">
      <c r="A42" s="1418" t="s">
        <v>459</v>
      </c>
      <c r="B42" s="1418">
        <v>2019</v>
      </c>
      <c r="C42" s="1422">
        <v>2.3106428208327556</v>
      </c>
      <c r="D42" s="1422">
        <v>2.2655228026162528</v>
      </c>
      <c r="E42" s="1422" t="s">
        <v>416</v>
      </c>
      <c r="F42" s="1422" t="s">
        <v>416</v>
      </c>
      <c r="G42" s="1422" t="s">
        <v>416</v>
      </c>
      <c r="H42" s="1422" t="s">
        <v>416</v>
      </c>
      <c r="I42" s="1422">
        <v>2.4609139784946237</v>
      </c>
      <c r="J42" s="1422" t="s">
        <v>416</v>
      </c>
      <c r="K42" s="1422" t="s">
        <v>416</v>
      </c>
      <c r="L42" s="1422">
        <v>2.4611723446893787</v>
      </c>
      <c r="M42" s="1422" t="s">
        <v>416</v>
      </c>
      <c r="N42" s="1422" t="s">
        <v>416</v>
      </c>
    </row>
    <row r="43" spans="1:14">
      <c r="A43" s="1418" t="s">
        <v>459</v>
      </c>
      <c r="B43" s="1418">
        <v>2018</v>
      </c>
      <c r="C43" s="1422" t="s">
        <v>416</v>
      </c>
      <c r="D43" s="1422">
        <v>2.58</v>
      </c>
      <c r="E43" s="1422" t="s">
        <v>416</v>
      </c>
      <c r="F43" s="1422" t="s">
        <v>416</v>
      </c>
      <c r="G43" s="1422" t="s">
        <v>416</v>
      </c>
      <c r="H43" s="1422" t="s">
        <v>416</v>
      </c>
      <c r="I43" s="1422" t="s">
        <v>416</v>
      </c>
      <c r="J43" s="1422">
        <v>2.3686562717250967</v>
      </c>
      <c r="K43" s="1422">
        <v>2.468279004556607</v>
      </c>
      <c r="L43" s="1422">
        <v>2.3308628904182105</v>
      </c>
      <c r="M43" s="1422">
        <v>2.4274618851280083</v>
      </c>
      <c r="N43" s="1422">
        <v>2.4012908124525438</v>
      </c>
    </row>
    <row r="44" spans="1:14">
      <c r="A44" s="1418" t="s">
        <v>459</v>
      </c>
      <c r="B44" s="1418">
        <v>2017</v>
      </c>
      <c r="C44" s="1422" t="s">
        <v>416</v>
      </c>
      <c r="D44" s="1422" t="s">
        <v>416</v>
      </c>
      <c r="E44" s="1422" t="s">
        <v>416</v>
      </c>
      <c r="F44" s="1422" t="s">
        <v>416</v>
      </c>
      <c r="G44" s="1422" t="s">
        <v>416</v>
      </c>
      <c r="H44" s="1422" t="s">
        <v>416</v>
      </c>
      <c r="I44" s="1422" t="s">
        <v>416</v>
      </c>
      <c r="J44" s="1422" t="s">
        <v>416</v>
      </c>
      <c r="K44" s="1422" t="s">
        <v>416</v>
      </c>
      <c r="L44" s="1422">
        <v>2.5366420701506112</v>
      </c>
      <c r="M44" s="1422">
        <v>2.4866498740554159</v>
      </c>
      <c r="N44" s="1422">
        <v>2.5087000000000002</v>
      </c>
    </row>
    <row r="45" spans="1:14">
      <c r="A45" s="1418" t="s">
        <v>459</v>
      </c>
      <c r="B45" s="1418">
        <v>2016</v>
      </c>
      <c r="C45" s="1422" t="s">
        <v>416</v>
      </c>
      <c r="D45" s="1422" t="s">
        <v>416</v>
      </c>
      <c r="E45" s="1422" t="s">
        <v>416</v>
      </c>
      <c r="F45" s="1422" t="s">
        <v>416</v>
      </c>
      <c r="G45" s="1422" t="s">
        <v>416</v>
      </c>
      <c r="H45" s="1422" t="s">
        <v>416</v>
      </c>
      <c r="I45" s="1422" t="s">
        <v>416</v>
      </c>
      <c r="J45" s="1422" t="s">
        <v>416</v>
      </c>
      <c r="K45" s="1422" t="s">
        <v>416</v>
      </c>
      <c r="L45" s="1422" t="s">
        <v>416</v>
      </c>
      <c r="M45" s="1422" t="s">
        <v>416</v>
      </c>
      <c r="N45" s="1422" t="s">
        <v>416</v>
      </c>
    </row>
    <row r="46" spans="1:14">
      <c r="A46" s="1418" t="s">
        <v>459</v>
      </c>
      <c r="B46" s="1418">
        <v>2015</v>
      </c>
      <c r="C46" s="1422" t="s">
        <v>416</v>
      </c>
      <c r="D46" s="1422" t="s">
        <v>416</v>
      </c>
      <c r="E46" s="1422" t="s">
        <v>416</v>
      </c>
      <c r="F46" s="1422" t="s">
        <v>416</v>
      </c>
      <c r="G46" s="1422" t="s">
        <v>416</v>
      </c>
      <c r="H46" s="1422" t="s">
        <v>416</v>
      </c>
      <c r="I46" s="1422" t="s">
        <v>416</v>
      </c>
      <c r="J46" s="1422" t="s">
        <v>416</v>
      </c>
      <c r="K46" s="1422" t="s">
        <v>416</v>
      </c>
      <c r="L46" s="1422" t="s">
        <v>416</v>
      </c>
      <c r="M46" s="1422" t="s">
        <v>416</v>
      </c>
      <c r="N46" s="1422" t="s">
        <v>416</v>
      </c>
    </row>
    <row r="47" spans="1:14">
      <c r="A47" s="1420"/>
      <c r="B47" s="1420"/>
      <c r="C47" s="1420"/>
      <c r="D47" s="1420"/>
      <c r="E47" s="1420"/>
      <c r="F47" s="1420"/>
      <c r="G47" s="1420"/>
      <c r="H47" s="1420"/>
      <c r="I47" s="1420"/>
      <c r="J47" s="1420"/>
      <c r="K47" s="1420"/>
      <c r="L47" s="1420"/>
      <c r="M47" s="1420"/>
      <c r="N47" s="1420"/>
    </row>
    <row r="48" spans="1:14">
      <c r="A48" s="1434" t="s">
        <v>463</v>
      </c>
      <c r="B48" s="1420"/>
      <c r="C48" s="1420"/>
      <c r="D48" s="1420"/>
      <c r="E48" s="1420"/>
      <c r="F48" s="1420"/>
      <c r="G48" s="1420"/>
      <c r="H48" s="1420"/>
      <c r="I48" s="1420"/>
      <c r="J48" s="1420"/>
      <c r="K48" s="1420"/>
      <c r="L48" s="1420"/>
      <c r="M48" s="1420"/>
      <c r="N48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71" orientation="landscape" r:id="rId1"/>
  <headerFooter alignWithMargins="0">
    <oddHeader xml:space="preserve">&amp;R
</oddHeader>
    <oddFooter>&amp;R&amp;10
&amp;12
...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>
    <tabColor rgb="FF92D050"/>
  </sheetPr>
  <dimension ref="A1:E281"/>
  <sheetViews>
    <sheetView zoomScale="140" zoomScaleNormal="140" workbookViewId="0"/>
  </sheetViews>
  <sheetFormatPr baseColWidth="10" defaultRowHeight="14.15"/>
  <cols>
    <col min="1" max="5" width="20.69140625" customWidth="1"/>
    <col min="7" max="7" width="11.53515625" bestFit="1" customWidth="1"/>
    <col min="9" max="9" width="17.3828125" bestFit="1" customWidth="1"/>
  </cols>
  <sheetData>
    <row r="1" spans="1:5" ht="18">
      <c r="A1" s="1466" t="s">
        <v>665</v>
      </c>
      <c r="B1" s="1403"/>
      <c r="C1" s="1403"/>
      <c r="D1" s="1403"/>
      <c r="E1" s="1403"/>
    </row>
    <row r="2" spans="1:5">
      <c r="A2" s="1463" t="s">
        <v>499</v>
      </c>
      <c r="B2" s="1459" t="s">
        <v>500</v>
      </c>
      <c r="C2" s="1459" t="s">
        <v>118</v>
      </c>
      <c r="D2" s="1459" t="s">
        <v>501</v>
      </c>
      <c r="E2" s="1459" t="s">
        <v>502</v>
      </c>
    </row>
    <row r="3" spans="1:5">
      <c r="A3" s="1461" t="s">
        <v>484</v>
      </c>
      <c r="B3" s="1462" t="s">
        <v>503</v>
      </c>
      <c r="C3" s="1467">
        <v>2024</v>
      </c>
      <c r="D3" s="1462" t="s">
        <v>395</v>
      </c>
      <c r="E3" s="1464">
        <v>1690</v>
      </c>
    </row>
    <row r="4" spans="1:5">
      <c r="A4" s="1460" t="s">
        <v>484</v>
      </c>
      <c r="B4" s="1435" t="s">
        <v>503</v>
      </c>
      <c r="C4" s="1468">
        <v>2024</v>
      </c>
      <c r="D4" s="1435" t="s">
        <v>392</v>
      </c>
      <c r="E4" s="1465">
        <v>300</v>
      </c>
    </row>
    <row r="5" spans="1:5">
      <c r="A5" s="1460" t="s">
        <v>484</v>
      </c>
      <c r="B5" s="1435" t="s">
        <v>503</v>
      </c>
      <c r="C5" s="1468">
        <v>2024</v>
      </c>
      <c r="D5" s="1435" t="s">
        <v>393</v>
      </c>
      <c r="E5" s="1465">
        <v>3000</v>
      </c>
    </row>
    <row r="6" spans="1:5">
      <c r="A6" s="1460" t="s">
        <v>484</v>
      </c>
      <c r="B6" s="1435" t="s">
        <v>503</v>
      </c>
      <c r="C6" s="1468">
        <v>2024</v>
      </c>
      <c r="D6" s="1435" t="s">
        <v>387</v>
      </c>
      <c r="E6" s="1465">
        <v>300</v>
      </c>
    </row>
    <row r="7" spans="1:5">
      <c r="A7" s="1460" t="s">
        <v>484</v>
      </c>
      <c r="B7" s="1435" t="s">
        <v>503</v>
      </c>
      <c r="C7" s="1468">
        <v>2024</v>
      </c>
      <c r="D7" s="1435" t="s">
        <v>402</v>
      </c>
      <c r="E7" s="1465">
        <v>898.5</v>
      </c>
    </row>
    <row r="8" spans="1:5">
      <c r="A8" s="1460" t="s">
        <v>484</v>
      </c>
      <c r="B8" s="1435" t="s">
        <v>504</v>
      </c>
      <c r="C8" s="1468">
        <v>2024</v>
      </c>
      <c r="D8" s="1435" t="s">
        <v>400</v>
      </c>
      <c r="E8" s="1465">
        <v>718.4</v>
      </c>
    </row>
    <row r="9" spans="1:5">
      <c r="A9" s="1460" t="s">
        <v>484</v>
      </c>
      <c r="B9" s="1435" t="s">
        <v>504</v>
      </c>
      <c r="C9" s="1468">
        <v>2024</v>
      </c>
      <c r="D9" s="1435" t="s">
        <v>387</v>
      </c>
      <c r="E9" s="1465">
        <v>0</v>
      </c>
    </row>
    <row r="10" spans="1:5">
      <c r="A10" s="1460" t="s">
        <v>484</v>
      </c>
      <c r="B10" s="1435" t="s">
        <v>505</v>
      </c>
      <c r="C10" s="1468">
        <v>2024</v>
      </c>
      <c r="D10" s="1435" t="s">
        <v>387</v>
      </c>
      <c r="E10" s="1465">
        <v>60</v>
      </c>
    </row>
    <row r="11" spans="1:5">
      <c r="A11" s="1460" t="s">
        <v>484</v>
      </c>
      <c r="B11" s="1435" t="s">
        <v>506</v>
      </c>
      <c r="C11" s="1468">
        <v>2024</v>
      </c>
      <c r="D11" s="1435" t="s">
        <v>387</v>
      </c>
      <c r="E11" s="1465">
        <v>0</v>
      </c>
    </row>
    <row r="12" spans="1:5">
      <c r="A12" s="1460" t="s">
        <v>484</v>
      </c>
      <c r="B12" s="1435" t="s">
        <v>507</v>
      </c>
      <c r="C12" s="1468">
        <v>2024</v>
      </c>
      <c r="D12" s="1435" t="s">
        <v>394</v>
      </c>
      <c r="E12" s="1465">
        <v>575.04999999999995</v>
      </c>
    </row>
    <row r="13" spans="1:5">
      <c r="A13" s="1460" t="s">
        <v>484</v>
      </c>
      <c r="B13" s="1435" t="s">
        <v>507</v>
      </c>
      <c r="C13" s="1468">
        <v>2024</v>
      </c>
      <c r="D13" s="1435" t="s">
        <v>395</v>
      </c>
      <c r="E13" s="1465">
        <v>480</v>
      </c>
    </row>
    <row r="14" spans="1:5">
      <c r="A14" s="1460" t="s">
        <v>484</v>
      </c>
      <c r="B14" s="1435" t="s">
        <v>507</v>
      </c>
      <c r="C14" s="1468">
        <v>2024</v>
      </c>
      <c r="D14" s="1435" t="s">
        <v>391</v>
      </c>
      <c r="E14" s="1465">
        <v>270.2</v>
      </c>
    </row>
    <row r="15" spans="1:5">
      <c r="A15" s="1460" t="s">
        <v>484</v>
      </c>
      <c r="B15" s="1435" t="s">
        <v>507</v>
      </c>
      <c r="C15" s="1468">
        <v>2024</v>
      </c>
      <c r="D15" s="1435" t="s">
        <v>401</v>
      </c>
      <c r="E15" s="1465">
        <v>710</v>
      </c>
    </row>
    <row r="16" spans="1:5">
      <c r="A16" s="1460" t="s">
        <v>484</v>
      </c>
      <c r="B16" s="1435" t="s">
        <v>507</v>
      </c>
      <c r="C16" s="1468">
        <v>2024</v>
      </c>
      <c r="D16" s="1435" t="s">
        <v>387</v>
      </c>
      <c r="E16" s="1465">
        <v>6122.36</v>
      </c>
    </row>
    <row r="17" spans="1:5">
      <c r="A17" s="1460" t="s">
        <v>484</v>
      </c>
      <c r="B17" s="1435" t="s">
        <v>507</v>
      </c>
      <c r="C17" s="1468">
        <v>2024</v>
      </c>
      <c r="D17" s="1435" t="s">
        <v>402</v>
      </c>
      <c r="E17" s="1465">
        <v>4191</v>
      </c>
    </row>
    <row r="18" spans="1:5">
      <c r="A18" s="1460" t="s">
        <v>484</v>
      </c>
      <c r="B18" s="1435" t="s">
        <v>508</v>
      </c>
      <c r="C18" s="1468">
        <v>2024</v>
      </c>
      <c r="D18" s="1435" t="s">
        <v>387</v>
      </c>
      <c r="E18" s="1465">
        <v>2730</v>
      </c>
    </row>
    <row r="19" spans="1:5">
      <c r="A19" s="1460" t="s">
        <v>484</v>
      </c>
      <c r="B19" s="1435" t="s">
        <v>509</v>
      </c>
      <c r="C19" s="1468">
        <v>2024</v>
      </c>
      <c r="D19" s="1435" t="s">
        <v>394</v>
      </c>
      <c r="E19" s="1465">
        <v>399.84</v>
      </c>
    </row>
    <row r="20" spans="1:5">
      <c r="A20" s="1460" t="s">
        <v>484</v>
      </c>
      <c r="B20" s="1435" t="s">
        <v>509</v>
      </c>
      <c r="C20" s="1468">
        <v>2024</v>
      </c>
      <c r="D20" s="1435" t="s">
        <v>395</v>
      </c>
      <c r="E20" s="1465">
        <v>323</v>
      </c>
    </row>
    <row r="21" spans="1:5">
      <c r="A21" s="1460" t="s">
        <v>484</v>
      </c>
      <c r="B21" s="1435" t="s">
        <v>509</v>
      </c>
      <c r="C21" s="1468">
        <v>2024</v>
      </c>
      <c r="D21" s="1435" t="s">
        <v>387</v>
      </c>
      <c r="E21" s="1465">
        <v>1930</v>
      </c>
    </row>
    <row r="22" spans="1:5">
      <c r="A22" s="1460" t="s">
        <v>484</v>
      </c>
      <c r="B22" s="1435" t="s">
        <v>510</v>
      </c>
      <c r="C22" s="1468">
        <v>2024</v>
      </c>
      <c r="D22" s="1435" t="s">
        <v>387</v>
      </c>
      <c r="E22" s="1465">
        <v>180</v>
      </c>
    </row>
    <row r="23" spans="1:5">
      <c r="A23" s="1460" t="s">
        <v>484</v>
      </c>
      <c r="B23" s="1435" t="s">
        <v>511</v>
      </c>
      <c r="C23" s="1468">
        <v>2024</v>
      </c>
      <c r="D23" s="1435" t="s">
        <v>387</v>
      </c>
      <c r="E23" s="1465">
        <v>160</v>
      </c>
    </row>
    <row r="24" spans="1:5">
      <c r="A24" s="1460" t="s">
        <v>484</v>
      </c>
      <c r="B24" s="1435" t="s">
        <v>512</v>
      </c>
      <c r="C24" s="1468">
        <v>2024</v>
      </c>
      <c r="D24" s="1435" t="s">
        <v>392</v>
      </c>
      <c r="E24" s="1465">
        <v>160</v>
      </c>
    </row>
    <row r="25" spans="1:5">
      <c r="A25" s="1460" t="s">
        <v>484</v>
      </c>
      <c r="B25" s="1435" t="s">
        <v>512</v>
      </c>
      <c r="C25" s="1468">
        <v>2024</v>
      </c>
      <c r="D25" s="1435" t="s">
        <v>399</v>
      </c>
      <c r="E25" s="1465">
        <v>867</v>
      </c>
    </row>
    <row r="26" spans="1:5">
      <c r="A26" s="1460" t="s">
        <v>484</v>
      </c>
      <c r="B26" s="1435" t="s">
        <v>512</v>
      </c>
      <c r="C26" s="1468">
        <v>2024</v>
      </c>
      <c r="D26" s="1435" t="s">
        <v>389</v>
      </c>
      <c r="E26" s="1465">
        <v>212</v>
      </c>
    </row>
    <row r="27" spans="1:5">
      <c r="A27" s="1460" t="s">
        <v>484</v>
      </c>
      <c r="B27" s="1435" t="s">
        <v>512</v>
      </c>
      <c r="C27" s="1468">
        <v>2024</v>
      </c>
      <c r="D27" s="1435" t="s">
        <v>387</v>
      </c>
      <c r="E27" s="1465">
        <v>2785</v>
      </c>
    </row>
    <row r="28" spans="1:5">
      <c r="A28" s="1460" t="s">
        <v>484</v>
      </c>
      <c r="B28" s="1435" t="s">
        <v>513</v>
      </c>
      <c r="C28" s="1468">
        <v>2024</v>
      </c>
      <c r="D28" s="1435" t="s">
        <v>387</v>
      </c>
      <c r="E28" s="1465">
        <v>0</v>
      </c>
    </row>
    <row r="29" spans="1:5">
      <c r="A29" s="1460" t="s">
        <v>484</v>
      </c>
      <c r="B29" s="1435" t="s">
        <v>514</v>
      </c>
      <c r="C29" s="1468">
        <v>2024</v>
      </c>
      <c r="D29" s="1435" t="s">
        <v>389</v>
      </c>
      <c r="E29" s="1465">
        <v>2988.44</v>
      </c>
    </row>
    <row r="30" spans="1:5">
      <c r="A30" s="1460" t="s">
        <v>484</v>
      </c>
      <c r="B30" s="1435" t="s">
        <v>514</v>
      </c>
      <c r="C30" s="1468">
        <v>2024</v>
      </c>
      <c r="D30" s="1435" t="s">
        <v>387</v>
      </c>
      <c r="E30" s="1465">
        <v>50</v>
      </c>
    </row>
    <row r="31" spans="1:5">
      <c r="A31" s="1460" t="s">
        <v>484</v>
      </c>
      <c r="B31" s="1435" t="s">
        <v>515</v>
      </c>
      <c r="C31" s="1468">
        <v>2024</v>
      </c>
      <c r="D31" s="1435" t="s">
        <v>391</v>
      </c>
      <c r="E31" s="1465">
        <v>795</v>
      </c>
    </row>
    <row r="32" spans="1:5">
      <c r="A32" s="1460" t="s">
        <v>484</v>
      </c>
      <c r="B32" s="1435" t="s">
        <v>516</v>
      </c>
      <c r="C32" s="1468">
        <v>2024</v>
      </c>
      <c r="D32" s="1435" t="s">
        <v>387</v>
      </c>
      <c r="E32" s="1465">
        <v>300</v>
      </c>
    </row>
    <row r="33" spans="1:5">
      <c r="A33" s="1460" t="s">
        <v>484</v>
      </c>
      <c r="B33" s="1435" t="s">
        <v>517</v>
      </c>
      <c r="C33" s="1468">
        <v>2024</v>
      </c>
      <c r="D33" s="1435" t="s">
        <v>389</v>
      </c>
      <c r="E33" s="1465">
        <v>1540</v>
      </c>
    </row>
    <row r="34" spans="1:5">
      <c r="A34" s="1460" t="s">
        <v>484</v>
      </c>
      <c r="B34" s="1435" t="s">
        <v>517</v>
      </c>
      <c r="C34" s="1468">
        <v>2024</v>
      </c>
      <c r="D34" s="1435" t="s">
        <v>387</v>
      </c>
      <c r="E34" s="1465">
        <v>60</v>
      </c>
    </row>
    <row r="35" spans="1:5">
      <c r="A35" s="1460" t="s">
        <v>484</v>
      </c>
      <c r="B35" s="1435" t="s">
        <v>518</v>
      </c>
      <c r="C35" s="1468">
        <v>2024</v>
      </c>
      <c r="D35" s="1435" t="s">
        <v>387</v>
      </c>
      <c r="E35" s="1465">
        <v>811.91</v>
      </c>
    </row>
    <row r="36" spans="1:5">
      <c r="A36" s="1460" t="s">
        <v>484</v>
      </c>
      <c r="B36" s="1435" t="s">
        <v>519</v>
      </c>
      <c r="C36" s="1468">
        <v>2024</v>
      </c>
      <c r="D36" s="1435" t="s">
        <v>395</v>
      </c>
      <c r="E36" s="1465">
        <v>0</v>
      </c>
    </row>
    <row r="37" spans="1:5">
      <c r="A37" s="1460" t="s">
        <v>484</v>
      </c>
      <c r="B37" s="1435" t="s">
        <v>520</v>
      </c>
      <c r="C37" s="1468">
        <v>2024</v>
      </c>
      <c r="D37" s="1435" t="s">
        <v>395</v>
      </c>
      <c r="E37" s="1465">
        <v>3642.3</v>
      </c>
    </row>
    <row r="38" spans="1:5">
      <c r="A38" s="1460" t="s">
        <v>484</v>
      </c>
      <c r="B38" s="1435" t="s">
        <v>520</v>
      </c>
      <c r="C38" s="1468">
        <v>2024</v>
      </c>
      <c r="D38" s="1435" t="s">
        <v>391</v>
      </c>
      <c r="E38" s="1465">
        <v>599</v>
      </c>
    </row>
    <row r="39" spans="1:5">
      <c r="A39" s="1460" t="s">
        <v>484</v>
      </c>
      <c r="B39" s="1435" t="s">
        <v>520</v>
      </c>
      <c r="C39" s="1468">
        <v>2024</v>
      </c>
      <c r="D39" s="1435" t="s">
        <v>401</v>
      </c>
      <c r="E39" s="1465">
        <v>466</v>
      </c>
    </row>
    <row r="40" spans="1:5">
      <c r="A40" s="1460" t="s">
        <v>484</v>
      </c>
      <c r="B40" s="1435" t="s">
        <v>521</v>
      </c>
      <c r="C40" s="1468">
        <v>2024</v>
      </c>
      <c r="D40" s="1435" t="s">
        <v>401</v>
      </c>
      <c r="E40" s="1465">
        <v>306</v>
      </c>
    </row>
    <row r="41" spans="1:5">
      <c r="A41" s="1460" t="s">
        <v>484</v>
      </c>
      <c r="B41" s="1435" t="s">
        <v>522</v>
      </c>
      <c r="C41" s="1468">
        <v>2024</v>
      </c>
      <c r="D41" s="1435" t="s">
        <v>394</v>
      </c>
      <c r="E41" s="1465">
        <v>474</v>
      </c>
    </row>
    <row r="42" spans="1:5">
      <c r="A42" s="1460" t="s">
        <v>484</v>
      </c>
      <c r="B42" s="1435" t="s">
        <v>522</v>
      </c>
      <c r="C42" s="1468">
        <v>2024</v>
      </c>
      <c r="D42" s="1435" t="s">
        <v>391</v>
      </c>
      <c r="E42" s="1465">
        <v>385</v>
      </c>
    </row>
    <row r="43" spans="1:5">
      <c r="A43" s="1460" t="s">
        <v>484</v>
      </c>
      <c r="B43" s="1435" t="s">
        <v>523</v>
      </c>
      <c r="C43" s="1468">
        <v>2024</v>
      </c>
      <c r="D43" s="1435" t="s">
        <v>387</v>
      </c>
      <c r="E43" s="1465">
        <v>0</v>
      </c>
    </row>
    <row r="44" spans="1:5">
      <c r="A44" s="1460" t="s">
        <v>484</v>
      </c>
      <c r="B44" s="1435" t="s">
        <v>524</v>
      </c>
      <c r="C44" s="1468">
        <v>2024</v>
      </c>
      <c r="D44" s="1435" t="s">
        <v>387</v>
      </c>
      <c r="E44" s="1465">
        <v>190</v>
      </c>
    </row>
    <row r="45" spans="1:5">
      <c r="A45" s="1460" t="s">
        <v>484</v>
      </c>
      <c r="B45" s="1435" t="s">
        <v>525</v>
      </c>
      <c r="C45" s="1468">
        <v>2024</v>
      </c>
      <c r="D45" s="1435" t="s">
        <v>389</v>
      </c>
      <c r="E45" s="1465">
        <v>366.76</v>
      </c>
    </row>
    <row r="46" spans="1:5">
      <c r="A46" s="1460" t="s">
        <v>484</v>
      </c>
      <c r="B46" s="1435" t="s">
        <v>525</v>
      </c>
      <c r="C46" s="1468">
        <v>2024</v>
      </c>
      <c r="D46" s="1435" t="s">
        <v>387</v>
      </c>
      <c r="E46" s="1465">
        <v>650.44000000000005</v>
      </c>
    </row>
    <row r="47" spans="1:5">
      <c r="A47" s="1460" t="s">
        <v>484</v>
      </c>
      <c r="B47" s="1435" t="s">
        <v>526</v>
      </c>
      <c r="C47" s="1468">
        <v>2024</v>
      </c>
      <c r="D47" s="1435" t="s">
        <v>399</v>
      </c>
      <c r="E47" s="1465">
        <v>0</v>
      </c>
    </row>
    <row r="48" spans="1:5">
      <c r="A48" s="1460" t="s">
        <v>484</v>
      </c>
      <c r="B48" s="1435" t="s">
        <v>526</v>
      </c>
      <c r="C48" s="1468">
        <v>2024</v>
      </c>
      <c r="D48" s="1435" t="s">
        <v>387</v>
      </c>
      <c r="E48" s="1465">
        <v>0</v>
      </c>
    </row>
    <row r="49" spans="1:5">
      <c r="A49" s="1460" t="s">
        <v>484</v>
      </c>
      <c r="B49" s="1435" t="s">
        <v>527</v>
      </c>
      <c r="C49" s="1468">
        <v>2024</v>
      </c>
      <c r="D49" s="1435" t="s">
        <v>387</v>
      </c>
      <c r="E49" s="1465">
        <v>0</v>
      </c>
    </row>
    <row r="50" spans="1:5">
      <c r="A50" s="1460" t="s">
        <v>484</v>
      </c>
      <c r="B50" s="1435" t="s">
        <v>528</v>
      </c>
      <c r="C50" s="1468">
        <v>2024</v>
      </c>
      <c r="D50" s="1435" t="s">
        <v>387</v>
      </c>
      <c r="E50" s="1465">
        <v>0</v>
      </c>
    </row>
    <row r="51" spans="1:5">
      <c r="A51" s="1460" t="s">
        <v>484</v>
      </c>
      <c r="B51" s="1435" t="s">
        <v>529</v>
      </c>
      <c r="C51" s="1468">
        <v>2024</v>
      </c>
      <c r="D51" s="1435" t="s">
        <v>387</v>
      </c>
      <c r="E51" s="1465">
        <v>678.54</v>
      </c>
    </row>
    <row r="52" spans="1:5">
      <c r="A52" s="1460" t="s">
        <v>484</v>
      </c>
      <c r="B52" s="1435" t="s">
        <v>530</v>
      </c>
      <c r="C52" s="1468">
        <v>2024</v>
      </c>
      <c r="D52" s="1435" t="s">
        <v>387</v>
      </c>
      <c r="E52" s="1465">
        <v>360</v>
      </c>
    </row>
    <row r="53" spans="1:5">
      <c r="A53" s="1460" t="s">
        <v>484</v>
      </c>
      <c r="B53" s="1435" t="s">
        <v>531</v>
      </c>
      <c r="C53" s="1468">
        <v>2024</v>
      </c>
      <c r="D53" s="1435" t="s">
        <v>387</v>
      </c>
      <c r="E53" s="1465">
        <v>0</v>
      </c>
    </row>
    <row r="54" spans="1:5">
      <c r="A54" s="1460" t="s">
        <v>484</v>
      </c>
      <c r="B54" s="1435" t="s">
        <v>532</v>
      </c>
      <c r="C54" s="1468">
        <v>2024</v>
      </c>
      <c r="D54" s="1435" t="s">
        <v>389</v>
      </c>
      <c r="E54" s="1465">
        <v>1121.8</v>
      </c>
    </row>
    <row r="55" spans="1:5">
      <c r="A55" s="1460" t="s">
        <v>484</v>
      </c>
      <c r="B55" s="1435" t="s">
        <v>533</v>
      </c>
      <c r="C55" s="1468">
        <v>2024</v>
      </c>
      <c r="D55" s="1435" t="s">
        <v>387</v>
      </c>
      <c r="E55" s="1465">
        <v>750</v>
      </c>
    </row>
    <row r="56" spans="1:5">
      <c r="A56" s="1460" t="s">
        <v>484</v>
      </c>
      <c r="B56" s="1435" t="s">
        <v>534</v>
      </c>
      <c r="C56" s="1468">
        <v>2024</v>
      </c>
      <c r="D56" s="1435" t="s">
        <v>387</v>
      </c>
      <c r="E56" s="1465">
        <v>60</v>
      </c>
    </row>
    <row r="57" spans="1:5">
      <c r="A57" s="1460" t="s">
        <v>484</v>
      </c>
      <c r="B57" s="1435" t="s">
        <v>535</v>
      </c>
      <c r="C57" s="1468">
        <v>2024</v>
      </c>
      <c r="D57" s="1435" t="s">
        <v>387</v>
      </c>
      <c r="E57" s="1465">
        <v>0</v>
      </c>
    </row>
    <row r="58" spans="1:5">
      <c r="A58" s="1460" t="s">
        <v>484</v>
      </c>
      <c r="B58" s="1435" t="s">
        <v>536</v>
      </c>
      <c r="C58" s="1468">
        <v>2024</v>
      </c>
      <c r="D58" s="1435" t="s">
        <v>395</v>
      </c>
      <c r="E58" s="1465">
        <v>214</v>
      </c>
    </row>
    <row r="59" spans="1:5">
      <c r="A59" s="1460" t="s">
        <v>484</v>
      </c>
      <c r="B59" s="1435" t="s">
        <v>536</v>
      </c>
      <c r="C59" s="1468">
        <v>2024</v>
      </c>
      <c r="D59" s="1435" t="s">
        <v>399</v>
      </c>
      <c r="E59" s="1465">
        <v>2553.5</v>
      </c>
    </row>
    <row r="60" spans="1:5">
      <c r="A60" s="1460" t="s">
        <v>484</v>
      </c>
      <c r="B60" s="1435" t="s">
        <v>536</v>
      </c>
      <c r="C60" s="1468">
        <v>2024</v>
      </c>
      <c r="D60" s="1435" t="s">
        <v>389</v>
      </c>
      <c r="E60" s="1465">
        <v>648</v>
      </c>
    </row>
    <row r="61" spans="1:5">
      <c r="A61" s="1460" t="s">
        <v>484</v>
      </c>
      <c r="B61" s="1435" t="s">
        <v>536</v>
      </c>
      <c r="C61" s="1468">
        <v>2024</v>
      </c>
      <c r="D61" s="1435" t="s">
        <v>401</v>
      </c>
      <c r="E61" s="1465">
        <v>255</v>
      </c>
    </row>
    <row r="62" spans="1:5">
      <c r="A62" s="1460" t="s">
        <v>484</v>
      </c>
      <c r="B62" s="1435" t="s">
        <v>536</v>
      </c>
      <c r="C62" s="1468">
        <v>2024</v>
      </c>
      <c r="D62" s="1435" t="s">
        <v>387</v>
      </c>
      <c r="E62" s="1465">
        <v>3636</v>
      </c>
    </row>
    <row r="63" spans="1:5">
      <c r="A63" s="1460" t="s">
        <v>484</v>
      </c>
      <c r="B63" s="1435" t="s">
        <v>536</v>
      </c>
      <c r="C63" s="1468">
        <v>2024</v>
      </c>
      <c r="D63" s="1435" t="s">
        <v>402</v>
      </c>
      <c r="E63" s="1465">
        <v>470</v>
      </c>
    </row>
    <row r="64" spans="1:5">
      <c r="A64" s="1460" t="s">
        <v>484</v>
      </c>
      <c r="B64" s="1435" t="s">
        <v>537</v>
      </c>
      <c r="C64" s="1468">
        <v>2024</v>
      </c>
      <c r="D64" s="1435" t="s">
        <v>392</v>
      </c>
      <c r="E64" s="1465">
        <v>2543</v>
      </c>
    </row>
    <row r="65" spans="1:5">
      <c r="A65" s="1460" t="s">
        <v>484</v>
      </c>
      <c r="B65" s="1435" t="s">
        <v>537</v>
      </c>
      <c r="C65" s="1468">
        <v>2024</v>
      </c>
      <c r="D65" s="1435" t="s">
        <v>389</v>
      </c>
      <c r="E65" s="1465">
        <v>1200</v>
      </c>
    </row>
    <row r="66" spans="1:5">
      <c r="A66" s="1460" t="s">
        <v>484</v>
      </c>
      <c r="B66" s="1435" t="s">
        <v>537</v>
      </c>
      <c r="C66" s="1468">
        <v>2024</v>
      </c>
      <c r="D66" s="1435" t="s">
        <v>391</v>
      </c>
      <c r="E66" s="1465">
        <v>164</v>
      </c>
    </row>
    <row r="67" spans="1:5">
      <c r="A67" s="1460" t="s">
        <v>484</v>
      </c>
      <c r="B67" s="1435" t="s">
        <v>537</v>
      </c>
      <c r="C67" s="1468">
        <v>2024</v>
      </c>
      <c r="D67" s="1435" t="s">
        <v>393</v>
      </c>
      <c r="E67" s="1465">
        <v>350</v>
      </c>
    </row>
    <row r="68" spans="1:5">
      <c r="A68" s="1460" t="s">
        <v>484</v>
      </c>
      <c r="B68" s="1435" t="s">
        <v>537</v>
      </c>
      <c r="C68" s="1468">
        <v>2024</v>
      </c>
      <c r="D68" s="1435" t="s">
        <v>387</v>
      </c>
      <c r="E68" s="1465">
        <v>2348</v>
      </c>
    </row>
    <row r="69" spans="1:5">
      <c r="A69" s="1460" t="s">
        <v>484</v>
      </c>
      <c r="B69" s="1435" t="s">
        <v>537</v>
      </c>
      <c r="C69" s="1468">
        <v>2024</v>
      </c>
      <c r="D69" s="1435" t="s">
        <v>402</v>
      </c>
      <c r="E69" s="1465">
        <v>2624</v>
      </c>
    </row>
    <row r="70" spans="1:5">
      <c r="A70" s="1460" t="s">
        <v>484</v>
      </c>
      <c r="B70" s="1435" t="s">
        <v>538</v>
      </c>
      <c r="C70" s="1468">
        <v>2024</v>
      </c>
      <c r="D70" s="1435" t="s">
        <v>394</v>
      </c>
      <c r="E70" s="1465">
        <v>425</v>
      </c>
    </row>
    <row r="71" spans="1:5">
      <c r="A71" s="1460" t="s">
        <v>484</v>
      </c>
      <c r="B71" s="1435" t="s">
        <v>538</v>
      </c>
      <c r="C71" s="1468">
        <v>2024</v>
      </c>
      <c r="D71" s="1435" t="s">
        <v>399</v>
      </c>
      <c r="E71" s="1465">
        <v>4932.5</v>
      </c>
    </row>
    <row r="72" spans="1:5">
      <c r="A72" s="1460" t="s">
        <v>484</v>
      </c>
      <c r="B72" s="1435" t="s">
        <v>538</v>
      </c>
      <c r="C72" s="1468">
        <v>2024</v>
      </c>
      <c r="D72" s="1435" t="s">
        <v>389</v>
      </c>
      <c r="E72" s="1465">
        <v>10201.08</v>
      </c>
    </row>
    <row r="73" spans="1:5">
      <c r="A73" s="1460" t="s">
        <v>484</v>
      </c>
      <c r="B73" s="1435" t="s">
        <v>538</v>
      </c>
      <c r="C73" s="1468">
        <v>2024</v>
      </c>
      <c r="D73" s="1435" t="s">
        <v>391</v>
      </c>
      <c r="E73" s="1465">
        <v>6352.8</v>
      </c>
    </row>
    <row r="74" spans="1:5">
      <c r="A74" s="1460" t="s">
        <v>484</v>
      </c>
      <c r="B74" s="1435" t="s">
        <v>538</v>
      </c>
      <c r="C74" s="1468">
        <v>2024</v>
      </c>
      <c r="D74" s="1435" t="s">
        <v>401</v>
      </c>
      <c r="E74" s="1465">
        <v>5195</v>
      </c>
    </row>
    <row r="75" spans="1:5">
      <c r="A75" s="1460" t="s">
        <v>484</v>
      </c>
      <c r="B75" s="1435" t="s">
        <v>538</v>
      </c>
      <c r="C75" s="1468">
        <v>2024</v>
      </c>
      <c r="D75" s="1435" t="s">
        <v>387</v>
      </c>
      <c r="E75" s="1465">
        <v>3538.99</v>
      </c>
    </row>
    <row r="76" spans="1:5">
      <c r="A76" s="1460" t="s">
        <v>484</v>
      </c>
      <c r="B76" s="1435" t="s">
        <v>538</v>
      </c>
      <c r="C76" s="1468">
        <v>2024</v>
      </c>
      <c r="D76" s="1435" t="s">
        <v>402</v>
      </c>
      <c r="E76" s="1465">
        <v>6595.5</v>
      </c>
    </row>
    <row r="77" spans="1:5">
      <c r="A77" s="1460" t="s">
        <v>484</v>
      </c>
      <c r="B77" s="1435" t="s">
        <v>539</v>
      </c>
      <c r="C77" s="1468">
        <v>2024</v>
      </c>
      <c r="D77" s="1435" t="s">
        <v>399</v>
      </c>
      <c r="E77" s="1465">
        <v>4204</v>
      </c>
    </row>
    <row r="78" spans="1:5">
      <c r="A78" s="1460" t="s">
        <v>484</v>
      </c>
      <c r="B78" s="1435" t="s">
        <v>539</v>
      </c>
      <c r="C78" s="1468">
        <v>2024</v>
      </c>
      <c r="D78" s="1435" t="s">
        <v>389</v>
      </c>
      <c r="E78" s="1465">
        <v>3948.9</v>
      </c>
    </row>
    <row r="79" spans="1:5">
      <c r="A79" s="1460" t="s">
        <v>484</v>
      </c>
      <c r="B79" s="1435" t="s">
        <v>539</v>
      </c>
      <c r="C79" s="1468">
        <v>2024</v>
      </c>
      <c r="D79" s="1435" t="s">
        <v>391</v>
      </c>
      <c r="E79" s="1465">
        <v>148</v>
      </c>
    </row>
    <row r="80" spans="1:5">
      <c r="A80" s="1460" t="s">
        <v>484</v>
      </c>
      <c r="B80" s="1435" t="s">
        <v>539</v>
      </c>
      <c r="C80" s="1468">
        <v>2024</v>
      </c>
      <c r="D80" s="1435" t="s">
        <v>400</v>
      </c>
      <c r="E80" s="1465">
        <v>1169.51</v>
      </c>
    </row>
    <row r="81" spans="1:5">
      <c r="A81" s="1460" t="s">
        <v>484</v>
      </c>
      <c r="B81" s="1435" t="s">
        <v>539</v>
      </c>
      <c r="C81" s="1468">
        <v>2024</v>
      </c>
      <c r="D81" s="1435" t="s">
        <v>401</v>
      </c>
      <c r="E81" s="1465">
        <v>1280</v>
      </c>
    </row>
    <row r="82" spans="1:5">
      <c r="A82" s="1460" t="s">
        <v>484</v>
      </c>
      <c r="B82" s="1435" t="s">
        <v>539</v>
      </c>
      <c r="C82" s="1468">
        <v>2024</v>
      </c>
      <c r="D82" s="1435" t="s">
        <v>387</v>
      </c>
      <c r="E82" s="1465">
        <v>7510.81</v>
      </c>
    </row>
    <row r="83" spans="1:5">
      <c r="A83" s="1460" t="s">
        <v>484</v>
      </c>
      <c r="B83" s="1435" t="s">
        <v>539</v>
      </c>
      <c r="C83" s="1468">
        <v>2024</v>
      </c>
      <c r="D83" s="1435" t="s">
        <v>402</v>
      </c>
      <c r="E83" s="1465">
        <v>150</v>
      </c>
    </row>
    <row r="84" spans="1:5">
      <c r="A84" s="1460" t="s">
        <v>484</v>
      </c>
      <c r="B84" s="1435" t="s">
        <v>540</v>
      </c>
      <c r="C84" s="1468">
        <v>2024</v>
      </c>
      <c r="D84" s="1435" t="s">
        <v>387</v>
      </c>
      <c r="E84" s="1465">
        <v>0</v>
      </c>
    </row>
    <row r="85" spans="1:5">
      <c r="A85" s="1460" t="s">
        <v>484</v>
      </c>
      <c r="B85" s="1435" t="s">
        <v>541</v>
      </c>
      <c r="C85" s="1468">
        <v>2024</v>
      </c>
      <c r="D85" s="1435" t="s">
        <v>387</v>
      </c>
      <c r="E85" s="1465">
        <v>0</v>
      </c>
    </row>
    <row r="86" spans="1:5">
      <c r="A86" s="1460" t="s">
        <v>484</v>
      </c>
      <c r="B86" s="1435" t="s">
        <v>542</v>
      </c>
      <c r="C86" s="1468">
        <v>2024</v>
      </c>
      <c r="D86" s="1435" t="s">
        <v>391</v>
      </c>
      <c r="E86" s="1465">
        <v>217.55</v>
      </c>
    </row>
    <row r="87" spans="1:5">
      <c r="A87" s="1460" t="s">
        <v>496</v>
      </c>
      <c r="B87" s="1435" t="s">
        <v>543</v>
      </c>
      <c r="C87" s="1468">
        <v>2024</v>
      </c>
      <c r="D87" s="1435" t="s">
        <v>389</v>
      </c>
      <c r="E87" s="1465">
        <v>464</v>
      </c>
    </row>
    <row r="88" spans="1:5">
      <c r="A88" s="1460" t="s">
        <v>496</v>
      </c>
      <c r="B88" s="1435" t="s">
        <v>543</v>
      </c>
      <c r="C88" s="1468">
        <v>2024</v>
      </c>
      <c r="D88" s="1435" t="s">
        <v>387</v>
      </c>
      <c r="E88" s="1465">
        <v>112</v>
      </c>
    </row>
    <row r="89" spans="1:5">
      <c r="A89" s="1460" t="s">
        <v>496</v>
      </c>
      <c r="B89" s="1435" t="s">
        <v>544</v>
      </c>
      <c r="C89" s="1468">
        <v>2024</v>
      </c>
      <c r="D89" s="1435" t="s">
        <v>391</v>
      </c>
      <c r="E89" s="1465">
        <v>57.92</v>
      </c>
    </row>
    <row r="90" spans="1:5">
      <c r="A90" s="1460" t="s">
        <v>496</v>
      </c>
      <c r="B90" s="1435" t="s">
        <v>545</v>
      </c>
      <c r="C90" s="1468">
        <v>2024</v>
      </c>
      <c r="D90" s="1435" t="s">
        <v>387</v>
      </c>
      <c r="E90" s="1465">
        <v>40</v>
      </c>
    </row>
    <row r="91" spans="1:5">
      <c r="A91" s="1460" t="s">
        <v>496</v>
      </c>
      <c r="B91" s="1435" t="s">
        <v>546</v>
      </c>
      <c r="C91" s="1468">
        <v>2024</v>
      </c>
      <c r="D91" s="1435" t="s">
        <v>394</v>
      </c>
      <c r="E91" s="1465">
        <v>203.81</v>
      </c>
    </row>
    <row r="92" spans="1:5">
      <c r="A92" s="1460" t="s">
        <v>496</v>
      </c>
      <c r="B92" s="1435" t="s">
        <v>546</v>
      </c>
      <c r="C92" s="1468">
        <v>2024</v>
      </c>
      <c r="D92" s="1435" t="s">
        <v>395</v>
      </c>
      <c r="E92" s="1465">
        <v>2500.23</v>
      </c>
    </row>
    <row r="93" spans="1:5">
      <c r="A93" s="1460" t="s">
        <v>496</v>
      </c>
      <c r="B93" s="1435" t="s">
        <v>546</v>
      </c>
      <c r="C93" s="1468">
        <v>2024</v>
      </c>
      <c r="D93" s="1435" t="s">
        <v>398</v>
      </c>
      <c r="E93" s="1465">
        <v>3327</v>
      </c>
    </row>
    <row r="94" spans="1:5">
      <c r="A94" s="1460" t="s">
        <v>496</v>
      </c>
      <c r="B94" s="1435" t="s">
        <v>546</v>
      </c>
      <c r="C94" s="1468">
        <v>2024</v>
      </c>
      <c r="D94" s="1435" t="s">
        <v>399</v>
      </c>
      <c r="E94" s="1465">
        <v>17573.5</v>
      </c>
    </row>
    <row r="95" spans="1:5">
      <c r="A95" s="1460" t="s">
        <v>496</v>
      </c>
      <c r="B95" s="1435" t="s">
        <v>546</v>
      </c>
      <c r="C95" s="1468">
        <v>2024</v>
      </c>
      <c r="D95" s="1435" t="s">
        <v>389</v>
      </c>
      <c r="E95" s="1465">
        <v>4164.74</v>
      </c>
    </row>
    <row r="96" spans="1:5">
      <c r="A96" s="1460" t="s">
        <v>496</v>
      </c>
      <c r="B96" s="1435" t="s">
        <v>546</v>
      </c>
      <c r="C96" s="1468">
        <v>2024</v>
      </c>
      <c r="D96" s="1435" t="s">
        <v>391</v>
      </c>
      <c r="E96" s="1465">
        <v>1740</v>
      </c>
    </row>
    <row r="97" spans="1:5">
      <c r="A97" s="1460" t="s">
        <v>496</v>
      </c>
      <c r="B97" s="1435" t="s">
        <v>546</v>
      </c>
      <c r="C97" s="1468">
        <v>2024</v>
      </c>
      <c r="D97" s="1435" t="s">
        <v>393</v>
      </c>
      <c r="E97" s="1465">
        <v>3845</v>
      </c>
    </row>
    <row r="98" spans="1:5">
      <c r="A98" s="1460" t="s">
        <v>496</v>
      </c>
      <c r="B98" s="1435" t="s">
        <v>546</v>
      </c>
      <c r="C98" s="1468">
        <v>2024</v>
      </c>
      <c r="D98" s="1435" t="s">
        <v>400</v>
      </c>
      <c r="E98" s="1465">
        <v>12193.31</v>
      </c>
    </row>
    <row r="99" spans="1:5">
      <c r="A99" s="1460" t="s">
        <v>496</v>
      </c>
      <c r="B99" s="1435" t="s">
        <v>546</v>
      </c>
      <c r="C99" s="1468">
        <v>2024</v>
      </c>
      <c r="D99" s="1435" t="s">
        <v>401</v>
      </c>
      <c r="E99" s="1465">
        <v>21725.55</v>
      </c>
    </row>
    <row r="100" spans="1:5">
      <c r="A100" s="1460" t="s">
        <v>496</v>
      </c>
      <c r="B100" s="1435" t="s">
        <v>546</v>
      </c>
      <c r="C100" s="1468">
        <v>2024</v>
      </c>
      <c r="D100" s="1435" t="s">
        <v>387</v>
      </c>
      <c r="E100" s="1465">
        <v>3703.5</v>
      </c>
    </row>
    <row r="101" spans="1:5">
      <c r="A101" s="1460" t="s">
        <v>496</v>
      </c>
      <c r="B101" s="1435" t="s">
        <v>546</v>
      </c>
      <c r="C101" s="1468">
        <v>2024</v>
      </c>
      <c r="D101" s="1435" t="s">
        <v>402</v>
      </c>
      <c r="E101" s="1465">
        <v>22053.5</v>
      </c>
    </row>
    <row r="102" spans="1:5">
      <c r="A102" s="1460" t="s">
        <v>496</v>
      </c>
      <c r="B102" s="1435" t="s">
        <v>547</v>
      </c>
      <c r="C102" s="1468">
        <v>2024</v>
      </c>
      <c r="D102" s="1435" t="s">
        <v>402</v>
      </c>
      <c r="E102" s="1465">
        <v>500</v>
      </c>
    </row>
    <row r="103" spans="1:5">
      <c r="A103" s="1460" t="s">
        <v>496</v>
      </c>
      <c r="B103" s="1435" t="s">
        <v>548</v>
      </c>
      <c r="C103" s="1468">
        <v>2024</v>
      </c>
      <c r="D103" s="1435" t="s">
        <v>395</v>
      </c>
      <c r="E103" s="1465">
        <v>90</v>
      </c>
    </row>
    <row r="104" spans="1:5">
      <c r="A104" s="1460" t="s">
        <v>496</v>
      </c>
      <c r="B104" s="1435" t="s">
        <v>548</v>
      </c>
      <c r="C104" s="1468">
        <v>2024</v>
      </c>
      <c r="D104" s="1435" t="s">
        <v>398</v>
      </c>
      <c r="E104" s="1465">
        <v>400</v>
      </c>
    </row>
    <row r="105" spans="1:5">
      <c r="A105" s="1460" t="s">
        <v>496</v>
      </c>
      <c r="B105" s="1435" t="s">
        <v>548</v>
      </c>
      <c r="C105" s="1468">
        <v>2024</v>
      </c>
      <c r="D105" s="1435" t="s">
        <v>391</v>
      </c>
      <c r="E105" s="1465">
        <v>23.1</v>
      </c>
    </row>
    <row r="106" spans="1:5">
      <c r="A106" s="1460" t="s">
        <v>496</v>
      </c>
      <c r="B106" s="1435" t="s">
        <v>548</v>
      </c>
      <c r="C106" s="1468">
        <v>2024</v>
      </c>
      <c r="D106" s="1435" t="s">
        <v>400</v>
      </c>
      <c r="E106" s="1465">
        <v>3188</v>
      </c>
    </row>
    <row r="107" spans="1:5">
      <c r="A107" s="1460" t="s">
        <v>496</v>
      </c>
      <c r="B107" s="1435" t="s">
        <v>548</v>
      </c>
      <c r="C107" s="1468">
        <v>2024</v>
      </c>
      <c r="D107" s="1435" t="s">
        <v>401</v>
      </c>
      <c r="E107" s="1465">
        <v>1542.5</v>
      </c>
    </row>
    <row r="108" spans="1:5">
      <c r="A108" s="1460" t="s">
        <v>496</v>
      </c>
      <c r="B108" s="1435" t="s">
        <v>548</v>
      </c>
      <c r="C108" s="1468">
        <v>2024</v>
      </c>
      <c r="D108" s="1435" t="s">
        <v>402</v>
      </c>
      <c r="E108" s="1465">
        <v>100</v>
      </c>
    </row>
    <row r="109" spans="1:5">
      <c r="A109" s="1460" t="s">
        <v>496</v>
      </c>
      <c r="B109" s="1435" t="s">
        <v>549</v>
      </c>
      <c r="C109" s="1468">
        <v>2024</v>
      </c>
      <c r="D109" s="1435" t="s">
        <v>392</v>
      </c>
      <c r="E109" s="1465">
        <v>110</v>
      </c>
    </row>
    <row r="110" spans="1:5">
      <c r="A110" s="1460" t="s">
        <v>496</v>
      </c>
      <c r="B110" s="1435" t="s">
        <v>549</v>
      </c>
      <c r="C110" s="1468">
        <v>2024</v>
      </c>
      <c r="D110" s="1435" t="s">
        <v>399</v>
      </c>
      <c r="E110" s="1465">
        <v>816.5</v>
      </c>
    </row>
    <row r="111" spans="1:5">
      <c r="A111" s="1460" t="s">
        <v>496</v>
      </c>
      <c r="B111" s="1435" t="s">
        <v>549</v>
      </c>
      <c r="C111" s="1468">
        <v>2024</v>
      </c>
      <c r="D111" s="1435" t="s">
        <v>389</v>
      </c>
      <c r="E111" s="1465">
        <v>259</v>
      </c>
    </row>
    <row r="112" spans="1:5">
      <c r="A112" s="1460" t="s">
        <v>496</v>
      </c>
      <c r="B112" s="1435" t="s">
        <v>549</v>
      </c>
      <c r="C112" s="1468">
        <v>2024</v>
      </c>
      <c r="D112" s="1435" t="s">
        <v>393</v>
      </c>
      <c r="E112" s="1465">
        <v>1223</v>
      </c>
    </row>
    <row r="113" spans="1:5">
      <c r="A113" s="1460" t="s">
        <v>496</v>
      </c>
      <c r="B113" s="1435" t="s">
        <v>549</v>
      </c>
      <c r="C113" s="1468">
        <v>2024</v>
      </c>
      <c r="D113" s="1435" t="s">
        <v>401</v>
      </c>
      <c r="E113" s="1465">
        <v>2025.04</v>
      </c>
    </row>
    <row r="114" spans="1:5">
      <c r="A114" s="1460" t="s">
        <v>496</v>
      </c>
      <c r="B114" s="1435" t="s">
        <v>549</v>
      </c>
      <c r="C114" s="1468">
        <v>2024</v>
      </c>
      <c r="D114" s="1435" t="s">
        <v>402</v>
      </c>
      <c r="E114" s="1465">
        <v>5117</v>
      </c>
    </row>
    <row r="115" spans="1:5">
      <c r="A115" s="1460" t="s">
        <v>496</v>
      </c>
      <c r="B115" s="1435" t="s">
        <v>550</v>
      </c>
      <c r="C115" s="1468">
        <v>2024</v>
      </c>
      <c r="D115" s="1435" t="s">
        <v>399</v>
      </c>
      <c r="E115" s="1465">
        <v>7338</v>
      </c>
    </row>
    <row r="116" spans="1:5">
      <c r="A116" s="1460" t="s">
        <v>496</v>
      </c>
      <c r="B116" s="1435" t="s">
        <v>550</v>
      </c>
      <c r="C116" s="1468">
        <v>2024</v>
      </c>
      <c r="D116" s="1435" t="s">
        <v>389</v>
      </c>
      <c r="E116" s="1465">
        <v>767.97</v>
      </c>
    </row>
    <row r="117" spans="1:5">
      <c r="A117" s="1460" t="s">
        <v>496</v>
      </c>
      <c r="B117" s="1435" t="s">
        <v>550</v>
      </c>
      <c r="C117" s="1468">
        <v>2024</v>
      </c>
      <c r="D117" s="1435" t="s">
        <v>391</v>
      </c>
      <c r="E117" s="1465">
        <v>489</v>
      </c>
    </row>
    <row r="118" spans="1:5">
      <c r="A118" s="1460" t="s">
        <v>496</v>
      </c>
      <c r="B118" s="1435" t="s">
        <v>550</v>
      </c>
      <c r="C118" s="1468">
        <v>2024</v>
      </c>
      <c r="D118" s="1435" t="s">
        <v>401</v>
      </c>
      <c r="E118" s="1465">
        <v>1580.32</v>
      </c>
    </row>
    <row r="119" spans="1:5">
      <c r="A119" s="1460" t="s">
        <v>496</v>
      </c>
      <c r="B119" s="1435" t="s">
        <v>551</v>
      </c>
      <c r="C119" s="1468">
        <v>2024</v>
      </c>
      <c r="D119" s="1435" t="s">
        <v>391</v>
      </c>
      <c r="E119" s="1465">
        <v>0</v>
      </c>
    </row>
    <row r="120" spans="1:5">
      <c r="A120" s="1460" t="s">
        <v>496</v>
      </c>
      <c r="B120" s="1435" t="s">
        <v>551</v>
      </c>
      <c r="C120" s="1468">
        <v>2024</v>
      </c>
      <c r="D120" s="1435" t="s">
        <v>401</v>
      </c>
      <c r="E120" s="1465">
        <v>1962.95</v>
      </c>
    </row>
    <row r="121" spans="1:5">
      <c r="A121" s="1460" t="s">
        <v>496</v>
      </c>
      <c r="B121" s="1435" t="s">
        <v>552</v>
      </c>
      <c r="C121" s="1468">
        <v>2024</v>
      </c>
      <c r="D121" s="1435" t="s">
        <v>399</v>
      </c>
      <c r="E121" s="1465">
        <v>618.1</v>
      </c>
    </row>
    <row r="122" spans="1:5">
      <c r="A122" s="1460" t="s">
        <v>496</v>
      </c>
      <c r="B122" s="1435" t="s">
        <v>553</v>
      </c>
      <c r="C122" s="1468">
        <v>2024</v>
      </c>
      <c r="D122" s="1435" t="s">
        <v>392</v>
      </c>
      <c r="E122" s="1465">
        <v>0</v>
      </c>
    </row>
    <row r="123" spans="1:5">
      <c r="A123" s="1460" t="s">
        <v>496</v>
      </c>
      <c r="B123" s="1435" t="s">
        <v>554</v>
      </c>
      <c r="C123" s="1468">
        <v>2024</v>
      </c>
      <c r="D123" s="1435" t="s">
        <v>395</v>
      </c>
      <c r="E123" s="1465">
        <v>0</v>
      </c>
    </row>
    <row r="124" spans="1:5">
      <c r="A124" s="1460" t="s">
        <v>496</v>
      </c>
      <c r="B124" s="1435" t="s">
        <v>555</v>
      </c>
      <c r="C124" s="1468">
        <v>2024</v>
      </c>
      <c r="D124" s="1435" t="s">
        <v>400</v>
      </c>
      <c r="E124" s="1465">
        <v>667.91</v>
      </c>
    </row>
    <row r="125" spans="1:5">
      <c r="A125" s="1460" t="s">
        <v>496</v>
      </c>
      <c r="B125" s="1435" t="s">
        <v>556</v>
      </c>
      <c r="C125" s="1468">
        <v>2024</v>
      </c>
      <c r="D125" s="1435" t="s">
        <v>395</v>
      </c>
      <c r="E125" s="1465">
        <v>648</v>
      </c>
    </row>
    <row r="126" spans="1:5">
      <c r="A126" s="1460" t="s">
        <v>496</v>
      </c>
      <c r="B126" s="1435" t="s">
        <v>556</v>
      </c>
      <c r="C126" s="1468">
        <v>2024</v>
      </c>
      <c r="D126" s="1435" t="s">
        <v>391</v>
      </c>
      <c r="E126" s="1465">
        <v>120</v>
      </c>
    </row>
    <row r="127" spans="1:5">
      <c r="A127" s="1460" t="s">
        <v>496</v>
      </c>
      <c r="B127" s="1435" t="s">
        <v>557</v>
      </c>
      <c r="C127" s="1468">
        <v>2024</v>
      </c>
      <c r="D127" s="1435" t="s">
        <v>387</v>
      </c>
      <c r="E127" s="1465">
        <v>120</v>
      </c>
    </row>
    <row r="128" spans="1:5">
      <c r="A128" s="1460" t="s">
        <v>496</v>
      </c>
      <c r="B128" s="1435" t="s">
        <v>558</v>
      </c>
      <c r="C128" s="1468">
        <v>2024</v>
      </c>
      <c r="D128" s="1435" t="s">
        <v>399</v>
      </c>
      <c r="E128" s="1465">
        <v>0</v>
      </c>
    </row>
    <row r="129" spans="1:5">
      <c r="A129" s="1460" t="s">
        <v>496</v>
      </c>
      <c r="B129" s="1435" t="s">
        <v>558</v>
      </c>
      <c r="C129" s="1468">
        <v>2024</v>
      </c>
      <c r="D129" s="1435" t="s">
        <v>400</v>
      </c>
      <c r="E129" s="1465">
        <v>2600.16</v>
      </c>
    </row>
    <row r="130" spans="1:5">
      <c r="A130" s="1460" t="s">
        <v>496</v>
      </c>
      <c r="B130" s="1435" t="s">
        <v>558</v>
      </c>
      <c r="C130" s="1468">
        <v>2024</v>
      </c>
      <c r="D130" s="1435" t="s">
        <v>401</v>
      </c>
      <c r="E130" s="1465">
        <v>687.38</v>
      </c>
    </row>
    <row r="131" spans="1:5">
      <c r="A131" s="1460" t="s">
        <v>496</v>
      </c>
      <c r="B131" s="1435" t="s">
        <v>558</v>
      </c>
      <c r="C131" s="1468">
        <v>2024</v>
      </c>
      <c r="D131" s="1435" t="s">
        <v>387</v>
      </c>
      <c r="E131" s="1465">
        <v>3739.14</v>
      </c>
    </row>
    <row r="132" spans="1:5">
      <c r="A132" s="1460" t="s">
        <v>496</v>
      </c>
      <c r="B132" s="1435" t="s">
        <v>558</v>
      </c>
      <c r="C132" s="1468">
        <v>2024</v>
      </c>
      <c r="D132" s="1435" t="s">
        <v>402</v>
      </c>
      <c r="E132" s="1465">
        <v>1297</v>
      </c>
    </row>
    <row r="133" spans="1:5">
      <c r="A133" s="1460" t="s">
        <v>496</v>
      </c>
      <c r="B133" s="1435" t="s">
        <v>559</v>
      </c>
      <c r="C133" s="1468">
        <v>2024</v>
      </c>
      <c r="D133" s="1435" t="s">
        <v>400</v>
      </c>
      <c r="E133" s="1465">
        <v>8.0299999999999994</v>
      </c>
    </row>
    <row r="134" spans="1:5">
      <c r="A134" s="1460" t="s">
        <v>496</v>
      </c>
      <c r="B134" s="1435" t="s">
        <v>560</v>
      </c>
      <c r="C134" s="1468">
        <v>2024</v>
      </c>
      <c r="D134" s="1435" t="s">
        <v>387</v>
      </c>
      <c r="E134" s="1465">
        <v>120</v>
      </c>
    </row>
    <row r="135" spans="1:5">
      <c r="A135" s="1460" t="s">
        <v>496</v>
      </c>
      <c r="B135" s="1435" t="s">
        <v>561</v>
      </c>
      <c r="C135" s="1468">
        <v>2024</v>
      </c>
      <c r="D135" s="1435" t="s">
        <v>395</v>
      </c>
      <c r="E135" s="1465">
        <v>0</v>
      </c>
    </row>
    <row r="136" spans="1:5">
      <c r="A136" s="1460" t="s">
        <v>496</v>
      </c>
      <c r="B136" s="1435" t="s">
        <v>562</v>
      </c>
      <c r="C136" s="1468">
        <v>2024</v>
      </c>
      <c r="D136" s="1435" t="s">
        <v>387</v>
      </c>
      <c r="E136" s="1465">
        <v>0</v>
      </c>
    </row>
    <row r="137" spans="1:5">
      <c r="A137" s="1460" t="s">
        <v>496</v>
      </c>
      <c r="B137" s="1435" t="s">
        <v>563</v>
      </c>
      <c r="C137" s="1468">
        <v>2024</v>
      </c>
      <c r="D137" s="1435" t="s">
        <v>395</v>
      </c>
      <c r="E137" s="1465">
        <v>130</v>
      </c>
    </row>
    <row r="138" spans="1:5">
      <c r="A138" s="1460" t="s">
        <v>496</v>
      </c>
      <c r="B138" s="1435" t="s">
        <v>563</v>
      </c>
      <c r="C138" s="1468">
        <v>2024</v>
      </c>
      <c r="D138" s="1435" t="s">
        <v>387</v>
      </c>
      <c r="E138" s="1465">
        <v>50</v>
      </c>
    </row>
    <row r="139" spans="1:5">
      <c r="A139" s="1460" t="s">
        <v>496</v>
      </c>
      <c r="B139" s="1435" t="s">
        <v>564</v>
      </c>
      <c r="C139" s="1468">
        <v>2024</v>
      </c>
      <c r="D139" s="1435" t="s">
        <v>387</v>
      </c>
      <c r="E139" s="1465">
        <v>0</v>
      </c>
    </row>
    <row r="140" spans="1:5">
      <c r="A140" s="1460" t="s">
        <v>496</v>
      </c>
      <c r="B140" s="1435" t="s">
        <v>565</v>
      </c>
      <c r="C140" s="1468">
        <v>2024</v>
      </c>
      <c r="D140" s="1435" t="s">
        <v>389</v>
      </c>
      <c r="E140" s="1465">
        <v>80</v>
      </c>
    </row>
    <row r="141" spans="1:5">
      <c r="A141" s="1460" t="s">
        <v>496</v>
      </c>
      <c r="B141" s="1435" t="s">
        <v>566</v>
      </c>
      <c r="C141" s="1468">
        <v>2024</v>
      </c>
      <c r="D141" s="1435" t="s">
        <v>392</v>
      </c>
      <c r="E141" s="1465">
        <v>190</v>
      </c>
    </row>
    <row r="142" spans="1:5">
      <c r="A142" s="1460" t="s">
        <v>496</v>
      </c>
      <c r="B142" s="1435" t="s">
        <v>566</v>
      </c>
      <c r="C142" s="1468">
        <v>2024</v>
      </c>
      <c r="D142" s="1435" t="s">
        <v>399</v>
      </c>
      <c r="E142" s="1465">
        <v>2136.5</v>
      </c>
    </row>
    <row r="143" spans="1:5">
      <c r="A143" s="1460" t="s">
        <v>496</v>
      </c>
      <c r="B143" s="1435" t="s">
        <v>566</v>
      </c>
      <c r="C143" s="1468">
        <v>2024</v>
      </c>
      <c r="D143" s="1435" t="s">
        <v>389</v>
      </c>
      <c r="E143" s="1465">
        <v>409</v>
      </c>
    </row>
    <row r="144" spans="1:5">
      <c r="A144" s="1460" t="s">
        <v>496</v>
      </c>
      <c r="B144" s="1435" t="s">
        <v>566</v>
      </c>
      <c r="C144" s="1468">
        <v>2024</v>
      </c>
      <c r="D144" s="1435" t="s">
        <v>393</v>
      </c>
      <c r="E144" s="1465">
        <v>900</v>
      </c>
    </row>
    <row r="145" spans="1:5">
      <c r="A145" s="1460" t="s">
        <v>496</v>
      </c>
      <c r="B145" s="1435" t="s">
        <v>566</v>
      </c>
      <c r="C145" s="1468">
        <v>2024</v>
      </c>
      <c r="D145" s="1435" t="s">
        <v>400</v>
      </c>
      <c r="E145" s="1465">
        <v>892.9</v>
      </c>
    </row>
    <row r="146" spans="1:5">
      <c r="A146" s="1460" t="s">
        <v>496</v>
      </c>
      <c r="B146" s="1435" t="s">
        <v>566</v>
      </c>
      <c r="C146" s="1468">
        <v>2024</v>
      </c>
      <c r="D146" s="1435" t="s">
        <v>401</v>
      </c>
      <c r="E146" s="1465">
        <v>1148</v>
      </c>
    </row>
    <row r="147" spans="1:5">
      <c r="A147" s="1460" t="s">
        <v>496</v>
      </c>
      <c r="B147" s="1435" t="s">
        <v>567</v>
      </c>
      <c r="C147" s="1468">
        <v>2024</v>
      </c>
      <c r="D147" s="1435" t="s">
        <v>399</v>
      </c>
      <c r="E147" s="1465">
        <v>4050</v>
      </c>
    </row>
    <row r="148" spans="1:5">
      <c r="A148" s="1460" t="s">
        <v>496</v>
      </c>
      <c r="B148" s="1435" t="s">
        <v>568</v>
      </c>
      <c r="C148" s="1468">
        <v>2024</v>
      </c>
      <c r="D148" s="1435" t="s">
        <v>401</v>
      </c>
      <c r="E148" s="1465">
        <v>75</v>
      </c>
    </row>
    <row r="149" spans="1:5">
      <c r="A149" s="1460" t="s">
        <v>496</v>
      </c>
      <c r="B149" s="1435" t="s">
        <v>569</v>
      </c>
      <c r="C149" s="1468">
        <v>2024</v>
      </c>
      <c r="D149" s="1435" t="s">
        <v>389</v>
      </c>
      <c r="E149" s="1465">
        <v>92</v>
      </c>
    </row>
    <row r="150" spans="1:5">
      <c r="A150" s="1460" t="s">
        <v>496</v>
      </c>
      <c r="B150" s="1435" t="s">
        <v>570</v>
      </c>
      <c r="C150" s="1468">
        <v>2024</v>
      </c>
      <c r="D150" s="1435" t="s">
        <v>399</v>
      </c>
      <c r="E150" s="1465">
        <v>345.55</v>
      </c>
    </row>
    <row r="151" spans="1:5">
      <c r="A151" s="1460" t="s">
        <v>496</v>
      </c>
      <c r="B151" s="1435" t="s">
        <v>571</v>
      </c>
      <c r="C151" s="1468">
        <v>2024</v>
      </c>
      <c r="D151" s="1435" t="s">
        <v>387</v>
      </c>
      <c r="E151" s="1465">
        <v>580.36</v>
      </c>
    </row>
    <row r="152" spans="1:5">
      <c r="A152" s="1460" t="s">
        <v>496</v>
      </c>
      <c r="B152" s="1435" t="s">
        <v>572</v>
      </c>
      <c r="C152" s="1468">
        <v>2024</v>
      </c>
      <c r="D152" s="1435" t="s">
        <v>391</v>
      </c>
      <c r="E152" s="1465">
        <v>0</v>
      </c>
    </row>
    <row r="153" spans="1:5">
      <c r="A153" s="1460" t="s">
        <v>496</v>
      </c>
      <c r="B153" s="1435" t="s">
        <v>572</v>
      </c>
      <c r="C153" s="1468">
        <v>2024</v>
      </c>
      <c r="D153" s="1435" t="s">
        <v>401</v>
      </c>
      <c r="E153" s="1465">
        <v>1310</v>
      </c>
    </row>
    <row r="154" spans="1:5">
      <c r="A154" s="1460" t="s">
        <v>496</v>
      </c>
      <c r="B154" s="1435" t="s">
        <v>573</v>
      </c>
      <c r="C154" s="1468">
        <v>2024</v>
      </c>
      <c r="D154" s="1435" t="s">
        <v>398</v>
      </c>
      <c r="E154" s="1465">
        <v>706.64</v>
      </c>
    </row>
    <row r="155" spans="1:5">
      <c r="A155" s="1460" t="s">
        <v>496</v>
      </c>
      <c r="B155" s="1435" t="s">
        <v>573</v>
      </c>
      <c r="C155" s="1468">
        <v>2024</v>
      </c>
      <c r="D155" s="1435" t="s">
        <v>389</v>
      </c>
      <c r="E155" s="1465">
        <v>3547.45</v>
      </c>
    </row>
    <row r="156" spans="1:5">
      <c r="A156" s="1460" t="s">
        <v>496</v>
      </c>
      <c r="B156" s="1435" t="s">
        <v>573</v>
      </c>
      <c r="C156" s="1468">
        <v>2024</v>
      </c>
      <c r="D156" s="1435" t="s">
        <v>391</v>
      </c>
      <c r="E156" s="1465">
        <v>137.4</v>
      </c>
    </row>
    <row r="157" spans="1:5">
      <c r="A157" s="1460" t="s">
        <v>496</v>
      </c>
      <c r="B157" s="1435" t="s">
        <v>574</v>
      </c>
      <c r="C157" s="1468">
        <v>2024</v>
      </c>
      <c r="D157" s="1435" t="s">
        <v>395</v>
      </c>
      <c r="E157" s="1465">
        <v>78</v>
      </c>
    </row>
    <row r="158" spans="1:5">
      <c r="A158" s="1460" t="s">
        <v>496</v>
      </c>
      <c r="B158" s="1435" t="s">
        <v>575</v>
      </c>
      <c r="C158" s="1468">
        <v>2024</v>
      </c>
      <c r="D158" s="1435" t="s">
        <v>389</v>
      </c>
      <c r="E158" s="1465">
        <v>0</v>
      </c>
    </row>
    <row r="159" spans="1:5">
      <c r="A159" s="1460" t="s">
        <v>496</v>
      </c>
      <c r="B159" s="1435" t="s">
        <v>576</v>
      </c>
      <c r="C159" s="1468">
        <v>2024</v>
      </c>
      <c r="D159" s="1435" t="s">
        <v>395</v>
      </c>
      <c r="E159" s="1465">
        <v>940</v>
      </c>
    </row>
    <row r="160" spans="1:5">
      <c r="A160" s="1460" t="s">
        <v>496</v>
      </c>
      <c r="B160" s="1435" t="s">
        <v>576</v>
      </c>
      <c r="C160" s="1468">
        <v>2024</v>
      </c>
      <c r="D160" s="1435" t="s">
        <v>399</v>
      </c>
      <c r="E160" s="1465">
        <v>1553</v>
      </c>
    </row>
    <row r="161" spans="1:5">
      <c r="A161" s="1460" t="s">
        <v>496</v>
      </c>
      <c r="B161" s="1435" t="s">
        <v>576</v>
      </c>
      <c r="C161" s="1468">
        <v>2024</v>
      </c>
      <c r="D161" s="1435" t="s">
        <v>389</v>
      </c>
      <c r="E161" s="1465">
        <v>742.5</v>
      </c>
    </row>
    <row r="162" spans="1:5">
      <c r="A162" s="1460" t="s">
        <v>496</v>
      </c>
      <c r="B162" s="1435" t="s">
        <v>576</v>
      </c>
      <c r="C162" s="1468">
        <v>2024</v>
      </c>
      <c r="D162" s="1435" t="s">
        <v>400</v>
      </c>
      <c r="E162" s="1465">
        <v>271.79000000000002</v>
      </c>
    </row>
    <row r="163" spans="1:5">
      <c r="A163" s="1460" t="s">
        <v>496</v>
      </c>
      <c r="B163" s="1435" t="s">
        <v>576</v>
      </c>
      <c r="C163" s="1468">
        <v>2024</v>
      </c>
      <c r="D163" s="1435" t="s">
        <v>401</v>
      </c>
      <c r="E163" s="1465">
        <v>3430</v>
      </c>
    </row>
    <row r="164" spans="1:5">
      <c r="A164" s="1460" t="s">
        <v>496</v>
      </c>
      <c r="B164" s="1435" t="s">
        <v>576</v>
      </c>
      <c r="C164" s="1468">
        <v>2024</v>
      </c>
      <c r="D164" s="1435" t="s">
        <v>387</v>
      </c>
      <c r="E164" s="1465">
        <v>2969.58</v>
      </c>
    </row>
    <row r="165" spans="1:5">
      <c r="A165" s="1460" t="s">
        <v>496</v>
      </c>
      <c r="B165" s="1435" t="s">
        <v>576</v>
      </c>
      <c r="C165" s="1468">
        <v>2024</v>
      </c>
      <c r="D165" s="1435" t="s">
        <v>402</v>
      </c>
      <c r="E165" s="1465">
        <v>253.5</v>
      </c>
    </row>
    <row r="166" spans="1:5">
      <c r="A166" s="1460" t="s">
        <v>496</v>
      </c>
      <c r="B166" s="1435" t="s">
        <v>577</v>
      </c>
      <c r="C166" s="1468">
        <v>2024</v>
      </c>
      <c r="D166" s="1435" t="s">
        <v>387</v>
      </c>
      <c r="E166" s="1465">
        <v>2642.23</v>
      </c>
    </row>
    <row r="167" spans="1:5">
      <c r="A167" s="1460" t="s">
        <v>496</v>
      </c>
      <c r="B167" s="1435" t="s">
        <v>578</v>
      </c>
      <c r="C167" s="1468">
        <v>2024</v>
      </c>
      <c r="D167" s="1435" t="s">
        <v>395</v>
      </c>
      <c r="E167" s="1465">
        <v>0</v>
      </c>
    </row>
    <row r="168" spans="1:5">
      <c r="A168" s="1460" t="s">
        <v>496</v>
      </c>
      <c r="B168" s="1435" t="s">
        <v>579</v>
      </c>
      <c r="C168" s="1468">
        <v>2024</v>
      </c>
      <c r="D168" s="1435" t="s">
        <v>389</v>
      </c>
      <c r="E168" s="1465">
        <v>4179.8</v>
      </c>
    </row>
    <row r="169" spans="1:5">
      <c r="A169" s="1460" t="s">
        <v>496</v>
      </c>
      <c r="B169" s="1435" t="s">
        <v>580</v>
      </c>
      <c r="C169" s="1468">
        <v>2024</v>
      </c>
      <c r="D169" s="1435" t="s">
        <v>395</v>
      </c>
      <c r="E169" s="1465">
        <v>0</v>
      </c>
    </row>
    <row r="170" spans="1:5">
      <c r="A170" s="1460" t="s">
        <v>496</v>
      </c>
      <c r="B170" s="1435" t="s">
        <v>581</v>
      </c>
      <c r="C170" s="1468">
        <v>2024</v>
      </c>
      <c r="D170" s="1435" t="s">
        <v>395</v>
      </c>
      <c r="E170" s="1465">
        <v>0</v>
      </c>
    </row>
    <row r="171" spans="1:5">
      <c r="A171" s="1460" t="s">
        <v>496</v>
      </c>
      <c r="B171" s="1435" t="s">
        <v>582</v>
      </c>
      <c r="C171" s="1468">
        <v>2024</v>
      </c>
      <c r="D171" s="1435" t="s">
        <v>395</v>
      </c>
      <c r="E171" s="1465">
        <v>88</v>
      </c>
    </row>
    <row r="172" spans="1:5">
      <c r="A172" s="1460" t="s">
        <v>496</v>
      </c>
      <c r="B172" s="1435" t="s">
        <v>582</v>
      </c>
      <c r="C172" s="1468">
        <v>2024</v>
      </c>
      <c r="D172" s="1435" t="s">
        <v>391</v>
      </c>
      <c r="E172" s="1465">
        <v>245</v>
      </c>
    </row>
    <row r="173" spans="1:5">
      <c r="A173" s="1460" t="s">
        <v>496</v>
      </c>
      <c r="B173" s="1435" t="s">
        <v>583</v>
      </c>
      <c r="C173" s="1468">
        <v>2024</v>
      </c>
      <c r="D173" s="1435" t="s">
        <v>389</v>
      </c>
      <c r="E173" s="1465">
        <v>745</v>
      </c>
    </row>
    <row r="174" spans="1:5">
      <c r="A174" s="1460" t="s">
        <v>496</v>
      </c>
      <c r="B174" s="1435" t="s">
        <v>583</v>
      </c>
      <c r="C174" s="1468">
        <v>2024</v>
      </c>
      <c r="D174" s="1435" t="s">
        <v>400</v>
      </c>
      <c r="E174" s="1465">
        <v>812.32</v>
      </c>
    </row>
    <row r="175" spans="1:5">
      <c r="A175" s="1460" t="s">
        <v>496</v>
      </c>
      <c r="B175" s="1435" t="s">
        <v>584</v>
      </c>
      <c r="C175" s="1468">
        <v>2024</v>
      </c>
      <c r="D175" s="1435" t="s">
        <v>399</v>
      </c>
      <c r="E175" s="1465">
        <v>0</v>
      </c>
    </row>
    <row r="176" spans="1:5">
      <c r="A176" s="1460" t="s">
        <v>496</v>
      </c>
      <c r="B176" s="1435" t="s">
        <v>585</v>
      </c>
      <c r="C176" s="1468">
        <v>2024</v>
      </c>
      <c r="D176" s="1435" t="s">
        <v>387</v>
      </c>
      <c r="E176" s="1465">
        <v>0</v>
      </c>
    </row>
    <row r="177" spans="1:5">
      <c r="A177" s="1460" t="s">
        <v>496</v>
      </c>
      <c r="B177" s="1435" t="s">
        <v>586</v>
      </c>
      <c r="C177" s="1468">
        <v>2024</v>
      </c>
      <c r="D177" s="1435" t="s">
        <v>389</v>
      </c>
      <c r="E177" s="1465">
        <v>591</v>
      </c>
    </row>
    <row r="178" spans="1:5">
      <c r="A178" s="1460" t="s">
        <v>496</v>
      </c>
      <c r="B178" s="1435" t="s">
        <v>586</v>
      </c>
      <c r="C178" s="1468">
        <v>2024</v>
      </c>
      <c r="D178" s="1435" t="s">
        <v>393</v>
      </c>
      <c r="E178" s="1465">
        <v>470</v>
      </c>
    </row>
    <row r="179" spans="1:5">
      <c r="A179" s="1460" t="s">
        <v>496</v>
      </c>
      <c r="B179" s="1435" t="s">
        <v>586</v>
      </c>
      <c r="C179" s="1468">
        <v>2024</v>
      </c>
      <c r="D179" s="1435" t="s">
        <v>387</v>
      </c>
      <c r="E179" s="1465">
        <v>241.2</v>
      </c>
    </row>
    <row r="180" spans="1:5">
      <c r="A180" s="1460" t="s">
        <v>496</v>
      </c>
      <c r="B180" s="1435" t="s">
        <v>587</v>
      </c>
      <c r="C180" s="1468">
        <v>2024</v>
      </c>
      <c r="D180" s="1435" t="s">
        <v>391</v>
      </c>
      <c r="E180" s="1465">
        <v>87.37</v>
      </c>
    </row>
    <row r="181" spans="1:5">
      <c r="A181" s="1460" t="s">
        <v>496</v>
      </c>
      <c r="B181" s="1435" t="s">
        <v>587</v>
      </c>
      <c r="C181" s="1468">
        <v>2024</v>
      </c>
      <c r="D181" s="1435" t="s">
        <v>402</v>
      </c>
      <c r="E181" s="1465">
        <v>0</v>
      </c>
    </row>
    <row r="182" spans="1:5">
      <c r="A182" s="1460" t="s">
        <v>496</v>
      </c>
      <c r="B182" s="1435" t="s">
        <v>588</v>
      </c>
      <c r="C182" s="1468">
        <v>2024</v>
      </c>
      <c r="D182" s="1435" t="s">
        <v>395</v>
      </c>
      <c r="E182" s="1465">
        <v>610</v>
      </c>
    </row>
    <row r="183" spans="1:5">
      <c r="A183" s="1460" t="s">
        <v>496</v>
      </c>
      <c r="B183" s="1435" t="s">
        <v>588</v>
      </c>
      <c r="C183" s="1468">
        <v>2024</v>
      </c>
      <c r="D183" s="1435" t="s">
        <v>399</v>
      </c>
      <c r="E183" s="1465">
        <v>0</v>
      </c>
    </row>
    <row r="184" spans="1:5">
      <c r="A184" s="1460" t="s">
        <v>496</v>
      </c>
      <c r="B184" s="1435" t="s">
        <v>588</v>
      </c>
      <c r="C184" s="1468">
        <v>2024</v>
      </c>
      <c r="D184" s="1435" t="s">
        <v>389</v>
      </c>
      <c r="E184" s="1465">
        <v>1095</v>
      </c>
    </row>
    <row r="185" spans="1:5">
      <c r="A185" s="1460" t="s">
        <v>496</v>
      </c>
      <c r="B185" s="1435" t="s">
        <v>588</v>
      </c>
      <c r="C185" s="1468">
        <v>2024</v>
      </c>
      <c r="D185" s="1435" t="s">
        <v>391</v>
      </c>
      <c r="E185" s="1465">
        <v>902</v>
      </c>
    </row>
    <row r="186" spans="1:5">
      <c r="A186" s="1460" t="s">
        <v>496</v>
      </c>
      <c r="B186" s="1435" t="s">
        <v>588</v>
      </c>
      <c r="C186" s="1468">
        <v>2024</v>
      </c>
      <c r="D186" s="1435" t="s">
        <v>393</v>
      </c>
      <c r="E186" s="1465">
        <v>450</v>
      </c>
    </row>
    <row r="187" spans="1:5">
      <c r="A187" s="1460" t="s">
        <v>496</v>
      </c>
      <c r="B187" s="1435" t="s">
        <v>588</v>
      </c>
      <c r="C187" s="1468">
        <v>2024</v>
      </c>
      <c r="D187" s="1435" t="s">
        <v>400</v>
      </c>
      <c r="E187" s="1465">
        <v>238.21</v>
      </c>
    </row>
    <row r="188" spans="1:5">
      <c r="A188" s="1460" t="s">
        <v>496</v>
      </c>
      <c r="B188" s="1435" t="s">
        <v>588</v>
      </c>
      <c r="C188" s="1468">
        <v>2024</v>
      </c>
      <c r="D188" s="1435" t="s">
        <v>401</v>
      </c>
      <c r="E188" s="1465">
        <v>3390</v>
      </c>
    </row>
    <row r="189" spans="1:5">
      <c r="A189" s="1460" t="s">
        <v>496</v>
      </c>
      <c r="B189" s="1435" t="s">
        <v>588</v>
      </c>
      <c r="C189" s="1468">
        <v>2024</v>
      </c>
      <c r="D189" s="1435" t="s">
        <v>387</v>
      </c>
      <c r="E189" s="1465">
        <v>3392.01</v>
      </c>
    </row>
    <row r="190" spans="1:5">
      <c r="A190" s="1460" t="s">
        <v>496</v>
      </c>
      <c r="B190" s="1435" t="s">
        <v>588</v>
      </c>
      <c r="C190" s="1468">
        <v>2024</v>
      </c>
      <c r="D190" s="1435" t="s">
        <v>402</v>
      </c>
      <c r="E190" s="1465">
        <v>950</v>
      </c>
    </row>
    <row r="191" spans="1:5">
      <c r="A191" s="1460" t="s">
        <v>496</v>
      </c>
      <c r="B191" s="1435" t="s">
        <v>589</v>
      </c>
      <c r="C191" s="1468">
        <v>2024</v>
      </c>
      <c r="D191" s="1435" t="s">
        <v>387</v>
      </c>
      <c r="E191" s="1465">
        <v>0</v>
      </c>
    </row>
    <row r="192" spans="1:5">
      <c r="A192" s="1460" t="s">
        <v>496</v>
      </c>
      <c r="B192" s="1435" t="s">
        <v>590</v>
      </c>
      <c r="C192" s="1468">
        <v>2024</v>
      </c>
      <c r="D192" s="1435" t="s">
        <v>400</v>
      </c>
      <c r="E192" s="1465">
        <v>73</v>
      </c>
    </row>
    <row r="193" spans="1:5">
      <c r="A193" s="1460" t="s">
        <v>496</v>
      </c>
      <c r="B193" s="1435" t="s">
        <v>591</v>
      </c>
      <c r="C193" s="1468">
        <v>2024</v>
      </c>
      <c r="D193" s="1435" t="s">
        <v>387</v>
      </c>
      <c r="E193" s="1465">
        <v>0</v>
      </c>
    </row>
    <row r="194" spans="1:5">
      <c r="A194" s="1460" t="s">
        <v>496</v>
      </c>
      <c r="B194" s="1435" t="s">
        <v>592</v>
      </c>
      <c r="C194" s="1468">
        <v>2024</v>
      </c>
      <c r="D194" s="1435" t="s">
        <v>395</v>
      </c>
      <c r="E194" s="1465">
        <v>0</v>
      </c>
    </row>
    <row r="195" spans="1:5">
      <c r="A195" s="1460" t="s">
        <v>496</v>
      </c>
      <c r="B195" s="1435" t="s">
        <v>592</v>
      </c>
      <c r="C195" s="1468">
        <v>2024</v>
      </c>
      <c r="D195" s="1435" t="s">
        <v>389</v>
      </c>
      <c r="E195" s="1465">
        <v>300</v>
      </c>
    </row>
    <row r="196" spans="1:5">
      <c r="A196" s="1460" t="s">
        <v>496</v>
      </c>
      <c r="B196" s="1435" t="s">
        <v>592</v>
      </c>
      <c r="C196" s="1468">
        <v>2024</v>
      </c>
      <c r="D196" s="1435" t="s">
        <v>401</v>
      </c>
      <c r="E196" s="1465">
        <v>114.8</v>
      </c>
    </row>
    <row r="197" spans="1:5">
      <c r="A197" s="1460" t="s">
        <v>498</v>
      </c>
      <c r="B197" s="1435" t="s">
        <v>593</v>
      </c>
      <c r="C197" s="1468">
        <v>2024</v>
      </c>
      <c r="D197" s="1435" t="s">
        <v>400</v>
      </c>
      <c r="E197" s="1465">
        <v>2471.4499999999998</v>
      </c>
    </row>
    <row r="198" spans="1:5">
      <c r="A198" s="1460" t="s">
        <v>498</v>
      </c>
      <c r="B198" s="1435" t="s">
        <v>594</v>
      </c>
      <c r="C198" s="1468">
        <v>2024</v>
      </c>
      <c r="D198" s="1435" t="s">
        <v>400</v>
      </c>
      <c r="E198" s="1465">
        <v>2271.9699999999998</v>
      </c>
    </row>
    <row r="199" spans="1:5">
      <c r="A199" s="1460" t="s">
        <v>498</v>
      </c>
      <c r="B199" s="1435" t="s">
        <v>595</v>
      </c>
      <c r="C199" s="1468">
        <v>2024</v>
      </c>
      <c r="D199" s="1435" t="s">
        <v>387</v>
      </c>
      <c r="E199" s="1465">
        <v>2178.0700000000002</v>
      </c>
    </row>
    <row r="200" spans="1:5">
      <c r="A200" s="1460" t="s">
        <v>498</v>
      </c>
      <c r="B200" s="1435" t="s">
        <v>596</v>
      </c>
      <c r="C200" s="1468">
        <v>2024</v>
      </c>
      <c r="D200" s="1435" t="s">
        <v>395</v>
      </c>
      <c r="E200" s="1465">
        <v>270</v>
      </c>
    </row>
    <row r="201" spans="1:5">
      <c r="A201" s="1460" t="s">
        <v>498</v>
      </c>
      <c r="B201" s="1435" t="s">
        <v>597</v>
      </c>
      <c r="C201" s="1468">
        <v>2024</v>
      </c>
      <c r="D201" s="1435" t="s">
        <v>394</v>
      </c>
      <c r="E201" s="1465">
        <v>168.51</v>
      </c>
    </row>
    <row r="202" spans="1:5">
      <c r="A202" s="1460" t="s">
        <v>498</v>
      </c>
      <c r="B202" s="1435" t="s">
        <v>597</v>
      </c>
      <c r="C202" s="1468">
        <v>2024</v>
      </c>
      <c r="D202" s="1435" t="s">
        <v>395</v>
      </c>
      <c r="E202" s="1465">
        <v>2970</v>
      </c>
    </row>
    <row r="203" spans="1:5">
      <c r="A203" s="1460" t="s">
        <v>498</v>
      </c>
      <c r="B203" s="1435" t="s">
        <v>597</v>
      </c>
      <c r="C203" s="1468">
        <v>2024</v>
      </c>
      <c r="D203" s="1435" t="s">
        <v>400</v>
      </c>
      <c r="E203" s="1465">
        <v>892.5</v>
      </c>
    </row>
    <row r="204" spans="1:5">
      <c r="A204" s="1460" t="s">
        <v>498</v>
      </c>
      <c r="B204" s="1435" t="s">
        <v>598</v>
      </c>
      <c r="C204" s="1468">
        <v>2024</v>
      </c>
      <c r="D204" s="1435" t="s">
        <v>400</v>
      </c>
      <c r="E204" s="1465">
        <v>2011.68</v>
      </c>
    </row>
    <row r="205" spans="1:5">
      <c r="A205" s="1460" t="s">
        <v>498</v>
      </c>
      <c r="B205" s="1435" t="s">
        <v>599</v>
      </c>
      <c r="C205" s="1468">
        <v>2024</v>
      </c>
      <c r="D205" s="1435" t="s">
        <v>395</v>
      </c>
      <c r="E205" s="1465">
        <v>0</v>
      </c>
    </row>
    <row r="206" spans="1:5">
      <c r="A206" s="1460" t="s">
        <v>498</v>
      </c>
      <c r="B206" s="1435" t="s">
        <v>600</v>
      </c>
      <c r="C206" s="1468">
        <v>2024</v>
      </c>
      <c r="D206" s="1435" t="s">
        <v>395</v>
      </c>
      <c r="E206" s="1465">
        <v>790</v>
      </c>
    </row>
    <row r="207" spans="1:5">
      <c r="A207" s="1460" t="s">
        <v>498</v>
      </c>
      <c r="B207" s="1435" t="s">
        <v>600</v>
      </c>
      <c r="C207" s="1468">
        <v>2024</v>
      </c>
      <c r="D207" s="1435" t="s">
        <v>400</v>
      </c>
      <c r="E207" s="1465">
        <v>1064.6600000000001</v>
      </c>
    </row>
    <row r="208" spans="1:5">
      <c r="A208" s="1460" t="s">
        <v>498</v>
      </c>
      <c r="B208" s="1435" t="s">
        <v>601</v>
      </c>
      <c r="C208" s="1468">
        <v>2024</v>
      </c>
      <c r="D208" s="1435" t="s">
        <v>400</v>
      </c>
      <c r="E208" s="1465">
        <v>348.41</v>
      </c>
    </row>
    <row r="209" spans="1:5">
      <c r="A209" s="1460" t="s">
        <v>498</v>
      </c>
      <c r="B209" s="1435" t="s">
        <v>602</v>
      </c>
      <c r="C209" s="1468">
        <v>2024</v>
      </c>
      <c r="D209" s="1435" t="s">
        <v>399</v>
      </c>
      <c r="E209" s="1465">
        <v>135.4</v>
      </c>
    </row>
    <row r="210" spans="1:5">
      <c r="A210" s="1460" t="s">
        <v>498</v>
      </c>
      <c r="B210" s="1435" t="s">
        <v>603</v>
      </c>
      <c r="C210" s="1468">
        <v>2024</v>
      </c>
      <c r="D210" s="1435" t="s">
        <v>395</v>
      </c>
      <c r="E210" s="1465">
        <v>200</v>
      </c>
    </row>
    <row r="211" spans="1:5">
      <c r="A211" s="1460" t="s">
        <v>498</v>
      </c>
      <c r="B211" s="1435" t="s">
        <v>604</v>
      </c>
      <c r="C211" s="1468">
        <v>2024</v>
      </c>
      <c r="D211" s="1435" t="s">
        <v>395</v>
      </c>
      <c r="E211" s="1465">
        <v>420</v>
      </c>
    </row>
    <row r="212" spans="1:5">
      <c r="A212" s="1460" t="s">
        <v>498</v>
      </c>
      <c r="B212" s="1435" t="s">
        <v>605</v>
      </c>
      <c r="C212" s="1468">
        <v>2024</v>
      </c>
      <c r="D212" s="1435" t="s">
        <v>395</v>
      </c>
      <c r="E212" s="1465">
        <v>2480</v>
      </c>
    </row>
    <row r="213" spans="1:5">
      <c r="A213" s="1460" t="s">
        <v>498</v>
      </c>
      <c r="B213" s="1435" t="s">
        <v>605</v>
      </c>
      <c r="C213" s="1468">
        <v>2024</v>
      </c>
      <c r="D213" s="1435" t="s">
        <v>400</v>
      </c>
      <c r="E213" s="1465">
        <v>2853.49</v>
      </c>
    </row>
    <row r="214" spans="1:5">
      <c r="A214" s="1460" t="s">
        <v>498</v>
      </c>
      <c r="B214" s="1435" t="s">
        <v>606</v>
      </c>
      <c r="C214" s="1468">
        <v>2024</v>
      </c>
      <c r="D214" s="1435" t="s">
        <v>394</v>
      </c>
      <c r="E214" s="1465">
        <v>155</v>
      </c>
    </row>
    <row r="215" spans="1:5">
      <c r="A215" s="1460" t="s">
        <v>498</v>
      </c>
      <c r="B215" s="1435" t="s">
        <v>607</v>
      </c>
      <c r="C215" s="1468">
        <v>2024</v>
      </c>
      <c r="D215" s="1435" t="s">
        <v>394</v>
      </c>
      <c r="E215" s="1465">
        <v>1400.3</v>
      </c>
    </row>
    <row r="216" spans="1:5">
      <c r="A216" s="1460" t="s">
        <v>498</v>
      </c>
      <c r="B216" s="1435" t="s">
        <v>607</v>
      </c>
      <c r="C216" s="1468">
        <v>2024</v>
      </c>
      <c r="D216" s="1435" t="s">
        <v>395</v>
      </c>
      <c r="E216" s="1465">
        <v>1740</v>
      </c>
    </row>
    <row r="217" spans="1:5">
      <c r="A217" s="1460" t="s">
        <v>498</v>
      </c>
      <c r="B217" s="1435" t="s">
        <v>608</v>
      </c>
      <c r="C217" s="1468">
        <v>2024</v>
      </c>
      <c r="D217" s="1435" t="s">
        <v>394</v>
      </c>
      <c r="E217" s="1465">
        <v>826.83</v>
      </c>
    </row>
    <row r="218" spans="1:5">
      <c r="A218" s="1460" t="s">
        <v>498</v>
      </c>
      <c r="B218" s="1435" t="s">
        <v>609</v>
      </c>
      <c r="C218" s="1468">
        <v>2024</v>
      </c>
      <c r="D218" s="1435" t="s">
        <v>395</v>
      </c>
      <c r="E218" s="1465">
        <v>0</v>
      </c>
    </row>
    <row r="219" spans="1:5">
      <c r="A219" s="1460" t="s">
        <v>498</v>
      </c>
      <c r="B219" s="1435" t="s">
        <v>610</v>
      </c>
      <c r="C219" s="1468">
        <v>2024</v>
      </c>
      <c r="D219" s="1435" t="s">
        <v>395</v>
      </c>
      <c r="E219" s="1465">
        <v>248</v>
      </c>
    </row>
    <row r="220" spans="1:5">
      <c r="A220" s="1460" t="s">
        <v>498</v>
      </c>
      <c r="B220" s="1435" t="s">
        <v>611</v>
      </c>
      <c r="C220" s="1468">
        <v>2024</v>
      </c>
      <c r="D220" s="1435" t="s">
        <v>394</v>
      </c>
      <c r="E220" s="1465">
        <v>463.94</v>
      </c>
    </row>
    <row r="221" spans="1:5">
      <c r="A221" s="1460" t="s">
        <v>498</v>
      </c>
      <c r="B221" s="1435" t="s">
        <v>611</v>
      </c>
      <c r="C221" s="1468">
        <v>2024</v>
      </c>
      <c r="D221" s="1435" t="s">
        <v>395</v>
      </c>
      <c r="E221" s="1465">
        <v>350</v>
      </c>
    </row>
    <row r="222" spans="1:5">
      <c r="A222" s="1460" t="s">
        <v>498</v>
      </c>
      <c r="B222" s="1435" t="s">
        <v>612</v>
      </c>
      <c r="C222" s="1468">
        <v>2024</v>
      </c>
      <c r="D222" s="1435" t="s">
        <v>394</v>
      </c>
      <c r="E222" s="1465">
        <v>0</v>
      </c>
    </row>
    <row r="223" spans="1:5">
      <c r="A223" s="1460" t="s">
        <v>498</v>
      </c>
      <c r="B223" s="1435" t="s">
        <v>612</v>
      </c>
      <c r="C223" s="1468">
        <v>2024</v>
      </c>
      <c r="D223" s="1435" t="s">
        <v>395</v>
      </c>
      <c r="E223" s="1465">
        <v>320</v>
      </c>
    </row>
    <row r="224" spans="1:5">
      <c r="A224" s="1460" t="s">
        <v>498</v>
      </c>
      <c r="B224" s="1435" t="s">
        <v>613</v>
      </c>
      <c r="C224" s="1468">
        <v>2024</v>
      </c>
      <c r="D224" s="1435" t="s">
        <v>394</v>
      </c>
      <c r="E224" s="1465">
        <v>327.25</v>
      </c>
    </row>
    <row r="225" spans="1:5">
      <c r="A225" s="1460" t="s">
        <v>498</v>
      </c>
      <c r="B225" s="1435" t="s">
        <v>613</v>
      </c>
      <c r="C225" s="1468">
        <v>2024</v>
      </c>
      <c r="D225" s="1435" t="s">
        <v>400</v>
      </c>
      <c r="E225" s="1465">
        <v>579.1</v>
      </c>
    </row>
    <row r="226" spans="1:5">
      <c r="A226" s="1460" t="s">
        <v>498</v>
      </c>
      <c r="B226" s="1435" t="s">
        <v>614</v>
      </c>
      <c r="C226" s="1468">
        <v>2024</v>
      </c>
      <c r="D226" s="1435" t="s">
        <v>395</v>
      </c>
      <c r="E226" s="1465">
        <v>2785.2</v>
      </c>
    </row>
    <row r="227" spans="1:5">
      <c r="A227" s="1460" t="s">
        <v>498</v>
      </c>
      <c r="B227" s="1435" t="s">
        <v>614</v>
      </c>
      <c r="C227" s="1468">
        <v>2024</v>
      </c>
      <c r="D227" s="1435" t="s">
        <v>389</v>
      </c>
      <c r="E227" s="1465">
        <v>0</v>
      </c>
    </row>
    <row r="228" spans="1:5">
      <c r="A228" s="1460" t="s">
        <v>498</v>
      </c>
      <c r="B228" s="1435" t="s">
        <v>614</v>
      </c>
      <c r="C228" s="1468">
        <v>2024</v>
      </c>
      <c r="D228" s="1435" t="s">
        <v>400</v>
      </c>
      <c r="E228" s="1465">
        <v>596.64</v>
      </c>
    </row>
    <row r="229" spans="1:5">
      <c r="A229" s="1460" t="s">
        <v>498</v>
      </c>
      <c r="B229" s="1435" t="s">
        <v>615</v>
      </c>
      <c r="C229" s="1468">
        <v>2024</v>
      </c>
      <c r="D229" s="1435" t="s">
        <v>389</v>
      </c>
      <c r="E229" s="1465">
        <v>200</v>
      </c>
    </row>
    <row r="230" spans="1:5">
      <c r="A230" s="1460" t="s">
        <v>498</v>
      </c>
      <c r="B230" s="1435" t="s">
        <v>616</v>
      </c>
      <c r="C230" s="1468">
        <v>2024</v>
      </c>
      <c r="D230" s="1435" t="s">
        <v>394</v>
      </c>
      <c r="E230" s="1465">
        <v>0</v>
      </c>
    </row>
    <row r="231" spans="1:5">
      <c r="A231" s="1460" t="s">
        <v>498</v>
      </c>
      <c r="B231" s="1435" t="s">
        <v>617</v>
      </c>
      <c r="C231" s="1468">
        <v>2024</v>
      </c>
      <c r="D231" s="1435" t="s">
        <v>395</v>
      </c>
      <c r="E231" s="1465">
        <v>0</v>
      </c>
    </row>
    <row r="232" spans="1:5">
      <c r="A232" s="1460" t="s">
        <v>498</v>
      </c>
      <c r="B232" s="1435" t="s">
        <v>618</v>
      </c>
      <c r="C232" s="1468">
        <v>2024</v>
      </c>
      <c r="D232" s="1435" t="s">
        <v>394</v>
      </c>
      <c r="E232" s="1465">
        <v>0</v>
      </c>
    </row>
    <row r="233" spans="1:5">
      <c r="A233" s="1460" t="s">
        <v>498</v>
      </c>
      <c r="B233" s="1435" t="s">
        <v>619</v>
      </c>
      <c r="C233" s="1468">
        <v>2024</v>
      </c>
      <c r="D233" s="1435" t="s">
        <v>394</v>
      </c>
      <c r="E233" s="1465">
        <v>335.4</v>
      </c>
    </row>
    <row r="234" spans="1:5">
      <c r="A234" s="1460" t="s">
        <v>498</v>
      </c>
      <c r="B234" s="1435" t="s">
        <v>620</v>
      </c>
      <c r="C234" s="1468">
        <v>2024</v>
      </c>
      <c r="D234" s="1435" t="s">
        <v>395</v>
      </c>
      <c r="E234" s="1465">
        <v>0</v>
      </c>
    </row>
    <row r="235" spans="1:5">
      <c r="A235" s="1460" t="s">
        <v>498</v>
      </c>
      <c r="B235" s="1435" t="s">
        <v>621</v>
      </c>
      <c r="C235" s="1468">
        <v>2024</v>
      </c>
      <c r="D235" s="1435" t="s">
        <v>394</v>
      </c>
      <c r="E235" s="1465">
        <v>296.94</v>
      </c>
    </row>
    <row r="236" spans="1:5">
      <c r="A236" s="1460" t="s">
        <v>498</v>
      </c>
      <c r="B236" s="1435" t="s">
        <v>622</v>
      </c>
      <c r="C236" s="1468">
        <v>2024</v>
      </c>
      <c r="D236" s="1435" t="s">
        <v>395</v>
      </c>
      <c r="E236" s="1465">
        <v>250</v>
      </c>
    </row>
    <row r="237" spans="1:5">
      <c r="A237" s="1460" t="s">
        <v>498</v>
      </c>
      <c r="B237" s="1435" t="s">
        <v>622</v>
      </c>
      <c r="C237" s="1468">
        <v>2024</v>
      </c>
      <c r="D237" s="1435" t="s">
        <v>400</v>
      </c>
      <c r="E237" s="1465">
        <v>1277.98</v>
      </c>
    </row>
    <row r="238" spans="1:5">
      <c r="A238" s="1460" t="s">
        <v>498</v>
      </c>
      <c r="B238" s="1435" t="s">
        <v>623</v>
      </c>
      <c r="C238" s="1468">
        <v>2024</v>
      </c>
      <c r="D238" s="1435" t="s">
        <v>394</v>
      </c>
      <c r="E238" s="1465">
        <v>568.04</v>
      </c>
    </row>
    <row r="239" spans="1:5">
      <c r="A239" s="1460" t="s">
        <v>498</v>
      </c>
      <c r="B239" s="1435" t="s">
        <v>623</v>
      </c>
      <c r="C239" s="1468">
        <v>2024</v>
      </c>
      <c r="D239" s="1435" t="s">
        <v>401</v>
      </c>
      <c r="E239" s="1465">
        <v>880</v>
      </c>
    </row>
    <row r="240" spans="1:5">
      <c r="A240" s="1460" t="s">
        <v>498</v>
      </c>
      <c r="B240" s="1435" t="s">
        <v>624</v>
      </c>
      <c r="C240" s="1468">
        <v>2024</v>
      </c>
      <c r="D240" s="1435" t="s">
        <v>394</v>
      </c>
      <c r="E240" s="1465">
        <v>125</v>
      </c>
    </row>
    <row r="241" spans="1:5">
      <c r="A241" s="1460" t="s">
        <v>498</v>
      </c>
      <c r="B241" s="1435" t="s">
        <v>625</v>
      </c>
      <c r="C241" s="1468">
        <v>2024</v>
      </c>
      <c r="D241" s="1435" t="s">
        <v>395</v>
      </c>
      <c r="E241" s="1465">
        <v>0</v>
      </c>
    </row>
    <row r="242" spans="1:5">
      <c r="A242" s="1460" t="s">
        <v>498</v>
      </c>
      <c r="B242" s="1435" t="s">
        <v>626</v>
      </c>
      <c r="C242" s="1468">
        <v>2024</v>
      </c>
      <c r="D242" s="1435" t="s">
        <v>400</v>
      </c>
      <c r="E242" s="1465">
        <v>0</v>
      </c>
    </row>
    <row r="243" spans="1:5">
      <c r="A243" s="1460" t="s">
        <v>498</v>
      </c>
      <c r="B243" s="1435" t="s">
        <v>627</v>
      </c>
      <c r="C243" s="1468">
        <v>2024</v>
      </c>
      <c r="D243" s="1435" t="s">
        <v>400</v>
      </c>
      <c r="E243" s="1465">
        <v>0</v>
      </c>
    </row>
    <row r="244" spans="1:5">
      <c r="A244" s="1460" t="s">
        <v>498</v>
      </c>
      <c r="B244" s="1435" t="s">
        <v>628</v>
      </c>
      <c r="C244" s="1468">
        <v>2024</v>
      </c>
      <c r="D244" s="1435" t="s">
        <v>398</v>
      </c>
      <c r="E244" s="1465">
        <v>241.5</v>
      </c>
    </row>
    <row r="245" spans="1:5">
      <c r="A245" s="1460" t="s">
        <v>498</v>
      </c>
      <c r="B245" s="1435" t="s">
        <v>628</v>
      </c>
      <c r="C245" s="1468">
        <v>2024</v>
      </c>
      <c r="D245" s="1435" t="s">
        <v>400</v>
      </c>
      <c r="E245" s="1465">
        <v>406</v>
      </c>
    </row>
    <row r="246" spans="1:5">
      <c r="A246" s="1460" t="s">
        <v>498</v>
      </c>
      <c r="B246" s="1435" t="s">
        <v>629</v>
      </c>
      <c r="C246" s="1468">
        <v>2024</v>
      </c>
      <c r="D246" s="1435" t="s">
        <v>394</v>
      </c>
      <c r="E246" s="1465">
        <v>353.92</v>
      </c>
    </row>
    <row r="247" spans="1:5">
      <c r="A247" s="1460" t="s">
        <v>498</v>
      </c>
      <c r="B247" s="1435" t="s">
        <v>630</v>
      </c>
      <c r="C247" s="1468">
        <v>2024</v>
      </c>
      <c r="D247" s="1435" t="s">
        <v>395</v>
      </c>
      <c r="E247" s="1465">
        <v>0</v>
      </c>
    </row>
    <row r="248" spans="1:5">
      <c r="A248" s="1460" t="s">
        <v>498</v>
      </c>
      <c r="B248" s="1435" t="s">
        <v>631</v>
      </c>
      <c r="C248" s="1468">
        <v>2024</v>
      </c>
      <c r="D248" s="1435" t="s">
        <v>400</v>
      </c>
      <c r="E248" s="1465">
        <v>438.9</v>
      </c>
    </row>
    <row r="249" spans="1:5">
      <c r="A249" s="1460" t="s">
        <v>498</v>
      </c>
      <c r="B249" s="1435" t="s">
        <v>632</v>
      </c>
      <c r="C249" s="1468">
        <v>2024</v>
      </c>
      <c r="D249" s="1435" t="s">
        <v>394</v>
      </c>
      <c r="E249" s="1465">
        <v>161.88</v>
      </c>
    </row>
    <row r="250" spans="1:5">
      <c r="A250" s="1460" t="s">
        <v>498</v>
      </c>
      <c r="B250" s="1435" t="s">
        <v>633</v>
      </c>
      <c r="C250" s="1468">
        <v>2024</v>
      </c>
      <c r="D250" s="1435" t="s">
        <v>394</v>
      </c>
      <c r="E250" s="1465">
        <v>0</v>
      </c>
    </row>
    <row r="251" spans="1:5">
      <c r="A251" s="1460" t="s">
        <v>498</v>
      </c>
      <c r="B251" s="1435" t="s">
        <v>634</v>
      </c>
      <c r="C251" s="1468">
        <v>2024</v>
      </c>
      <c r="D251" s="1435" t="s">
        <v>395</v>
      </c>
      <c r="E251" s="1465">
        <v>0</v>
      </c>
    </row>
    <row r="252" spans="1:5">
      <c r="A252" s="1460" t="s">
        <v>498</v>
      </c>
      <c r="B252" s="1435" t="s">
        <v>635</v>
      </c>
      <c r="C252" s="1468">
        <v>2024</v>
      </c>
      <c r="D252" s="1435" t="s">
        <v>394</v>
      </c>
      <c r="E252" s="1465">
        <v>245.94</v>
      </c>
    </row>
    <row r="253" spans="1:5">
      <c r="A253" s="1460" t="s">
        <v>498</v>
      </c>
      <c r="B253" s="1435" t="s">
        <v>636</v>
      </c>
      <c r="C253" s="1468">
        <v>2024</v>
      </c>
      <c r="D253" s="1435" t="s">
        <v>395</v>
      </c>
      <c r="E253" s="1465">
        <v>760</v>
      </c>
    </row>
    <row r="254" spans="1:5">
      <c r="A254" s="1460" t="s">
        <v>498</v>
      </c>
      <c r="B254" s="1435" t="s">
        <v>637</v>
      </c>
      <c r="C254" s="1468">
        <v>2024</v>
      </c>
      <c r="D254" s="1435" t="s">
        <v>395</v>
      </c>
      <c r="E254" s="1465">
        <v>233</v>
      </c>
    </row>
    <row r="255" spans="1:5">
      <c r="A255" s="1460" t="s">
        <v>498</v>
      </c>
      <c r="B255" s="1435" t="s">
        <v>638</v>
      </c>
      <c r="C255" s="1468">
        <v>2024</v>
      </c>
      <c r="D255" s="1435" t="s">
        <v>387</v>
      </c>
      <c r="E255" s="1465">
        <v>2241.4699999999998</v>
      </c>
    </row>
    <row r="256" spans="1:5">
      <c r="A256" s="1460" t="s">
        <v>498</v>
      </c>
      <c r="B256" s="1435" t="s">
        <v>639</v>
      </c>
      <c r="C256" s="1468">
        <v>2024</v>
      </c>
      <c r="D256" s="1435" t="s">
        <v>395</v>
      </c>
      <c r="E256" s="1465">
        <v>0</v>
      </c>
    </row>
    <row r="257" spans="1:5">
      <c r="A257" s="1460" t="s">
        <v>498</v>
      </c>
      <c r="B257" s="1435" t="s">
        <v>640</v>
      </c>
      <c r="C257" s="1468">
        <v>2024</v>
      </c>
      <c r="D257" s="1435" t="s">
        <v>395</v>
      </c>
      <c r="E257" s="1465">
        <v>0</v>
      </c>
    </row>
    <row r="258" spans="1:5">
      <c r="A258" s="1460" t="s">
        <v>498</v>
      </c>
      <c r="B258" s="1435" t="s">
        <v>641</v>
      </c>
      <c r="C258" s="1468">
        <v>2024</v>
      </c>
      <c r="D258" s="1435" t="s">
        <v>394</v>
      </c>
      <c r="E258" s="1465">
        <v>0</v>
      </c>
    </row>
    <row r="259" spans="1:5">
      <c r="A259" s="1460" t="s">
        <v>498</v>
      </c>
      <c r="B259" s="1435" t="s">
        <v>642</v>
      </c>
      <c r="C259" s="1468">
        <v>2024</v>
      </c>
      <c r="D259" s="1435" t="s">
        <v>395</v>
      </c>
      <c r="E259" s="1465">
        <v>0</v>
      </c>
    </row>
    <row r="260" spans="1:5">
      <c r="A260" s="1460" t="s">
        <v>498</v>
      </c>
      <c r="B260" s="1435" t="s">
        <v>643</v>
      </c>
      <c r="C260" s="1468">
        <v>2024</v>
      </c>
      <c r="D260" s="1435" t="s">
        <v>394</v>
      </c>
      <c r="E260" s="1465">
        <v>0</v>
      </c>
    </row>
    <row r="261" spans="1:5">
      <c r="A261" s="1460" t="s">
        <v>498</v>
      </c>
      <c r="B261" s="1435" t="s">
        <v>644</v>
      </c>
      <c r="C261" s="1468">
        <v>2024</v>
      </c>
      <c r="D261" s="1435" t="s">
        <v>387</v>
      </c>
      <c r="E261" s="1465">
        <v>0</v>
      </c>
    </row>
    <row r="262" spans="1:5">
      <c r="A262" s="1460" t="s">
        <v>498</v>
      </c>
      <c r="B262" s="1435" t="s">
        <v>645</v>
      </c>
      <c r="C262" s="1468">
        <v>2024</v>
      </c>
      <c r="D262" s="1435" t="s">
        <v>395</v>
      </c>
      <c r="E262" s="1465">
        <v>0</v>
      </c>
    </row>
    <row r="263" spans="1:5">
      <c r="A263" s="1460" t="s">
        <v>488</v>
      </c>
      <c r="B263" s="1435" t="s">
        <v>646</v>
      </c>
      <c r="C263" s="1468">
        <v>2024</v>
      </c>
      <c r="D263" s="1435" t="s">
        <v>398</v>
      </c>
      <c r="E263" s="1465">
        <v>403.5</v>
      </c>
    </row>
    <row r="264" spans="1:5">
      <c r="A264" s="1460" t="s">
        <v>488</v>
      </c>
      <c r="B264" s="1435" t="s">
        <v>646</v>
      </c>
      <c r="C264" s="1468">
        <v>2024</v>
      </c>
      <c r="D264" s="1435" t="s">
        <v>392</v>
      </c>
      <c r="E264" s="1465">
        <v>90</v>
      </c>
    </row>
    <row r="265" spans="1:5">
      <c r="A265" s="1460" t="s">
        <v>488</v>
      </c>
      <c r="B265" s="1435" t="s">
        <v>647</v>
      </c>
      <c r="C265" s="1468">
        <v>2024</v>
      </c>
      <c r="D265" s="1435" t="s">
        <v>395</v>
      </c>
      <c r="E265" s="1465">
        <v>790</v>
      </c>
    </row>
    <row r="266" spans="1:5">
      <c r="A266" s="1460" t="s">
        <v>488</v>
      </c>
      <c r="B266" s="1435" t="s">
        <v>647</v>
      </c>
      <c r="C266" s="1468">
        <v>2024</v>
      </c>
      <c r="D266" s="1435" t="s">
        <v>398</v>
      </c>
      <c r="E266" s="1465">
        <v>929</v>
      </c>
    </row>
    <row r="267" spans="1:5">
      <c r="A267" s="1460" t="s">
        <v>488</v>
      </c>
      <c r="B267" s="1435" t="s">
        <v>647</v>
      </c>
      <c r="C267" s="1468">
        <v>2024</v>
      </c>
      <c r="D267" s="1435" t="s">
        <v>399</v>
      </c>
      <c r="E267" s="1465">
        <v>4160</v>
      </c>
    </row>
    <row r="268" spans="1:5">
      <c r="A268" s="1460" t="s">
        <v>488</v>
      </c>
      <c r="B268" s="1435" t="s">
        <v>647</v>
      </c>
      <c r="C268" s="1468">
        <v>2024</v>
      </c>
      <c r="D268" s="1435" t="s">
        <v>400</v>
      </c>
      <c r="E268" s="1465">
        <v>3988.47</v>
      </c>
    </row>
    <row r="269" spans="1:5">
      <c r="A269" s="1460" t="s">
        <v>488</v>
      </c>
      <c r="B269" s="1435" t="s">
        <v>647</v>
      </c>
      <c r="C269" s="1468">
        <v>2024</v>
      </c>
      <c r="D269" s="1435" t="s">
        <v>401</v>
      </c>
      <c r="E269" s="1465">
        <v>173.8</v>
      </c>
    </row>
    <row r="270" spans="1:5">
      <c r="A270" s="1460" t="s">
        <v>488</v>
      </c>
      <c r="B270" s="1435" t="s">
        <v>647</v>
      </c>
      <c r="C270" s="1468">
        <v>2024</v>
      </c>
      <c r="D270" s="1435" t="s">
        <v>402</v>
      </c>
      <c r="E270" s="1465">
        <v>73</v>
      </c>
    </row>
    <row r="271" spans="1:5">
      <c r="A271" s="1460" t="s">
        <v>488</v>
      </c>
      <c r="B271" s="1435" t="s">
        <v>648</v>
      </c>
      <c r="C271" s="1468">
        <v>2024</v>
      </c>
      <c r="D271" s="1435" t="s">
        <v>395</v>
      </c>
      <c r="E271" s="1465">
        <v>230</v>
      </c>
    </row>
    <row r="272" spans="1:5">
      <c r="A272" s="1460" t="s">
        <v>488</v>
      </c>
      <c r="B272" s="1435" t="s">
        <v>648</v>
      </c>
      <c r="C272" s="1468">
        <v>2024</v>
      </c>
      <c r="D272" s="1435" t="s">
        <v>398</v>
      </c>
      <c r="E272" s="1465">
        <v>648.5</v>
      </c>
    </row>
    <row r="273" spans="1:5">
      <c r="A273" s="1460" t="s">
        <v>488</v>
      </c>
      <c r="B273" s="1435" t="s">
        <v>648</v>
      </c>
      <c r="C273" s="1468">
        <v>2024</v>
      </c>
      <c r="D273" s="1435" t="s">
        <v>399</v>
      </c>
      <c r="E273" s="1465">
        <v>12179</v>
      </c>
    </row>
    <row r="274" spans="1:5">
      <c r="A274" s="1460" t="s">
        <v>488</v>
      </c>
      <c r="B274" s="1435" t="s">
        <v>648</v>
      </c>
      <c r="C274" s="1468">
        <v>2024</v>
      </c>
      <c r="D274" s="1435" t="s">
        <v>389</v>
      </c>
      <c r="E274" s="1465">
        <v>532</v>
      </c>
    </row>
    <row r="275" spans="1:5">
      <c r="A275" s="1460" t="s">
        <v>488</v>
      </c>
      <c r="B275" s="1435" t="s">
        <v>648</v>
      </c>
      <c r="C275" s="1468">
        <v>2024</v>
      </c>
      <c r="D275" s="1435" t="s">
        <v>391</v>
      </c>
      <c r="E275" s="1465">
        <v>538</v>
      </c>
    </row>
    <row r="276" spans="1:5">
      <c r="A276" s="1460" t="s">
        <v>488</v>
      </c>
      <c r="B276" s="1435" t="s">
        <v>648</v>
      </c>
      <c r="C276" s="1468">
        <v>2024</v>
      </c>
      <c r="D276" s="1435" t="s">
        <v>400</v>
      </c>
      <c r="E276" s="1465">
        <v>3655.75</v>
      </c>
    </row>
    <row r="277" spans="1:5">
      <c r="A277" s="1460" t="s">
        <v>488</v>
      </c>
      <c r="B277" s="1435" t="s">
        <v>648</v>
      </c>
      <c r="C277" s="1468">
        <v>2024</v>
      </c>
      <c r="D277" s="1435" t="s">
        <v>401</v>
      </c>
      <c r="E277" s="1465">
        <v>860</v>
      </c>
    </row>
    <row r="278" spans="1:5">
      <c r="A278" s="1460" t="s">
        <v>488</v>
      </c>
      <c r="B278" s="1435" t="s">
        <v>648</v>
      </c>
      <c r="C278" s="1468">
        <v>2024</v>
      </c>
      <c r="D278" s="1435" t="s">
        <v>387</v>
      </c>
      <c r="E278" s="1465">
        <v>270</v>
      </c>
    </row>
    <row r="279" spans="1:5">
      <c r="A279" s="1460" t="s">
        <v>488</v>
      </c>
      <c r="B279" s="1435" t="s">
        <v>648</v>
      </c>
      <c r="C279" s="1468">
        <v>2024</v>
      </c>
      <c r="D279" s="1435" t="s">
        <v>402</v>
      </c>
      <c r="E279" s="1465">
        <v>410</v>
      </c>
    </row>
    <row r="280" spans="1:5">
      <c r="A280" s="1434"/>
      <c r="B280" s="1434"/>
      <c r="C280" s="1434"/>
      <c r="D280" s="1434"/>
      <c r="E280" s="1434"/>
    </row>
    <row r="281" spans="1:5">
      <c r="A281" s="1434" t="s">
        <v>649</v>
      </c>
      <c r="B281" s="1434"/>
      <c r="C281" s="1434"/>
      <c r="D281" s="1434"/>
      <c r="E281" s="1434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9AA5-757E-4FDB-AED8-18BD81028D8E}">
  <sheetPr>
    <tabColor rgb="FF92D050"/>
  </sheetPr>
  <dimension ref="A1:O22"/>
  <sheetViews>
    <sheetView zoomScale="140" zoomScaleNormal="140" workbookViewId="0"/>
  </sheetViews>
  <sheetFormatPr baseColWidth="10" defaultRowHeight="14.15"/>
  <cols>
    <col min="1" max="1" width="10.69140625" bestFit="1" customWidth="1"/>
    <col min="2" max="2" width="10.3828125" bestFit="1" customWidth="1"/>
    <col min="3" max="3" width="4.3828125" bestFit="1" customWidth="1"/>
    <col min="4" max="4" width="14.3046875" bestFit="1" customWidth="1"/>
    <col min="5" max="5" width="9.69140625" bestFit="1" customWidth="1"/>
    <col min="6" max="6" width="6.84375" customWidth="1"/>
    <col min="7" max="7" width="11.84375" bestFit="1" customWidth="1"/>
    <col min="8" max="8" width="13.84375" bestFit="1" customWidth="1"/>
    <col min="9" max="9" width="16.15234375" bestFit="1" customWidth="1"/>
    <col min="10" max="10" width="9.3828125" bestFit="1" customWidth="1"/>
    <col min="11" max="11" width="14.3046875" bestFit="1" customWidth="1"/>
    <col min="12" max="12" width="14.53515625" bestFit="1" customWidth="1"/>
    <col min="13" max="13" width="10.3046875" bestFit="1" customWidth="1"/>
    <col min="14" max="14" width="10.3828125" bestFit="1" customWidth="1"/>
    <col min="15" max="15" width="7.3828125" customWidth="1"/>
    <col min="16" max="16" width="25.84375" customWidth="1"/>
  </cols>
  <sheetData>
    <row r="1" spans="1:15" ht="18">
      <c r="A1" s="1495" t="s">
        <v>669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  <c r="N1" s="1496"/>
      <c r="O1" s="1496"/>
    </row>
    <row r="2" spans="1:15">
      <c r="A2" s="1483" t="s">
        <v>499</v>
      </c>
      <c r="B2" s="1484" t="s">
        <v>500</v>
      </c>
      <c r="C2" s="1484" t="s">
        <v>118</v>
      </c>
      <c r="D2" s="1484" t="s">
        <v>670</v>
      </c>
      <c r="E2" s="1484" t="s">
        <v>671</v>
      </c>
      <c r="F2" s="1484" t="s">
        <v>672</v>
      </c>
      <c r="G2" s="1484" t="s">
        <v>673</v>
      </c>
      <c r="H2" s="1484" t="s">
        <v>674</v>
      </c>
      <c r="I2" s="1484" t="s">
        <v>675</v>
      </c>
      <c r="J2" s="1484" t="s">
        <v>676</v>
      </c>
      <c r="K2" s="1484" t="s">
        <v>677</v>
      </c>
      <c r="L2" s="1484" t="s">
        <v>678</v>
      </c>
      <c r="M2" s="1484" t="s">
        <v>679</v>
      </c>
      <c r="N2" s="1484" t="s">
        <v>680</v>
      </c>
      <c r="O2" s="1485" t="s">
        <v>681</v>
      </c>
    </row>
    <row r="3" spans="1:15">
      <c r="A3" s="1486" t="s">
        <v>484</v>
      </c>
      <c r="B3" s="1487" t="s">
        <v>524</v>
      </c>
      <c r="C3" s="1488">
        <v>2024</v>
      </c>
      <c r="D3" s="1487" t="s">
        <v>682</v>
      </c>
      <c r="E3" s="1498">
        <v>4</v>
      </c>
      <c r="F3" s="1490">
        <v>5</v>
      </c>
      <c r="G3" s="1490">
        <v>6</v>
      </c>
      <c r="H3" s="1490">
        <v>2</v>
      </c>
      <c r="I3" s="1490">
        <v>6</v>
      </c>
      <c r="J3" s="1490">
        <v>8</v>
      </c>
      <c r="K3" s="1490">
        <v>8</v>
      </c>
      <c r="L3" s="1490">
        <v>4</v>
      </c>
      <c r="M3" s="1490">
        <v>5</v>
      </c>
      <c r="N3" s="1490">
        <v>4</v>
      </c>
      <c r="O3" s="1490">
        <v>5</v>
      </c>
    </row>
    <row r="4" spans="1:15">
      <c r="A4" s="1486" t="s">
        <v>484</v>
      </c>
      <c r="B4" s="1487" t="s">
        <v>527</v>
      </c>
      <c r="C4" s="1488">
        <v>2024</v>
      </c>
      <c r="D4" s="1487" t="s">
        <v>682</v>
      </c>
      <c r="E4" s="1498">
        <v>5</v>
      </c>
      <c r="F4" s="1490">
        <v>5</v>
      </c>
      <c r="G4" s="1490">
        <v>6</v>
      </c>
      <c r="H4" s="1490">
        <v>1</v>
      </c>
      <c r="I4" s="1490">
        <v>7</v>
      </c>
      <c r="J4" s="1490">
        <v>7</v>
      </c>
      <c r="K4" s="1490">
        <v>7</v>
      </c>
      <c r="L4" s="1490">
        <v>4</v>
      </c>
      <c r="M4" s="1490" t="s">
        <v>686</v>
      </c>
      <c r="N4" s="1490">
        <v>4</v>
      </c>
      <c r="O4" s="1490">
        <v>5</v>
      </c>
    </row>
    <row r="5" spans="1:15">
      <c r="A5" s="1486"/>
      <c r="B5" s="1487"/>
      <c r="C5" s="1488"/>
      <c r="D5" s="1487"/>
      <c r="E5" s="1489"/>
      <c r="F5" s="1490"/>
      <c r="G5" s="1490"/>
      <c r="H5" s="1490"/>
      <c r="I5" s="1490"/>
      <c r="J5" s="1490"/>
      <c r="K5" s="1490"/>
      <c r="L5" s="1490"/>
      <c r="M5" s="1490"/>
      <c r="N5" s="1490"/>
      <c r="O5" s="1490"/>
    </row>
    <row r="6" spans="1:15">
      <c r="A6" s="1483" t="s">
        <v>499</v>
      </c>
      <c r="B6" s="1484" t="s">
        <v>500</v>
      </c>
      <c r="C6" s="1484" t="s">
        <v>118</v>
      </c>
      <c r="D6" s="1484" t="s">
        <v>670</v>
      </c>
      <c r="E6" s="1484" t="s">
        <v>671</v>
      </c>
      <c r="F6" s="1484" t="s">
        <v>672</v>
      </c>
      <c r="G6" s="1484" t="s">
        <v>673</v>
      </c>
      <c r="H6" s="1484" t="s">
        <v>674</v>
      </c>
      <c r="I6" s="1484" t="s">
        <v>675</v>
      </c>
      <c r="J6" s="1484" t="s">
        <v>676</v>
      </c>
      <c r="K6" s="1484" t="s">
        <v>677</v>
      </c>
      <c r="L6" s="1484" t="s">
        <v>678</v>
      </c>
      <c r="M6" s="1492" t="s">
        <v>701</v>
      </c>
      <c r="N6" s="1491"/>
      <c r="O6" s="1491"/>
    </row>
    <row r="7" spans="1:15">
      <c r="A7" s="1487" t="s">
        <v>683</v>
      </c>
      <c r="B7" s="1487" t="s">
        <v>572</v>
      </c>
      <c r="C7" s="1488">
        <v>2024</v>
      </c>
      <c r="D7" s="1487" t="s">
        <v>682</v>
      </c>
      <c r="E7" s="1498">
        <v>4</v>
      </c>
      <c r="F7" s="1487">
        <v>3</v>
      </c>
      <c r="G7" s="1487">
        <v>6</v>
      </c>
      <c r="H7" s="1487">
        <v>3</v>
      </c>
      <c r="I7" s="1487">
        <v>6</v>
      </c>
      <c r="J7" s="1487">
        <v>8</v>
      </c>
      <c r="K7" s="1487">
        <v>8</v>
      </c>
      <c r="L7" s="1487">
        <v>6</v>
      </c>
      <c r="M7" s="1490" t="s">
        <v>686</v>
      </c>
      <c r="N7" s="1491"/>
      <c r="O7" s="1491"/>
    </row>
    <row r="8" spans="1:15">
      <c r="A8" s="1487" t="s">
        <v>683</v>
      </c>
      <c r="B8" s="1487" t="s">
        <v>684</v>
      </c>
      <c r="C8" s="1488">
        <v>2024</v>
      </c>
      <c r="D8" s="1487" t="s">
        <v>685</v>
      </c>
      <c r="E8" s="1498">
        <v>7</v>
      </c>
      <c r="F8" s="1487">
        <v>6</v>
      </c>
      <c r="G8" s="1487">
        <v>8</v>
      </c>
      <c r="H8" s="1487">
        <v>8</v>
      </c>
      <c r="I8" s="1487">
        <v>2</v>
      </c>
      <c r="J8" s="1487">
        <v>1</v>
      </c>
      <c r="K8" s="1487">
        <v>2</v>
      </c>
      <c r="L8" s="1487">
        <v>6</v>
      </c>
      <c r="M8" s="1490">
        <v>5</v>
      </c>
      <c r="N8" s="1491"/>
      <c r="O8" s="1491"/>
    </row>
    <row r="9" spans="1:15">
      <c r="A9" s="1487" t="s">
        <v>683</v>
      </c>
      <c r="B9" s="1487" t="s">
        <v>565</v>
      </c>
      <c r="C9" s="1488">
        <v>2024</v>
      </c>
      <c r="D9" s="1487" t="s">
        <v>685</v>
      </c>
      <c r="E9" s="1498">
        <v>7</v>
      </c>
      <c r="F9" s="1487">
        <v>6</v>
      </c>
      <c r="G9" s="1487">
        <v>8</v>
      </c>
      <c r="H9" s="1487">
        <v>8</v>
      </c>
      <c r="I9" s="1487">
        <v>2</v>
      </c>
      <c r="J9" s="1487">
        <v>1</v>
      </c>
      <c r="K9" s="1487">
        <v>2</v>
      </c>
      <c r="L9" s="1487">
        <v>5</v>
      </c>
      <c r="M9" s="1490">
        <v>5</v>
      </c>
      <c r="N9" s="1491"/>
      <c r="O9" s="1491"/>
    </row>
    <row r="10" spans="1:15">
      <c r="A10" s="1487"/>
      <c r="B10" s="1487"/>
      <c r="C10" s="1488"/>
      <c r="D10" s="1487"/>
      <c r="E10" s="1489"/>
      <c r="F10" s="1490"/>
      <c r="G10" s="1490"/>
      <c r="H10" s="1490"/>
      <c r="I10" s="1490"/>
      <c r="J10" s="1490"/>
      <c r="K10" s="1490"/>
      <c r="L10" s="1490"/>
      <c r="M10" s="1490"/>
      <c r="N10" s="1490"/>
      <c r="O10" s="1490"/>
    </row>
    <row r="11" spans="1:15">
      <c r="A11" s="1492" t="s">
        <v>499</v>
      </c>
      <c r="B11" s="1492" t="s">
        <v>500</v>
      </c>
      <c r="C11" s="1492" t="s">
        <v>118</v>
      </c>
      <c r="D11" s="1492" t="s">
        <v>670</v>
      </c>
      <c r="E11" s="1492" t="s">
        <v>671</v>
      </c>
      <c r="F11" s="1492" t="s">
        <v>672</v>
      </c>
      <c r="G11" s="1492" t="s">
        <v>673</v>
      </c>
      <c r="H11" s="1492" t="s">
        <v>674</v>
      </c>
      <c r="I11" s="1492" t="s">
        <v>675</v>
      </c>
      <c r="J11" s="1492" t="s">
        <v>676</v>
      </c>
      <c r="K11" s="1492" t="s">
        <v>677</v>
      </c>
      <c r="L11" s="1492" t="s">
        <v>678</v>
      </c>
      <c r="M11" s="1492" t="s">
        <v>690</v>
      </c>
      <c r="N11" s="1492" t="s">
        <v>691</v>
      </c>
      <c r="O11" s="1491"/>
    </row>
    <row r="12" spans="1:15">
      <c r="A12" s="1487" t="s">
        <v>498</v>
      </c>
      <c r="B12" s="1487" t="s">
        <v>687</v>
      </c>
      <c r="C12" s="1488">
        <v>2024</v>
      </c>
      <c r="D12" s="1487" t="s">
        <v>682</v>
      </c>
      <c r="E12" s="1498">
        <v>3</v>
      </c>
      <c r="F12" s="1487">
        <v>5</v>
      </c>
      <c r="G12" s="1487">
        <v>5</v>
      </c>
      <c r="H12" s="1487">
        <v>3</v>
      </c>
      <c r="I12" s="1487">
        <v>4</v>
      </c>
      <c r="J12" s="1487">
        <v>9</v>
      </c>
      <c r="K12" s="1487">
        <v>9</v>
      </c>
      <c r="L12" s="1487">
        <v>5</v>
      </c>
      <c r="M12" s="1487">
        <v>8</v>
      </c>
      <c r="N12" s="1487">
        <v>6</v>
      </c>
      <c r="O12" s="1491"/>
    </row>
    <row r="13" spans="1:15">
      <c r="A13" s="1487" t="s">
        <v>498</v>
      </c>
      <c r="B13" s="1487" t="s">
        <v>606</v>
      </c>
      <c r="C13" s="1488">
        <v>2024</v>
      </c>
      <c r="D13" s="1487" t="s">
        <v>682</v>
      </c>
      <c r="E13" s="1498">
        <v>3</v>
      </c>
      <c r="F13" s="1487">
        <v>3</v>
      </c>
      <c r="G13" s="1487">
        <v>4</v>
      </c>
      <c r="H13" s="1487">
        <v>3</v>
      </c>
      <c r="I13" s="1487">
        <v>3</v>
      </c>
      <c r="J13" s="1487">
        <v>8</v>
      </c>
      <c r="K13" s="1487">
        <v>8</v>
      </c>
      <c r="L13" s="1487">
        <v>4</v>
      </c>
      <c r="M13" s="1487">
        <v>9</v>
      </c>
      <c r="N13" s="1487">
        <v>7</v>
      </c>
      <c r="O13" s="1491"/>
    </row>
    <row r="14" spans="1:15">
      <c r="A14" s="1487" t="s">
        <v>498</v>
      </c>
      <c r="B14" s="1487" t="s">
        <v>688</v>
      </c>
      <c r="C14" s="1488">
        <v>2024</v>
      </c>
      <c r="D14" s="1487" t="s">
        <v>682</v>
      </c>
      <c r="E14" s="1498">
        <v>3</v>
      </c>
      <c r="F14" s="1487">
        <v>4</v>
      </c>
      <c r="G14" s="1487">
        <v>4</v>
      </c>
      <c r="H14" s="1487">
        <v>3</v>
      </c>
      <c r="I14" s="1487">
        <v>3</v>
      </c>
      <c r="J14" s="1487">
        <v>8</v>
      </c>
      <c r="K14" s="1487">
        <v>9</v>
      </c>
      <c r="L14" s="1487">
        <v>5</v>
      </c>
      <c r="M14" s="1487">
        <v>7</v>
      </c>
      <c r="N14" s="1487">
        <v>5</v>
      </c>
      <c r="O14" s="1491"/>
    </row>
    <row r="15" spans="1:15">
      <c r="A15" s="1487" t="s">
        <v>498</v>
      </c>
      <c r="B15" s="1487" t="s">
        <v>626</v>
      </c>
      <c r="C15" s="1488">
        <v>2024</v>
      </c>
      <c r="D15" s="1487" t="s">
        <v>682</v>
      </c>
      <c r="E15" s="1498">
        <v>3</v>
      </c>
      <c r="F15" s="1487">
        <v>4</v>
      </c>
      <c r="G15" s="1487">
        <v>4</v>
      </c>
      <c r="H15" s="1487">
        <v>3</v>
      </c>
      <c r="I15" s="1487">
        <v>4</v>
      </c>
      <c r="J15" s="1487">
        <v>6</v>
      </c>
      <c r="K15" s="1487">
        <v>8</v>
      </c>
      <c r="L15" s="1487">
        <v>7</v>
      </c>
      <c r="M15" s="1487">
        <v>5</v>
      </c>
      <c r="N15" s="1487">
        <v>4</v>
      </c>
      <c r="O15" s="1491"/>
    </row>
    <row r="16" spans="1:15">
      <c r="A16" s="1487" t="s">
        <v>498</v>
      </c>
      <c r="B16" s="1487" t="s">
        <v>627</v>
      </c>
      <c r="C16" s="1488">
        <v>2024</v>
      </c>
      <c r="D16" s="1487" t="s">
        <v>682</v>
      </c>
      <c r="E16" s="1498">
        <v>3</v>
      </c>
      <c r="F16" s="1487">
        <v>4</v>
      </c>
      <c r="G16" s="1487">
        <v>5</v>
      </c>
      <c r="H16" s="1487">
        <v>4</v>
      </c>
      <c r="I16" s="1487">
        <v>3</v>
      </c>
      <c r="J16" s="1487">
        <v>5</v>
      </c>
      <c r="K16" s="1487">
        <v>5</v>
      </c>
      <c r="L16" s="1487">
        <v>4</v>
      </c>
      <c r="M16" s="1487">
        <v>6</v>
      </c>
      <c r="N16" s="1487">
        <v>7</v>
      </c>
      <c r="O16" s="1491"/>
    </row>
    <row r="17" spans="1:15">
      <c r="A17" s="1487" t="s">
        <v>498</v>
      </c>
      <c r="B17" s="1487" t="s">
        <v>689</v>
      </c>
      <c r="C17" s="1488">
        <v>2024</v>
      </c>
      <c r="D17" s="1487" t="s">
        <v>682</v>
      </c>
      <c r="E17" s="1498">
        <v>3</v>
      </c>
      <c r="F17" s="1487">
        <v>5</v>
      </c>
      <c r="G17" s="1487">
        <v>4</v>
      </c>
      <c r="H17" s="1487">
        <v>2</v>
      </c>
      <c r="I17" s="1487">
        <v>4</v>
      </c>
      <c r="J17" s="1487">
        <v>7</v>
      </c>
      <c r="K17" s="1487">
        <v>9</v>
      </c>
      <c r="L17" s="1487">
        <v>8</v>
      </c>
      <c r="M17" s="1487">
        <v>5</v>
      </c>
      <c r="N17" s="1487">
        <v>4</v>
      </c>
      <c r="O17" s="1491"/>
    </row>
    <row r="18" spans="1:15">
      <c r="A18" s="1487" t="s">
        <v>498</v>
      </c>
      <c r="B18" s="1487" t="s">
        <v>630</v>
      </c>
      <c r="C18" s="1488">
        <v>2024</v>
      </c>
      <c r="D18" s="1487" t="s">
        <v>682</v>
      </c>
      <c r="E18" s="1498">
        <v>3</v>
      </c>
      <c r="F18" s="1487">
        <v>5</v>
      </c>
      <c r="G18" s="1487">
        <v>4</v>
      </c>
      <c r="H18" s="1487">
        <v>3</v>
      </c>
      <c r="I18" s="1487">
        <v>4</v>
      </c>
      <c r="J18" s="1487">
        <v>9</v>
      </c>
      <c r="K18" s="1487">
        <v>9</v>
      </c>
      <c r="L18" s="1487">
        <v>4</v>
      </c>
      <c r="M18" s="1487">
        <v>8</v>
      </c>
      <c r="N18" s="1487">
        <v>6</v>
      </c>
      <c r="O18" s="1491"/>
    </row>
    <row r="19" spans="1:15">
      <c r="A19" s="1487" t="s">
        <v>498</v>
      </c>
      <c r="B19" s="1487" t="s">
        <v>643</v>
      </c>
      <c r="C19" s="1488">
        <v>2024</v>
      </c>
      <c r="D19" s="1487" t="s">
        <v>682</v>
      </c>
      <c r="E19" s="1498">
        <v>3</v>
      </c>
      <c r="F19" s="1487">
        <v>3</v>
      </c>
      <c r="G19" s="1487">
        <v>4</v>
      </c>
      <c r="H19" s="1487">
        <v>4</v>
      </c>
      <c r="I19" s="1487">
        <v>3</v>
      </c>
      <c r="J19" s="1487">
        <v>6</v>
      </c>
      <c r="K19" s="1487">
        <v>7</v>
      </c>
      <c r="L19" s="1487">
        <v>4</v>
      </c>
      <c r="M19" s="1487">
        <v>6</v>
      </c>
      <c r="N19" s="1487">
        <v>6</v>
      </c>
      <c r="O19" s="1491"/>
    </row>
    <row r="20" spans="1:15">
      <c r="A20" s="1487"/>
      <c r="B20" s="1487"/>
      <c r="C20" s="1488"/>
      <c r="D20" s="1487"/>
      <c r="E20" s="1489"/>
      <c r="F20" s="1487"/>
      <c r="G20" s="1487"/>
      <c r="H20" s="1487"/>
      <c r="I20" s="1487"/>
      <c r="J20" s="1487"/>
      <c r="K20" s="1487"/>
      <c r="L20" s="1487"/>
      <c r="M20" s="1487"/>
      <c r="N20" s="1487"/>
      <c r="O20" s="1491"/>
    </row>
    <row r="21" spans="1:15">
      <c r="A21" s="1497" t="s">
        <v>499</v>
      </c>
      <c r="B21" s="1497" t="s">
        <v>500</v>
      </c>
      <c r="C21" s="1497" t="s">
        <v>118</v>
      </c>
      <c r="D21" s="1497" t="s">
        <v>670</v>
      </c>
      <c r="E21" s="1497" t="s">
        <v>671</v>
      </c>
      <c r="F21" s="1497" t="s">
        <v>672</v>
      </c>
      <c r="G21" s="1497" t="s">
        <v>673</v>
      </c>
      <c r="H21" s="1497" t="s">
        <v>674</v>
      </c>
      <c r="I21" s="1497" t="s">
        <v>675</v>
      </c>
      <c r="J21" s="1497" t="s">
        <v>676</v>
      </c>
      <c r="K21" s="1497" t="s">
        <v>677</v>
      </c>
      <c r="L21" s="1497" t="s">
        <v>678</v>
      </c>
      <c r="M21" s="1491"/>
      <c r="N21" s="1491"/>
      <c r="O21" s="1491"/>
    </row>
    <row r="22" spans="1:15">
      <c r="A22" s="1494" t="s">
        <v>692</v>
      </c>
      <c r="B22" s="1494" t="s">
        <v>693</v>
      </c>
      <c r="C22" s="1494">
        <v>2024</v>
      </c>
      <c r="D22" s="1494" t="s">
        <v>682</v>
      </c>
      <c r="E22" s="1494">
        <v>3</v>
      </c>
      <c r="F22" s="1494">
        <v>5</v>
      </c>
      <c r="G22" s="1494">
        <v>3</v>
      </c>
      <c r="H22" s="1494">
        <v>4</v>
      </c>
      <c r="I22" s="1494">
        <v>5</v>
      </c>
      <c r="J22" s="1494">
        <v>7</v>
      </c>
      <c r="K22" s="1494">
        <v>7</v>
      </c>
      <c r="L22" s="1494">
        <v>6</v>
      </c>
      <c r="M22" s="1493"/>
      <c r="N22" s="1491"/>
      <c r="O22" s="1491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3">
    <tabColor rgb="FF92D050"/>
  </sheetPr>
  <dimension ref="A1:E60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5" width="20.69140625" customWidth="1"/>
    <col min="6" max="15" width="14.69140625" customWidth="1"/>
  </cols>
  <sheetData>
    <row r="1" spans="1:5" ht="18">
      <c r="A1" s="1404" t="s">
        <v>694</v>
      </c>
      <c r="B1" s="1401"/>
      <c r="C1" s="1394"/>
      <c r="D1" s="1394"/>
      <c r="E1" s="1394"/>
    </row>
    <row r="2" spans="1:5">
      <c r="A2" s="1407" t="s">
        <v>449</v>
      </c>
      <c r="B2" s="1407" t="s">
        <v>460</v>
      </c>
      <c r="C2" s="1407" t="s">
        <v>118</v>
      </c>
      <c r="D2" s="1407" t="s">
        <v>433</v>
      </c>
      <c r="E2" s="1407" t="s">
        <v>448</v>
      </c>
    </row>
    <row r="3" spans="1:5">
      <c r="A3" s="1418" t="s">
        <v>461</v>
      </c>
      <c r="B3" s="1418" t="s">
        <v>404</v>
      </c>
      <c r="C3" s="1432">
        <v>2028</v>
      </c>
      <c r="D3" s="1432" t="s">
        <v>424</v>
      </c>
      <c r="E3" s="1421">
        <v>205.74266463135689</v>
      </c>
    </row>
    <row r="4" spans="1:5">
      <c r="A4" s="1418" t="s">
        <v>461</v>
      </c>
      <c r="B4" s="1418" t="s">
        <v>417</v>
      </c>
      <c r="C4" s="1432">
        <v>2028</v>
      </c>
      <c r="D4" s="1432" t="s">
        <v>424</v>
      </c>
      <c r="E4" s="1421">
        <v>212.36513018131393</v>
      </c>
    </row>
    <row r="5" spans="1:5">
      <c r="A5" s="1418" t="s">
        <v>461</v>
      </c>
      <c r="B5" s="1418" t="s">
        <v>406</v>
      </c>
      <c r="C5" s="1432">
        <v>2028</v>
      </c>
      <c r="D5" s="1432" t="s">
        <v>424</v>
      </c>
      <c r="E5" s="1421">
        <v>419.27842891594105</v>
      </c>
    </row>
    <row r="6" spans="1:5">
      <c r="A6" s="1418" t="s">
        <v>461</v>
      </c>
      <c r="B6" s="1418" t="s">
        <v>405</v>
      </c>
      <c r="C6" s="1432">
        <v>2028</v>
      </c>
      <c r="D6" s="1432" t="s">
        <v>424</v>
      </c>
      <c r="E6" s="1421">
        <v>222.88582575849819</v>
      </c>
    </row>
    <row r="7" spans="1:5">
      <c r="A7" s="1418" t="s">
        <v>461</v>
      </c>
      <c r="B7" s="1418" t="s">
        <v>404</v>
      </c>
      <c r="C7" s="1432">
        <v>2027</v>
      </c>
      <c r="D7" s="1432" t="s">
        <v>411</v>
      </c>
      <c r="E7" s="1421">
        <v>196.15004840595668</v>
      </c>
    </row>
    <row r="8" spans="1:5">
      <c r="A8" s="1418" t="s">
        <v>461</v>
      </c>
      <c r="B8" s="1418" t="s">
        <v>417</v>
      </c>
      <c r="C8" s="1432">
        <v>2027</v>
      </c>
      <c r="D8" s="1432" t="s">
        <v>411</v>
      </c>
      <c r="E8" s="1421">
        <v>203.89622675705039</v>
      </c>
    </row>
    <row r="9" spans="1:5">
      <c r="A9" s="1418" t="s">
        <v>461</v>
      </c>
      <c r="B9" s="1418" t="s">
        <v>406</v>
      </c>
      <c r="C9" s="1432">
        <v>2027</v>
      </c>
      <c r="D9" s="1432" t="s">
        <v>411</v>
      </c>
      <c r="E9" s="1421">
        <v>402.90285707514909</v>
      </c>
    </row>
    <row r="10" spans="1:5">
      <c r="A10" s="1418" t="s">
        <v>461</v>
      </c>
      <c r="B10" s="1418" t="s">
        <v>405</v>
      </c>
      <c r="C10" s="1432">
        <v>2027</v>
      </c>
      <c r="D10" s="1432" t="s">
        <v>411</v>
      </c>
      <c r="E10" s="1421">
        <v>214.38741406272473</v>
      </c>
    </row>
    <row r="11" spans="1:5">
      <c r="A11" s="1418" t="s">
        <v>461</v>
      </c>
      <c r="B11" s="1418" t="s">
        <v>404</v>
      </c>
      <c r="C11" s="1432">
        <v>2027</v>
      </c>
      <c r="D11" s="1432" t="s">
        <v>429</v>
      </c>
      <c r="E11" s="1421">
        <v>195.19723620985548</v>
      </c>
    </row>
    <row r="12" spans="1:5">
      <c r="A12" s="1418" t="s">
        <v>461</v>
      </c>
      <c r="B12" s="1418" t="s">
        <v>417</v>
      </c>
      <c r="C12" s="1432">
        <v>2027</v>
      </c>
      <c r="D12" s="1432" t="s">
        <v>429</v>
      </c>
      <c r="E12" s="1421">
        <v>203.14373553220122</v>
      </c>
    </row>
    <row r="13" spans="1:5">
      <c r="A13" s="1418" t="s">
        <v>461</v>
      </c>
      <c r="B13" s="1418" t="s">
        <v>406</v>
      </c>
      <c r="C13" s="1432">
        <v>2027</v>
      </c>
      <c r="D13" s="1432" t="s">
        <v>429</v>
      </c>
      <c r="E13" s="1421">
        <v>400.66467964499736</v>
      </c>
    </row>
    <row r="14" spans="1:5">
      <c r="A14" s="1418" t="s">
        <v>461</v>
      </c>
      <c r="B14" s="1418" t="s">
        <v>405</v>
      </c>
      <c r="C14" s="1432">
        <v>2027</v>
      </c>
      <c r="D14" s="1432" t="s">
        <v>429</v>
      </c>
      <c r="E14" s="1421">
        <v>213.64962480965386</v>
      </c>
    </row>
    <row r="15" spans="1:5">
      <c r="A15" s="1418" t="s">
        <v>461</v>
      </c>
      <c r="B15" s="1418" t="s">
        <v>404</v>
      </c>
      <c r="C15" s="1432">
        <v>2027</v>
      </c>
      <c r="D15" s="1432" t="s">
        <v>432</v>
      </c>
      <c r="E15" s="1421">
        <v>198.5963990488282</v>
      </c>
    </row>
    <row r="16" spans="1:5">
      <c r="A16" s="1418" t="s">
        <v>461</v>
      </c>
      <c r="B16" s="1418" t="s">
        <v>417</v>
      </c>
      <c r="C16" s="1432">
        <v>2027</v>
      </c>
      <c r="D16" s="1432" t="s">
        <v>432</v>
      </c>
      <c r="E16" s="1421">
        <v>206.07619815580756</v>
      </c>
    </row>
    <row r="17" spans="1:5">
      <c r="A17" s="1418" t="s">
        <v>461</v>
      </c>
      <c r="B17" s="1418" t="s">
        <v>406</v>
      </c>
      <c r="C17" s="1432">
        <v>2027</v>
      </c>
      <c r="D17" s="1432" t="s">
        <v>432</v>
      </c>
      <c r="E17" s="1421">
        <v>406.93978109909517</v>
      </c>
    </row>
    <row r="18" spans="1:5">
      <c r="A18" s="1418" t="s">
        <v>461</v>
      </c>
      <c r="B18" s="1418" t="s">
        <v>405</v>
      </c>
      <c r="C18" s="1432">
        <v>2027</v>
      </c>
      <c r="D18" s="1432" t="s">
        <v>432</v>
      </c>
      <c r="E18" s="1421">
        <v>216.57892515789908</v>
      </c>
    </row>
    <row r="19" spans="1:5">
      <c r="A19" s="1418" t="s">
        <v>461</v>
      </c>
      <c r="B19" s="1418" t="s">
        <v>404</v>
      </c>
      <c r="C19" s="1432">
        <v>2026</v>
      </c>
      <c r="D19" s="1432" t="s">
        <v>424</v>
      </c>
      <c r="E19" s="1421">
        <v>178.69862894968867</v>
      </c>
    </row>
    <row r="20" spans="1:5">
      <c r="A20" s="1418" t="s">
        <v>461</v>
      </c>
      <c r="B20" s="1418" t="s">
        <v>404</v>
      </c>
      <c r="C20" s="1432">
        <v>2026</v>
      </c>
      <c r="D20" s="1432" t="s">
        <v>424</v>
      </c>
      <c r="E20" s="1421">
        <v>193.58617699217621</v>
      </c>
    </row>
    <row r="21" spans="1:5">
      <c r="A21" s="1418" t="s">
        <v>461</v>
      </c>
      <c r="B21" s="1418" t="s">
        <v>417</v>
      </c>
      <c r="C21" s="1432">
        <v>2026</v>
      </c>
      <c r="D21" s="1432" t="s">
        <v>424</v>
      </c>
      <c r="E21" s="1421">
        <v>188.23304262221154</v>
      </c>
    </row>
    <row r="22" spans="1:5">
      <c r="A22" s="1418" t="s">
        <v>461</v>
      </c>
      <c r="B22" s="1418" t="s">
        <v>417</v>
      </c>
      <c r="C22" s="1432">
        <v>2026</v>
      </c>
      <c r="D22" s="1432" t="s">
        <v>424</v>
      </c>
      <c r="E22" s="1421">
        <v>201.62118831400136</v>
      </c>
    </row>
    <row r="23" spans="1:5">
      <c r="A23" s="1418" t="s">
        <v>461</v>
      </c>
      <c r="B23" s="1418" t="s">
        <v>406</v>
      </c>
      <c r="C23" s="1432">
        <v>2026</v>
      </c>
      <c r="D23" s="1432" t="s">
        <v>424</v>
      </c>
      <c r="E23" s="1421">
        <v>374.87723920702905</v>
      </c>
    </row>
    <row r="24" spans="1:5">
      <c r="A24" s="1418" t="s">
        <v>461</v>
      </c>
      <c r="B24" s="1418" t="s">
        <v>406</v>
      </c>
      <c r="C24" s="1432">
        <v>2026</v>
      </c>
      <c r="D24" s="1432" t="s">
        <v>424</v>
      </c>
      <c r="E24" s="1421">
        <v>398.60541599887927</v>
      </c>
    </row>
    <row r="25" spans="1:5">
      <c r="A25" s="1418" t="s">
        <v>461</v>
      </c>
      <c r="B25" s="1418" t="s">
        <v>405</v>
      </c>
      <c r="C25" s="1432">
        <v>2026</v>
      </c>
      <c r="D25" s="1432" t="s">
        <v>424</v>
      </c>
      <c r="E25" s="1421">
        <v>198.61964179798247</v>
      </c>
    </row>
    <row r="26" spans="1:5">
      <c r="A26" s="1418" t="s">
        <v>461</v>
      </c>
      <c r="B26" s="1418" t="s">
        <v>405</v>
      </c>
      <c r="C26" s="1432">
        <v>2026</v>
      </c>
      <c r="D26" s="1432" t="s">
        <v>424</v>
      </c>
      <c r="E26" s="1421">
        <v>212.10220121410532</v>
      </c>
    </row>
    <row r="27" spans="1:5">
      <c r="A27" s="1418" t="s">
        <v>461</v>
      </c>
      <c r="B27" s="1418" t="s">
        <v>404</v>
      </c>
      <c r="C27" s="1432">
        <v>2026</v>
      </c>
      <c r="D27" s="1432" t="s">
        <v>411</v>
      </c>
      <c r="E27" s="1421">
        <v>180.68322542851067</v>
      </c>
    </row>
    <row r="28" spans="1:5">
      <c r="A28" s="1418" t="s">
        <v>461</v>
      </c>
      <c r="B28" s="1418" t="s">
        <v>417</v>
      </c>
      <c r="C28" s="1432">
        <v>2026</v>
      </c>
      <c r="D28" s="1432" t="s">
        <v>411</v>
      </c>
      <c r="E28" s="1421">
        <v>190.06141340804226</v>
      </c>
    </row>
    <row r="29" spans="1:5">
      <c r="A29" s="1418" t="s">
        <v>461</v>
      </c>
      <c r="B29" s="1418" t="s">
        <v>406</v>
      </c>
      <c r="C29" s="1432">
        <v>2026</v>
      </c>
      <c r="D29" s="1432" t="s">
        <v>411</v>
      </c>
      <c r="E29" s="1421">
        <v>377.73934921827083</v>
      </c>
    </row>
    <row r="30" spans="1:5">
      <c r="A30" s="1418" t="s">
        <v>461</v>
      </c>
      <c r="B30" s="1418" t="s">
        <v>405</v>
      </c>
      <c r="C30" s="1432">
        <v>2026</v>
      </c>
      <c r="D30" s="1432" t="s">
        <v>411</v>
      </c>
      <c r="E30" s="1421">
        <v>200.469275959453</v>
      </c>
    </row>
    <row r="31" spans="1:5">
      <c r="A31" s="1418" t="s">
        <v>461</v>
      </c>
      <c r="B31" s="1418" t="s">
        <v>404</v>
      </c>
      <c r="C31" s="1432">
        <v>2026</v>
      </c>
      <c r="D31" s="1432" t="s">
        <v>429</v>
      </c>
      <c r="E31" s="1421">
        <v>184.92108090521802</v>
      </c>
    </row>
    <row r="32" spans="1:5">
      <c r="A32" s="1418" t="s">
        <v>461</v>
      </c>
      <c r="B32" s="1418" t="s">
        <v>417</v>
      </c>
      <c r="C32" s="1432">
        <v>2026</v>
      </c>
      <c r="D32" s="1432" t="s">
        <v>429</v>
      </c>
      <c r="E32" s="1421">
        <v>193.92086637355737</v>
      </c>
    </row>
    <row r="33" spans="1:5">
      <c r="A33" s="1418" t="s">
        <v>461</v>
      </c>
      <c r="B33" s="1418" t="s">
        <v>406</v>
      </c>
      <c r="C33" s="1432">
        <v>2026</v>
      </c>
      <c r="D33" s="1432" t="s">
        <v>429</v>
      </c>
      <c r="E33" s="1421">
        <v>384.15993956511602</v>
      </c>
    </row>
    <row r="34" spans="1:5">
      <c r="A34" s="1418" t="s">
        <v>461</v>
      </c>
      <c r="B34" s="1418" t="s">
        <v>405</v>
      </c>
      <c r="C34" s="1432">
        <v>2026</v>
      </c>
      <c r="D34" s="1432" t="s">
        <v>429</v>
      </c>
      <c r="E34" s="1421">
        <v>204.36522832038162</v>
      </c>
    </row>
    <row r="35" spans="1:5">
      <c r="A35" s="1418" t="s">
        <v>461</v>
      </c>
      <c r="B35" s="1418" t="s">
        <v>404</v>
      </c>
      <c r="C35" s="1432">
        <v>2026</v>
      </c>
      <c r="D35" s="1432" t="s">
        <v>432</v>
      </c>
      <c r="E35" s="1421">
        <v>189.99422780711765</v>
      </c>
    </row>
    <row r="36" spans="1:5">
      <c r="A36" s="1418" t="s">
        <v>461</v>
      </c>
      <c r="B36" s="1418" t="s">
        <v>417</v>
      </c>
      <c r="C36" s="1432">
        <v>2026</v>
      </c>
      <c r="D36" s="1432" t="s">
        <v>432</v>
      </c>
      <c r="E36" s="1421">
        <v>198.43774351962981</v>
      </c>
    </row>
    <row r="37" spans="1:5">
      <c r="A37" s="1418" t="s">
        <v>461</v>
      </c>
      <c r="B37" s="1418" t="s">
        <v>406</v>
      </c>
      <c r="C37" s="1432">
        <v>2026</v>
      </c>
      <c r="D37" s="1432" t="s">
        <v>432</v>
      </c>
      <c r="E37" s="1421">
        <v>392.55819028978925</v>
      </c>
    </row>
    <row r="38" spans="1:5">
      <c r="A38" s="1418" t="s">
        <v>461</v>
      </c>
      <c r="B38" s="1418" t="s">
        <v>405</v>
      </c>
      <c r="C38" s="1432">
        <v>2026</v>
      </c>
      <c r="D38" s="1432" t="s">
        <v>432</v>
      </c>
      <c r="E38" s="1421">
        <v>208.90526818093605</v>
      </c>
    </row>
    <row r="40" spans="1:5">
      <c r="A40" s="1434" t="s">
        <v>464</v>
      </c>
    </row>
    <row r="59" spans="1:5">
      <c r="A59" s="1420"/>
      <c r="B59" s="1420"/>
      <c r="C59" s="1420"/>
      <c r="D59" s="1420"/>
      <c r="E59" s="1420"/>
    </row>
    <row r="60" spans="1:5">
      <c r="B60" s="1420"/>
      <c r="C60" s="1420"/>
      <c r="D60" s="1420"/>
      <c r="E60" s="1420"/>
    </row>
  </sheetData>
  <phoneticPr fontId="44" type="noConversion"/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22EF-43F2-4FED-B2AF-1627348F9EC7}">
  <sheetPr>
    <tabColor rgb="FF92D050"/>
  </sheetPr>
  <dimension ref="A1:D751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9.69140625" bestFit="1" customWidth="1"/>
    <col min="2" max="2" width="19.53515625" bestFit="1" customWidth="1"/>
    <col min="3" max="4" width="14.69140625" customWidth="1"/>
    <col min="5" max="6" width="16.69140625" customWidth="1"/>
    <col min="7" max="7" width="17.15234375" customWidth="1"/>
    <col min="8" max="8" width="17.3046875" customWidth="1"/>
  </cols>
  <sheetData>
    <row r="1" spans="1:4" ht="18">
      <c r="A1" s="1404" t="s">
        <v>441</v>
      </c>
      <c r="B1" s="1394"/>
      <c r="C1" s="1394"/>
      <c r="D1" s="1394"/>
    </row>
    <row r="2" spans="1:4">
      <c r="A2" s="1408" t="s">
        <v>408</v>
      </c>
      <c r="B2" s="1408" t="s">
        <v>460</v>
      </c>
      <c r="C2" s="1408" t="s">
        <v>118</v>
      </c>
      <c r="D2" s="1499" t="s">
        <v>445</v>
      </c>
    </row>
    <row r="3" spans="1:4">
      <c r="A3" s="1426" t="s">
        <v>340</v>
      </c>
      <c r="B3" s="1426" t="s">
        <v>404</v>
      </c>
      <c r="C3" s="1426" t="s">
        <v>712</v>
      </c>
      <c r="D3" s="1427">
        <v>66300</v>
      </c>
    </row>
    <row r="4" spans="1:4">
      <c r="A4" s="1426" t="s">
        <v>340</v>
      </c>
      <c r="B4" s="1426" t="s">
        <v>404</v>
      </c>
      <c r="C4" s="1426" t="s">
        <v>711</v>
      </c>
      <c r="D4" s="1427">
        <v>61700</v>
      </c>
    </row>
    <row r="5" spans="1:4">
      <c r="A5" s="1426" t="s">
        <v>340</v>
      </c>
      <c r="B5" s="1426" t="s">
        <v>404</v>
      </c>
      <c r="C5" s="1426" t="s">
        <v>710</v>
      </c>
      <c r="D5" s="1427">
        <v>60900</v>
      </c>
    </row>
    <row r="6" spans="1:4">
      <c r="A6" s="1426" t="s">
        <v>340</v>
      </c>
      <c r="B6" s="1426" t="s">
        <v>404</v>
      </c>
      <c r="C6" s="1426" t="s">
        <v>709</v>
      </c>
      <c r="D6" s="1427">
        <v>71100</v>
      </c>
    </row>
    <row r="7" spans="1:4">
      <c r="A7" s="1426" t="s">
        <v>340</v>
      </c>
      <c r="B7" s="1426" t="s">
        <v>404</v>
      </c>
      <c r="C7" s="1426" t="s">
        <v>708</v>
      </c>
      <c r="D7" s="1427">
        <v>57600</v>
      </c>
    </row>
    <row r="8" spans="1:4">
      <c r="A8" s="1426" t="s">
        <v>340</v>
      </c>
      <c r="B8" s="1426" t="s">
        <v>404</v>
      </c>
      <c r="C8" s="1426" t="s">
        <v>707</v>
      </c>
      <c r="D8" s="1427">
        <v>58700</v>
      </c>
    </row>
    <row r="9" spans="1:4">
      <c r="A9" s="1426" t="s">
        <v>340</v>
      </c>
      <c r="B9" s="1426" t="s">
        <v>404</v>
      </c>
      <c r="C9" s="1426" t="s">
        <v>706</v>
      </c>
      <c r="D9" s="1427">
        <v>49200</v>
      </c>
    </row>
    <row r="10" spans="1:4">
      <c r="A10" s="1426" t="s">
        <v>340</v>
      </c>
      <c r="B10" s="1426" t="s">
        <v>404</v>
      </c>
      <c r="C10" s="1426" t="s">
        <v>705</v>
      </c>
      <c r="D10" s="1427">
        <v>55300</v>
      </c>
    </row>
    <row r="11" spans="1:4">
      <c r="A11" s="1426" t="s">
        <v>340</v>
      </c>
      <c r="B11" s="1426" t="s">
        <v>404</v>
      </c>
      <c r="C11" s="1426" t="s">
        <v>704</v>
      </c>
      <c r="D11" s="1427">
        <v>46400</v>
      </c>
    </row>
    <row r="12" spans="1:4">
      <c r="A12" s="1426" t="s">
        <v>340</v>
      </c>
      <c r="B12" s="1426" t="s">
        <v>404</v>
      </c>
      <c r="C12" s="1426" t="s">
        <v>703</v>
      </c>
      <c r="D12" s="1427">
        <v>38800</v>
      </c>
    </row>
    <row r="13" spans="1:4">
      <c r="A13" s="1426" t="s">
        <v>340</v>
      </c>
      <c r="B13" s="1426" t="s">
        <v>404</v>
      </c>
      <c r="C13" s="1426" t="s">
        <v>702</v>
      </c>
      <c r="D13" s="1427">
        <v>37600</v>
      </c>
    </row>
    <row r="14" spans="1:4">
      <c r="A14" s="1426" t="s">
        <v>340</v>
      </c>
      <c r="B14" s="1426" t="s">
        <v>407</v>
      </c>
      <c r="C14" s="1426" t="s">
        <v>712</v>
      </c>
      <c r="D14" s="1427">
        <v>137600</v>
      </c>
    </row>
    <row r="15" spans="1:4">
      <c r="A15" s="1426" t="s">
        <v>340</v>
      </c>
      <c r="B15" s="1426" t="s">
        <v>407</v>
      </c>
      <c r="C15" s="1426" t="s">
        <v>711</v>
      </c>
      <c r="D15" s="1427">
        <v>129300</v>
      </c>
    </row>
    <row r="16" spans="1:4">
      <c r="A16" s="1426" t="s">
        <v>340</v>
      </c>
      <c r="B16" s="1426" t="s">
        <v>407</v>
      </c>
      <c r="C16" s="1426" t="s">
        <v>710</v>
      </c>
      <c r="D16" s="1427">
        <v>118100</v>
      </c>
    </row>
    <row r="17" spans="1:4">
      <c r="A17" s="1426" t="s">
        <v>340</v>
      </c>
      <c r="B17" s="1426" t="s">
        <v>407</v>
      </c>
      <c r="C17" s="1426" t="s">
        <v>709</v>
      </c>
      <c r="D17" s="1427">
        <v>106900</v>
      </c>
    </row>
    <row r="18" spans="1:4">
      <c r="A18" s="1426" t="s">
        <v>340</v>
      </c>
      <c r="B18" s="1426" t="s">
        <v>407</v>
      </c>
      <c r="C18" s="1426" t="s">
        <v>708</v>
      </c>
      <c r="D18" s="1427">
        <v>97700</v>
      </c>
    </row>
    <row r="19" spans="1:4">
      <c r="A19" s="1426" t="s">
        <v>340</v>
      </c>
      <c r="B19" s="1426" t="s">
        <v>407</v>
      </c>
      <c r="C19" s="1426" t="s">
        <v>707</v>
      </c>
      <c r="D19" s="1427">
        <v>82600</v>
      </c>
    </row>
    <row r="20" spans="1:4">
      <c r="A20" s="1426" t="s">
        <v>340</v>
      </c>
      <c r="B20" s="1426" t="s">
        <v>407</v>
      </c>
      <c r="C20" s="1426" t="s">
        <v>706</v>
      </c>
      <c r="D20" s="1427">
        <v>74600</v>
      </c>
    </row>
    <row r="21" spans="1:4">
      <c r="A21" s="1426" t="s">
        <v>340</v>
      </c>
      <c r="B21" s="1426" t="s">
        <v>407</v>
      </c>
      <c r="C21" s="1426" t="s">
        <v>705</v>
      </c>
      <c r="D21" s="1427">
        <v>70700</v>
      </c>
    </row>
    <row r="22" spans="1:4">
      <c r="A22" s="1426" t="s">
        <v>340</v>
      </c>
      <c r="B22" s="1426" t="s">
        <v>407</v>
      </c>
      <c r="C22" s="1426" t="s">
        <v>704</v>
      </c>
      <c r="D22" s="1427">
        <v>85500</v>
      </c>
    </row>
    <row r="23" spans="1:4">
      <c r="A23" s="1426" t="s">
        <v>340</v>
      </c>
      <c r="B23" s="1426" t="s">
        <v>407</v>
      </c>
      <c r="C23" s="1426" t="s">
        <v>703</v>
      </c>
      <c r="D23" s="1427">
        <v>87500</v>
      </c>
    </row>
    <row r="24" spans="1:4">
      <c r="A24" s="1426" t="s">
        <v>340</v>
      </c>
      <c r="B24" s="1426" t="s">
        <v>407</v>
      </c>
      <c r="C24" s="1426" t="s">
        <v>702</v>
      </c>
      <c r="D24" s="1427">
        <v>79100</v>
      </c>
    </row>
    <row r="25" spans="1:4">
      <c r="A25" s="1426" t="s">
        <v>340</v>
      </c>
      <c r="B25" s="1426" t="s">
        <v>406</v>
      </c>
      <c r="C25" s="1426" t="s">
        <v>712</v>
      </c>
      <c r="D25" s="1427">
        <v>43600</v>
      </c>
    </row>
    <row r="26" spans="1:4">
      <c r="A26" s="1426" t="s">
        <v>340</v>
      </c>
      <c r="B26" s="1426" t="s">
        <v>406</v>
      </c>
      <c r="C26" s="1426" t="s">
        <v>711</v>
      </c>
      <c r="D26" s="1427">
        <v>40500</v>
      </c>
    </row>
    <row r="27" spans="1:4">
      <c r="A27" s="1426" t="s">
        <v>340</v>
      </c>
      <c r="B27" s="1426" t="s">
        <v>406</v>
      </c>
      <c r="C27" s="1426" t="s">
        <v>710</v>
      </c>
      <c r="D27" s="1427">
        <v>44800</v>
      </c>
    </row>
    <row r="28" spans="1:4">
      <c r="A28" s="1426" t="s">
        <v>340</v>
      </c>
      <c r="B28" s="1426" t="s">
        <v>406</v>
      </c>
      <c r="C28" s="1426" t="s">
        <v>709</v>
      </c>
      <c r="D28" s="1427">
        <v>51500</v>
      </c>
    </row>
    <row r="29" spans="1:4">
      <c r="A29" s="1426" t="s">
        <v>340</v>
      </c>
      <c r="B29" s="1426" t="s">
        <v>406</v>
      </c>
      <c r="C29" s="1426" t="s">
        <v>708</v>
      </c>
      <c r="D29" s="1427">
        <v>34200</v>
      </c>
    </row>
    <row r="30" spans="1:4">
      <c r="A30" s="1426" t="s">
        <v>340</v>
      </c>
      <c r="B30" s="1426" t="s">
        <v>406</v>
      </c>
      <c r="C30" s="1426" t="s">
        <v>707</v>
      </c>
      <c r="D30" s="1427">
        <v>33800</v>
      </c>
    </row>
    <row r="31" spans="1:4">
      <c r="A31" s="1426" t="s">
        <v>340</v>
      </c>
      <c r="B31" s="1426" t="s">
        <v>406</v>
      </c>
      <c r="C31" s="1426" t="s">
        <v>706</v>
      </c>
      <c r="D31" s="1427">
        <v>28900</v>
      </c>
    </row>
    <row r="32" spans="1:4">
      <c r="A32" s="1426" t="s">
        <v>340</v>
      </c>
      <c r="B32" s="1426" t="s">
        <v>406</v>
      </c>
      <c r="C32" s="1426" t="s">
        <v>705</v>
      </c>
      <c r="D32" s="1427">
        <v>24100</v>
      </c>
    </row>
    <row r="33" spans="1:4">
      <c r="A33" s="1426" t="s">
        <v>340</v>
      </c>
      <c r="B33" s="1426" t="s">
        <v>406</v>
      </c>
      <c r="C33" s="1426" t="s">
        <v>704</v>
      </c>
      <c r="D33" s="1427">
        <v>19100</v>
      </c>
    </row>
    <row r="34" spans="1:4">
      <c r="A34" s="1426" t="s">
        <v>340</v>
      </c>
      <c r="B34" s="1426" t="s">
        <v>406</v>
      </c>
      <c r="C34" s="1426" t="s">
        <v>703</v>
      </c>
      <c r="D34" s="1427">
        <v>15800</v>
      </c>
    </row>
    <row r="35" spans="1:4">
      <c r="A35" s="1426" t="s">
        <v>340</v>
      </c>
      <c r="B35" s="1426" t="s">
        <v>406</v>
      </c>
      <c r="C35" s="1426" t="s">
        <v>702</v>
      </c>
      <c r="D35" s="1431">
        <v>0</v>
      </c>
    </row>
    <row r="36" spans="1:4">
      <c r="A36" s="1426" t="s">
        <v>340</v>
      </c>
      <c r="B36" s="1426" t="s">
        <v>405</v>
      </c>
      <c r="C36" s="1426" t="s">
        <v>712</v>
      </c>
      <c r="D36" s="1427">
        <v>27900</v>
      </c>
    </row>
    <row r="37" spans="1:4">
      <c r="A37" s="1426" t="s">
        <v>340</v>
      </c>
      <c r="B37" s="1426" t="s">
        <v>405</v>
      </c>
      <c r="C37" s="1426" t="s">
        <v>711</v>
      </c>
      <c r="D37" s="1427">
        <v>26100</v>
      </c>
    </row>
    <row r="38" spans="1:4">
      <c r="A38" s="1426" t="s">
        <v>340</v>
      </c>
      <c r="B38" s="1426" t="s">
        <v>405</v>
      </c>
      <c r="C38" s="1426" t="s">
        <v>710</v>
      </c>
      <c r="D38" s="1427">
        <v>25400</v>
      </c>
    </row>
    <row r="39" spans="1:4">
      <c r="A39" s="1426" t="s">
        <v>340</v>
      </c>
      <c r="B39" s="1426" t="s">
        <v>405</v>
      </c>
      <c r="C39" s="1426" t="s">
        <v>709</v>
      </c>
      <c r="D39" s="1427">
        <v>31700</v>
      </c>
    </row>
    <row r="40" spans="1:4">
      <c r="A40" s="1426" t="s">
        <v>340</v>
      </c>
      <c r="B40" s="1426" t="s">
        <v>405</v>
      </c>
      <c r="C40" s="1426" t="s">
        <v>708</v>
      </c>
      <c r="D40" s="1427">
        <v>29000</v>
      </c>
    </row>
    <row r="41" spans="1:4">
      <c r="A41" s="1426" t="s">
        <v>340</v>
      </c>
      <c r="B41" s="1426" t="s">
        <v>405</v>
      </c>
      <c r="C41" s="1426" t="s">
        <v>707</v>
      </c>
      <c r="D41" s="1427">
        <v>22300</v>
      </c>
    </row>
    <row r="42" spans="1:4">
      <c r="A42" s="1426" t="s">
        <v>340</v>
      </c>
      <c r="B42" s="1426" t="s">
        <v>405</v>
      </c>
      <c r="C42" s="1426" t="s">
        <v>706</v>
      </c>
      <c r="D42" s="1427">
        <v>21000</v>
      </c>
    </row>
    <row r="43" spans="1:4">
      <c r="A43" s="1426" t="s">
        <v>340</v>
      </c>
      <c r="B43" s="1426" t="s">
        <v>405</v>
      </c>
      <c r="C43" s="1426" t="s">
        <v>705</v>
      </c>
      <c r="D43" s="1427">
        <v>23400</v>
      </c>
    </row>
    <row r="44" spans="1:4">
      <c r="A44" s="1426" t="s">
        <v>340</v>
      </c>
      <c r="B44" s="1426" t="s">
        <v>405</v>
      </c>
      <c r="C44" s="1426" t="s">
        <v>704</v>
      </c>
      <c r="D44" s="1427">
        <v>29000</v>
      </c>
    </row>
    <row r="45" spans="1:4">
      <c r="A45" s="1426" t="s">
        <v>340</v>
      </c>
      <c r="B45" s="1426" t="s">
        <v>405</v>
      </c>
      <c r="C45" s="1426" t="s">
        <v>703</v>
      </c>
      <c r="D45" s="1427">
        <v>28600</v>
      </c>
    </row>
    <row r="46" spans="1:4">
      <c r="A46" s="1426" t="s">
        <v>340</v>
      </c>
      <c r="B46" s="1426" t="s">
        <v>405</v>
      </c>
      <c r="C46" s="1426" t="s">
        <v>702</v>
      </c>
      <c r="D46" s="1427">
        <v>29600</v>
      </c>
    </row>
    <row r="47" spans="1:4">
      <c r="A47" s="1426" t="s">
        <v>394</v>
      </c>
      <c r="B47" s="1426" t="s">
        <v>404</v>
      </c>
      <c r="C47" s="1426" t="s">
        <v>712</v>
      </c>
      <c r="D47" s="1427">
        <v>3000</v>
      </c>
    </row>
    <row r="48" spans="1:4">
      <c r="A48" s="1426" t="s">
        <v>394</v>
      </c>
      <c r="B48" s="1426" t="s">
        <v>404</v>
      </c>
      <c r="C48" s="1426" t="s">
        <v>711</v>
      </c>
      <c r="D48" s="1427">
        <v>2800</v>
      </c>
    </row>
    <row r="49" spans="1:4">
      <c r="A49" s="1426" t="s">
        <v>394</v>
      </c>
      <c r="B49" s="1426" t="s">
        <v>404</v>
      </c>
      <c r="C49" s="1426" t="s">
        <v>710</v>
      </c>
      <c r="D49" s="1427">
        <v>3400</v>
      </c>
    </row>
    <row r="50" spans="1:4">
      <c r="A50" s="1426" t="s">
        <v>394</v>
      </c>
      <c r="B50" s="1426" t="s">
        <v>404</v>
      </c>
      <c r="C50" s="1426" t="s">
        <v>709</v>
      </c>
      <c r="D50" s="1427">
        <v>3200</v>
      </c>
    </row>
    <row r="51" spans="1:4">
      <c r="A51" s="1426" t="s">
        <v>394</v>
      </c>
      <c r="B51" s="1426" t="s">
        <v>404</v>
      </c>
      <c r="C51" s="1426" t="s">
        <v>708</v>
      </c>
      <c r="D51" s="1427">
        <v>2800</v>
      </c>
    </row>
    <row r="52" spans="1:4">
      <c r="A52" s="1426" t="s">
        <v>394</v>
      </c>
      <c r="B52" s="1426" t="s">
        <v>404</v>
      </c>
      <c r="C52" s="1426" t="s">
        <v>707</v>
      </c>
      <c r="D52" s="1427">
        <v>3200</v>
      </c>
    </row>
    <row r="53" spans="1:4">
      <c r="A53" s="1426" t="s">
        <v>394</v>
      </c>
      <c r="B53" s="1426" t="s">
        <v>404</v>
      </c>
      <c r="C53" s="1426" t="s">
        <v>706</v>
      </c>
      <c r="D53" s="1427">
        <v>2800</v>
      </c>
    </row>
    <row r="54" spans="1:4">
      <c r="A54" s="1426" t="s">
        <v>394</v>
      </c>
      <c r="B54" s="1426" t="s">
        <v>404</v>
      </c>
      <c r="C54" s="1426" t="s">
        <v>705</v>
      </c>
      <c r="D54" s="1427">
        <v>2700</v>
      </c>
    </row>
    <row r="55" spans="1:4">
      <c r="A55" s="1426" t="s">
        <v>394</v>
      </c>
      <c r="B55" s="1426" t="s">
        <v>404</v>
      </c>
      <c r="C55" s="1426" t="s">
        <v>704</v>
      </c>
      <c r="D55" s="1427">
        <v>3000</v>
      </c>
    </row>
    <row r="56" spans="1:4">
      <c r="A56" s="1426" t="s">
        <v>394</v>
      </c>
      <c r="B56" s="1426" t="s">
        <v>404</v>
      </c>
      <c r="C56" s="1426" t="s">
        <v>703</v>
      </c>
      <c r="D56" s="1427">
        <v>2300</v>
      </c>
    </row>
    <row r="57" spans="1:4">
      <c r="A57" s="1426" t="s">
        <v>394</v>
      </c>
      <c r="B57" s="1426" t="s">
        <v>404</v>
      </c>
      <c r="C57" s="1426" t="s">
        <v>702</v>
      </c>
      <c r="D57" s="1427">
        <v>2400</v>
      </c>
    </row>
    <row r="58" spans="1:4">
      <c r="A58" s="1426" t="s">
        <v>394</v>
      </c>
      <c r="B58" s="1426" t="s">
        <v>407</v>
      </c>
      <c r="C58" s="1426" t="s">
        <v>712</v>
      </c>
      <c r="D58" s="1427">
        <v>2700</v>
      </c>
    </row>
    <row r="59" spans="1:4">
      <c r="A59" s="1426" t="s">
        <v>394</v>
      </c>
      <c r="B59" s="1426" t="s">
        <v>407</v>
      </c>
      <c r="C59" s="1426" t="s">
        <v>711</v>
      </c>
      <c r="D59" s="1427">
        <v>3400</v>
      </c>
    </row>
    <row r="60" spans="1:4">
      <c r="A60" s="1426" t="s">
        <v>394</v>
      </c>
      <c r="B60" s="1426" t="s">
        <v>407</v>
      </c>
      <c r="C60" s="1426" t="s">
        <v>710</v>
      </c>
      <c r="D60" s="1427">
        <v>4200</v>
      </c>
    </row>
    <row r="61" spans="1:4">
      <c r="A61" s="1426" t="s">
        <v>394</v>
      </c>
      <c r="B61" s="1426" t="s">
        <v>407</v>
      </c>
      <c r="C61" s="1426" t="s">
        <v>709</v>
      </c>
      <c r="D61" s="1427">
        <v>4900</v>
      </c>
    </row>
    <row r="62" spans="1:4">
      <c r="A62" s="1426" t="s">
        <v>394</v>
      </c>
      <c r="B62" s="1426" t="s">
        <v>407</v>
      </c>
      <c r="C62" s="1426" t="s">
        <v>708</v>
      </c>
      <c r="D62" s="1427">
        <v>4700</v>
      </c>
    </row>
    <row r="63" spans="1:4">
      <c r="A63" s="1426" t="s">
        <v>394</v>
      </c>
      <c r="B63" s="1426" t="s">
        <v>407</v>
      </c>
      <c r="C63" s="1426" t="s">
        <v>707</v>
      </c>
      <c r="D63" s="1427">
        <v>4600</v>
      </c>
    </row>
    <row r="64" spans="1:4">
      <c r="A64" s="1426" t="s">
        <v>394</v>
      </c>
      <c r="B64" s="1426" t="s">
        <v>407</v>
      </c>
      <c r="C64" s="1426" t="s">
        <v>706</v>
      </c>
      <c r="D64" s="1427">
        <v>4500</v>
      </c>
    </row>
    <row r="65" spans="1:4">
      <c r="A65" s="1426" t="s">
        <v>394</v>
      </c>
      <c r="B65" s="1426" t="s">
        <v>407</v>
      </c>
      <c r="C65" s="1426" t="s">
        <v>705</v>
      </c>
      <c r="D65" s="1427">
        <v>4400</v>
      </c>
    </row>
    <row r="66" spans="1:4">
      <c r="A66" s="1426" t="s">
        <v>394</v>
      </c>
      <c r="B66" s="1426" t="s">
        <v>407</v>
      </c>
      <c r="C66" s="1426" t="s">
        <v>704</v>
      </c>
      <c r="D66" s="1427">
        <v>6300</v>
      </c>
    </row>
    <row r="67" spans="1:4">
      <c r="A67" s="1426" t="s">
        <v>394</v>
      </c>
      <c r="B67" s="1426" t="s">
        <v>407</v>
      </c>
      <c r="C67" s="1426" t="s">
        <v>703</v>
      </c>
      <c r="D67" s="1427">
        <v>7400</v>
      </c>
    </row>
    <row r="68" spans="1:4">
      <c r="A68" s="1426" t="s">
        <v>394</v>
      </c>
      <c r="B68" s="1426" t="s">
        <v>407</v>
      </c>
      <c r="C68" s="1426" t="s">
        <v>702</v>
      </c>
      <c r="D68" s="1427">
        <v>6100</v>
      </c>
    </row>
    <row r="69" spans="1:4">
      <c r="A69" s="1426" t="s">
        <v>394</v>
      </c>
      <c r="B69" s="1426" t="s">
        <v>406</v>
      </c>
      <c r="C69" s="1426" t="s">
        <v>712</v>
      </c>
      <c r="D69" s="1427">
        <v>7500</v>
      </c>
    </row>
    <row r="70" spans="1:4">
      <c r="A70" s="1426" t="s">
        <v>394</v>
      </c>
      <c r="B70" s="1426" t="s">
        <v>406</v>
      </c>
      <c r="C70" s="1426" t="s">
        <v>711</v>
      </c>
      <c r="D70" s="1427">
        <v>6200</v>
      </c>
    </row>
    <row r="71" spans="1:4">
      <c r="A71" s="1426" t="s">
        <v>394</v>
      </c>
      <c r="B71" s="1426" t="s">
        <v>406</v>
      </c>
      <c r="C71" s="1426" t="s">
        <v>710</v>
      </c>
      <c r="D71" s="1427">
        <v>7500</v>
      </c>
    </row>
    <row r="72" spans="1:4">
      <c r="A72" s="1426" t="s">
        <v>394</v>
      </c>
      <c r="B72" s="1426" t="s">
        <v>406</v>
      </c>
      <c r="C72" s="1426" t="s">
        <v>709</v>
      </c>
      <c r="D72" s="1427">
        <v>8700</v>
      </c>
    </row>
    <row r="73" spans="1:4">
      <c r="A73" s="1426" t="s">
        <v>394</v>
      </c>
      <c r="B73" s="1426" t="s">
        <v>406</v>
      </c>
      <c r="C73" s="1426" t="s">
        <v>708</v>
      </c>
      <c r="D73" s="1427">
        <v>7400</v>
      </c>
    </row>
    <row r="74" spans="1:4">
      <c r="A74" s="1426" t="s">
        <v>394</v>
      </c>
      <c r="B74" s="1426" t="s">
        <v>406</v>
      </c>
      <c r="C74" s="1426" t="s">
        <v>707</v>
      </c>
      <c r="D74" s="1427">
        <v>8000</v>
      </c>
    </row>
    <row r="75" spans="1:4">
      <c r="A75" s="1426" t="s">
        <v>394</v>
      </c>
      <c r="B75" s="1426" t="s">
        <v>406</v>
      </c>
      <c r="C75" s="1426" t="s">
        <v>706</v>
      </c>
      <c r="D75" s="1427">
        <v>7600</v>
      </c>
    </row>
    <row r="76" spans="1:4">
      <c r="A76" s="1426" t="s">
        <v>394</v>
      </c>
      <c r="B76" s="1426" t="s">
        <v>406</v>
      </c>
      <c r="C76" s="1426" t="s">
        <v>705</v>
      </c>
      <c r="D76" s="1427">
        <v>7300</v>
      </c>
    </row>
    <row r="77" spans="1:4">
      <c r="A77" s="1426" t="s">
        <v>394</v>
      </c>
      <c r="B77" s="1426" t="s">
        <v>406</v>
      </c>
      <c r="C77" s="1426" t="s">
        <v>704</v>
      </c>
      <c r="D77" s="1427">
        <v>6900</v>
      </c>
    </row>
    <row r="78" spans="1:4">
      <c r="A78" s="1426" t="s">
        <v>394</v>
      </c>
      <c r="B78" s="1426" t="s">
        <v>406</v>
      </c>
      <c r="C78" s="1426" t="s">
        <v>703</v>
      </c>
      <c r="D78" s="1427">
        <v>5900</v>
      </c>
    </row>
    <row r="79" spans="1:4">
      <c r="A79" s="1426" t="s">
        <v>394</v>
      </c>
      <c r="B79" s="1426" t="s">
        <v>406</v>
      </c>
      <c r="C79" s="1426" t="s">
        <v>702</v>
      </c>
      <c r="D79" s="1431">
        <v>0</v>
      </c>
    </row>
    <row r="80" spans="1:4">
      <c r="A80" s="1426" t="s">
        <v>394</v>
      </c>
      <c r="B80" s="1426" t="s">
        <v>405</v>
      </c>
      <c r="C80" s="1426" t="s">
        <v>712</v>
      </c>
      <c r="D80" s="1431">
        <v>400</v>
      </c>
    </row>
    <row r="81" spans="1:4">
      <c r="A81" s="1426" t="s">
        <v>394</v>
      </c>
      <c r="B81" s="1426" t="s">
        <v>405</v>
      </c>
      <c r="C81" s="1426" t="s">
        <v>711</v>
      </c>
      <c r="D81" s="1431">
        <v>500</v>
      </c>
    </row>
    <row r="82" spans="1:4">
      <c r="A82" s="1426" t="s">
        <v>394</v>
      </c>
      <c r="B82" s="1426" t="s">
        <v>405</v>
      </c>
      <c r="C82" s="1426" t="s">
        <v>710</v>
      </c>
      <c r="D82" s="1431">
        <v>600</v>
      </c>
    </row>
    <row r="83" spans="1:4">
      <c r="A83" s="1426" t="s">
        <v>394</v>
      </c>
      <c r="B83" s="1426" t="s">
        <v>405</v>
      </c>
      <c r="C83" s="1426" t="s">
        <v>709</v>
      </c>
      <c r="D83" s="1427">
        <v>1100</v>
      </c>
    </row>
    <row r="84" spans="1:4">
      <c r="A84" s="1426" t="s">
        <v>394</v>
      </c>
      <c r="B84" s="1426" t="s">
        <v>405</v>
      </c>
      <c r="C84" s="1426" t="s">
        <v>708</v>
      </c>
      <c r="D84" s="1431">
        <v>600</v>
      </c>
    </row>
    <row r="85" spans="1:4">
      <c r="A85" s="1426" t="s">
        <v>394</v>
      </c>
      <c r="B85" s="1426" t="s">
        <v>405</v>
      </c>
      <c r="C85" s="1426" t="s">
        <v>707</v>
      </c>
      <c r="D85" s="1431">
        <v>200</v>
      </c>
    </row>
    <row r="86" spans="1:4">
      <c r="A86" s="1426" t="s">
        <v>394</v>
      </c>
      <c r="B86" s="1426" t="s">
        <v>405</v>
      </c>
      <c r="C86" s="1426" t="s">
        <v>706</v>
      </c>
      <c r="D86" s="1431">
        <v>0</v>
      </c>
    </row>
    <row r="87" spans="1:4">
      <c r="A87" s="1426" t="s">
        <v>394</v>
      </c>
      <c r="B87" s="1426" t="s">
        <v>405</v>
      </c>
      <c r="C87" s="1426" t="s">
        <v>705</v>
      </c>
      <c r="D87" s="1431">
        <v>0</v>
      </c>
    </row>
    <row r="88" spans="1:4">
      <c r="A88" s="1426" t="s">
        <v>394</v>
      </c>
      <c r="B88" s="1426" t="s">
        <v>405</v>
      </c>
      <c r="C88" s="1426" t="s">
        <v>704</v>
      </c>
      <c r="D88" s="1431">
        <v>0</v>
      </c>
    </row>
    <row r="89" spans="1:4">
      <c r="A89" s="1426" t="s">
        <v>394</v>
      </c>
      <c r="B89" s="1426" t="s">
        <v>405</v>
      </c>
      <c r="C89" s="1426" t="s">
        <v>703</v>
      </c>
      <c r="D89" s="1431">
        <v>100</v>
      </c>
    </row>
    <row r="90" spans="1:4">
      <c r="A90" s="1426" t="s">
        <v>394</v>
      </c>
      <c r="B90" s="1426" t="s">
        <v>405</v>
      </c>
      <c r="C90" s="1426" t="s">
        <v>702</v>
      </c>
      <c r="D90" s="1431">
        <v>0</v>
      </c>
    </row>
    <row r="91" spans="1:4">
      <c r="A91" s="1426" t="s">
        <v>395</v>
      </c>
      <c r="B91" s="1426" t="s">
        <v>404</v>
      </c>
      <c r="C91" s="1426" t="s">
        <v>712</v>
      </c>
      <c r="D91" s="1427">
        <v>4400</v>
      </c>
    </row>
    <row r="92" spans="1:4">
      <c r="A92" s="1426" t="s">
        <v>395</v>
      </c>
      <c r="B92" s="1426" t="s">
        <v>404</v>
      </c>
      <c r="C92" s="1426" t="s">
        <v>711</v>
      </c>
      <c r="D92" s="1427">
        <v>5500</v>
      </c>
    </row>
    <row r="93" spans="1:4">
      <c r="A93" s="1426" t="s">
        <v>395</v>
      </c>
      <c r="B93" s="1426" t="s">
        <v>404</v>
      </c>
      <c r="C93" s="1426" t="s">
        <v>710</v>
      </c>
      <c r="D93" s="1427">
        <v>5800</v>
      </c>
    </row>
    <row r="94" spans="1:4">
      <c r="A94" s="1426" t="s">
        <v>395</v>
      </c>
      <c r="B94" s="1426" t="s">
        <v>404</v>
      </c>
      <c r="C94" s="1426" t="s">
        <v>709</v>
      </c>
      <c r="D94" s="1427">
        <v>7200</v>
      </c>
    </row>
    <row r="95" spans="1:4">
      <c r="A95" s="1426" t="s">
        <v>395</v>
      </c>
      <c r="B95" s="1426" t="s">
        <v>404</v>
      </c>
      <c r="C95" s="1426" t="s">
        <v>708</v>
      </c>
      <c r="D95" s="1427">
        <v>5500</v>
      </c>
    </row>
    <row r="96" spans="1:4">
      <c r="A96" s="1426" t="s">
        <v>395</v>
      </c>
      <c r="B96" s="1426" t="s">
        <v>404</v>
      </c>
      <c r="C96" s="1426" t="s">
        <v>707</v>
      </c>
      <c r="D96" s="1427">
        <v>6600</v>
      </c>
    </row>
    <row r="97" spans="1:4">
      <c r="A97" s="1426" t="s">
        <v>395</v>
      </c>
      <c r="B97" s="1426" t="s">
        <v>404</v>
      </c>
      <c r="C97" s="1426" t="s">
        <v>706</v>
      </c>
      <c r="D97" s="1427">
        <v>6900</v>
      </c>
    </row>
    <row r="98" spans="1:4">
      <c r="A98" s="1426" t="s">
        <v>395</v>
      </c>
      <c r="B98" s="1426" t="s">
        <v>404</v>
      </c>
      <c r="C98" s="1426" t="s">
        <v>705</v>
      </c>
      <c r="D98" s="1427">
        <v>8300</v>
      </c>
    </row>
    <row r="99" spans="1:4">
      <c r="A99" s="1426" t="s">
        <v>395</v>
      </c>
      <c r="B99" s="1426" t="s">
        <v>404</v>
      </c>
      <c r="C99" s="1426" t="s">
        <v>704</v>
      </c>
      <c r="D99" s="1427">
        <v>9000</v>
      </c>
    </row>
    <row r="100" spans="1:4">
      <c r="A100" s="1426" t="s">
        <v>395</v>
      </c>
      <c r="B100" s="1426" t="s">
        <v>404</v>
      </c>
      <c r="C100" s="1426" t="s">
        <v>703</v>
      </c>
      <c r="D100" s="1427">
        <v>6300</v>
      </c>
    </row>
    <row r="101" spans="1:4">
      <c r="A101" s="1426" t="s">
        <v>395</v>
      </c>
      <c r="B101" s="1426" t="s">
        <v>404</v>
      </c>
      <c r="C101" s="1426" t="s">
        <v>702</v>
      </c>
      <c r="D101" s="1427">
        <v>5600</v>
      </c>
    </row>
    <row r="102" spans="1:4">
      <c r="A102" s="1426" t="s">
        <v>395</v>
      </c>
      <c r="B102" s="1426" t="s">
        <v>407</v>
      </c>
      <c r="C102" s="1426" t="s">
        <v>712</v>
      </c>
      <c r="D102" s="1427">
        <v>9800</v>
      </c>
    </row>
    <row r="103" spans="1:4">
      <c r="A103" s="1426" t="s">
        <v>395</v>
      </c>
      <c r="B103" s="1426" t="s">
        <v>407</v>
      </c>
      <c r="C103" s="1426" t="s">
        <v>711</v>
      </c>
      <c r="D103" s="1427">
        <v>9000</v>
      </c>
    </row>
    <row r="104" spans="1:4">
      <c r="A104" s="1426" t="s">
        <v>395</v>
      </c>
      <c r="B104" s="1426" t="s">
        <v>407</v>
      </c>
      <c r="C104" s="1426" t="s">
        <v>710</v>
      </c>
      <c r="D104" s="1427">
        <v>12000</v>
      </c>
    </row>
    <row r="105" spans="1:4">
      <c r="A105" s="1426" t="s">
        <v>395</v>
      </c>
      <c r="B105" s="1426" t="s">
        <v>407</v>
      </c>
      <c r="C105" s="1426" t="s">
        <v>709</v>
      </c>
      <c r="D105" s="1427">
        <v>13100</v>
      </c>
    </row>
    <row r="106" spans="1:4">
      <c r="A106" s="1426" t="s">
        <v>395</v>
      </c>
      <c r="B106" s="1426" t="s">
        <v>407</v>
      </c>
      <c r="C106" s="1426" t="s">
        <v>708</v>
      </c>
      <c r="D106" s="1427">
        <v>13800</v>
      </c>
    </row>
    <row r="107" spans="1:4">
      <c r="A107" s="1426" t="s">
        <v>395</v>
      </c>
      <c r="B107" s="1426" t="s">
        <v>407</v>
      </c>
      <c r="C107" s="1426" t="s">
        <v>707</v>
      </c>
      <c r="D107" s="1427">
        <v>14400</v>
      </c>
    </row>
    <row r="108" spans="1:4">
      <c r="A108" s="1426" t="s">
        <v>395</v>
      </c>
      <c r="B108" s="1426" t="s">
        <v>407</v>
      </c>
      <c r="C108" s="1426" t="s">
        <v>706</v>
      </c>
      <c r="D108" s="1427">
        <v>13500</v>
      </c>
    </row>
    <row r="109" spans="1:4">
      <c r="A109" s="1426" t="s">
        <v>395</v>
      </c>
      <c r="B109" s="1426" t="s">
        <v>407</v>
      </c>
      <c r="C109" s="1426" t="s">
        <v>705</v>
      </c>
      <c r="D109" s="1427">
        <v>12800</v>
      </c>
    </row>
    <row r="110" spans="1:4">
      <c r="A110" s="1426" t="s">
        <v>395</v>
      </c>
      <c r="B110" s="1426" t="s">
        <v>407</v>
      </c>
      <c r="C110" s="1426" t="s">
        <v>704</v>
      </c>
      <c r="D110" s="1427">
        <v>14700</v>
      </c>
    </row>
    <row r="111" spans="1:4">
      <c r="A111" s="1426" t="s">
        <v>395</v>
      </c>
      <c r="B111" s="1426" t="s">
        <v>407</v>
      </c>
      <c r="C111" s="1426" t="s">
        <v>703</v>
      </c>
      <c r="D111" s="1427">
        <v>16300</v>
      </c>
    </row>
    <row r="112" spans="1:4">
      <c r="A112" s="1426" t="s">
        <v>395</v>
      </c>
      <c r="B112" s="1426" t="s">
        <v>407</v>
      </c>
      <c r="C112" s="1426" t="s">
        <v>702</v>
      </c>
      <c r="D112" s="1427">
        <v>14200</v>
      </c>
    </row>
    <row r="113" spans="1:4">
      <c r="A113" s="1426" t="s">
        <v>395</v>
      </c>
      <c r="B113" s="1426" t="s">
        <v>406</v>
      </c>
      <c r="C113" s="1426" t="s">
        <v>712</v>
      </c>
      <c r="D113" s="1427">
        <v>22800</v>
      </c>
    </row>
    <row r="114" spans="1:4">
      <c r="A114" s="1426" t="s">
        <v>395</v>
      </c>
      <c r="B114" s="1426" t="s">
        <v>406</v>
      </c>
      <c r="C114" s="1426" t="s">
        <v>711</v>
      </c>
      <c r="D114" s="1427">
        <v>22400</v>
      </c>
    </row>
    <row r="115" spans="1:4">
      <c r="A115" s="1426" t="s">
        <v>395</v>
      </c>
      <c r="B115" s="1426" t="s">
        <v>406</v>
      </c>
      <c r="C115" s="1426" t="s">
        <v>710</v>
      </c>
      <c r="D115" s="1427">
        <v>26300</v>
      </c>
    </row>
    <row r="116" spans="1:4">
      <c r="A116" s="1426" t="s">
        <v>395</v>
      </c>
      <c r="B116" s="1426" t="s">
        <v>406</v>
      </c>
      <c r="C116" s="1426" t="s">
        <v>709</v>
      </c>
      <c r="D116" s="1427">
        <v>30300</v>
      </c>
    </row>
    <row r="117" spans="1:4">
      <c r="A117" s="1426" t="s">
        <v>395</v>
      </c>
      <c r="B117" s="1426" t="s">
        <v>406</v>
      </c>
      <c r="C117" s="1426" t="s">
        <v>708</v>
      </c>
      <c r="D117" s="1427">
        <v>19800</v>
      </c>
    </row>
    <row r="118" spans="1:4">
      <c r="A118" s="1426" t="s">
        <v>395</v>
      </c>
      <c r="B118" s="1426" t="s">
        <v>406</v>
      </c>
      <c r="C118" s="1426" t="s">
        <v>707</v>
      </c>
      <c r="D118" s="1427">
        <v>18500</v>
      </c>
    </row>
    <row r="119" spans="1:4">
      <c r="A119" s="1426" t="s">
        <v>395</v>
      </c>
      <c r="B119" s="1426" t="s">
        <v>406</v>
      </c>
      <c r="C119" s="1426" t="s">
        <v>706</v>
      </c>
      <c r="D119" s="1427">
        <v>15500</v>
      </c>
    </row>
    <row r="120" spans="1:4">
      <c r="A120" s="1426" t="s">
        <v>395</v>
      </c>
      <c r="B120" s="1426" t="s">
        <v>406</v>
      </c>
      <c r="C120" s="1426" t="s">
        <v>705</v>
      </c>
      <c r="D120" s="1427">
        <v>11600</v>
      </c>
    </row>
    <row r="121" spans="1:4">
      <c r="A121" s="1426" t="s">
        <v>395</v>
      </c>
      <c r="B121" s="1426" t="s">
        <v>406</v>
      </c>
      <c r="C121" s="1426" t="s">
        <v>704</v>
      </c>
      <c r="D121" s="1427">
        <v>8400</v>
      </c>
    </row>
    <row r="122" spans="1:4">
      <c r="A122" s="1426" t="s">
        <v>395</v>
      </c>
      <c r="B122" s="1426" t="s">
        <v>406</v>
      </c>
      <c r="C122" s="1426" t="s">
        <v>703</v>
      </c>
      <c r="D122" s="1427">
        <v>6500</v>
      </c>
    </row>
    <row r="123" spans="1:4">
      <c r="A123" s="1426" t="s">
        <v>395</v>
      </c>
      <c r="B123" s="1426" t="s">
        <v>406</v>
      </c>
      <c r="C123" s="1426" t="s">
        <v>702</v>
      </c>
      <c r="D123" s="1431">
        <v>0</v>
      </c>
    </row>
    <row r="124" spans="1:4">
      <c r="A124" s="1426" t="s">
        <v>395</v>
      </c>
      <c r="B124" s="1426" t="s">
        <v>405</v>
      </c>
      <c r="C124" s="1426" t="s">
        <v>712</v>
      </c>
      <c r="D124" s="1427">
        <v>1600</v>
      </c>
    </row>
    <row r="125" spans="1:4">
      <c r="A125" s="1426" t="s">
        <v>395</v>
      </c>
      <c r="B125" s="1426" t="s">
        <v>405</v>
      </c>
      <c r="C125" s="1426" t="s">
        <v>711</v>
      </c>
      <c r="D125" s="1427">
        <v>1900</v>
      </c>
    </row>
    <row r="126" spans="1:4">
      <c r="A126" s="1426" t="s">
        <v>395</v>
      </c>
      <c r="B126" s="1426" t="s">
        <v>405</v>
      </c>
      <c r="C126" s="1426" t="s">
        <v>710</v>
      </c>
      <c r="D126" s="1427">
        <v>2300</v>
      </c>
    </row>
    <row r="127" spans="1:4">
      <c r="A127" s="1426" t="s">
        <v>395</v>
      </c>
      <c r="B127" s="1426" t="s">
        <v>405</v>
      </c>
      <c r="C127" s="1426" t="s">
        <v>709</v>
      </c>
      <c r="D127" s="1427">
        <v>3500</v>
      </c>
    </row>
    <row r="128" spans="1:4">
      <c r="A128" s="1426" t="s">
        <v>395</v>
      </c>
      <c r="B128" s="1426" t="s">
        <v>405</v>
      </c>
      <c r="C128" s="1426" t="s">
        <v>708</v>
      </c>
      <c r="D128" s="1427">
        <v>2200</v>
      </c>
    </row>
    <row r="129" spans="1:4">
      <c r="A129" s="1426" t="s">
        <v>395</v>
      </c>
      <c r="B129" s="1426" t="s">
        <v>405</v>
      </c>
      <c r="C129" s="1426" t="s">
        <v>707</v>
      </c>
      <c r="D129" s="1431">
        <v>900</v>
      </c>
    </row>
    <row r="130" spans="1:4">
      <c r="A130" s="1426" t="s">
        <v>395</v>
      </c>
      <c r="B130" s="1426" t="s">
        <v>405</v>
      </c>
      <c r="C130" s="1426" t="s">
        <v>706</v>
      </c>
      <c r="D130" s="1431">
        <v>0</v>
      </c>
    </row>
    <row r="131" spans="1:4">
      <c r="A131" s="1426" t="s">
        <v>395</v>
      </c>
      <c r="B131" s="1426" t="s">
        <v>405</v>
      </c>
      <c r="C131" s="1426" t="s">
        <v>705</v>
      </c>
      <c r="D131" s="1431">
        <v>0</v>
      </c>
    </row>
    <row r="132" spans="1:4">
      <c r="A132" s="1426" t="s">
        <v>395</v>
      </c>
      <c r="B132" s="1426" t="s">
        <v>405</v>
      </c>
      <c r="C132" s="1426" t="s">
        <v>704</v>
      </c>
      <c r="D132" s="1431">
        <v>0</v>
      </c>
    </row>
    <row r="133" spans="1:4">
      <c r="A133" s="1426" t="s">
        <v>395</v>
      </c>
      <c r="B133" s="1426" t="s">
        <v>405</v>
      </c>
      <c r="C133" s="1426" t="s">
        <v>703</v>
      </c>
      <c r="D133" s="1431">
        <v>500</v>
      </c>
    </row>
    <row r="134" spans="1:4">
      <c r="A134" s="1426" t="s">
        <v>395</v>
      </c>
      <c r="B134" s="1426" t="s">
        <v>405</v>
      </c>
      <c r="C134" s="1426" t="s">
        <v>702</v>
      </c>
      <c r="D134" s="1431">
        <v>0</v>
      </c>
    </row>
    <row r="135" spans="1:4">
      <c r="A135" s="1426" t="s">
        <v>397</v>
      </c>
      <c r="B135" s="1426" t="s">
        <v>404</v>
      </c>
      <c r="C135" s="1426" t="s">
        <v>712</v>
      </c>
      <c r="D135" s="1431">
        <v>0</v>
      </c>
    </row>
    <row r="136" spans="1:4">
      <c r="A136" s="1426" t="s">
        <v>397</v>
      </c>
      <c r="B136" s="1426" t="s">
        <v>404</v>
      </c>
      <c r="C136" s="1426" t="s">
        <v>711</v>
      </c>
      <c r="D136" s="1431">
        <v>0</v>
      </c>
    </row>
    <row r="137" spans="1:4">
      <c r="A137" s="1426" t="s">
        <v>397</v>
      </c>
      <c r="B137" s="1426" t="s">
        <v>404</v>
      </c>
      <c r="C137" s="1426" t="s">
        <v>710</v>
      </c>
      <c r="D137" s="1431">
        <v>0</v>
      </c>
    </row>
    <row r="138" spans="1:4">
      <c r="A138" s="1426" t="s">
        <v>397</v>
      </c>
      <c r="B138" s="1426" t="s">
        <v>404</v>
      </c>
      <c r="C138" s="1426" t="s">
        <v>709</v>
      </c>
      <c r="D138" s="1431">
        <v>0</v>
      </c>
    </row>
    <row r="139" spans="1:4">
      <c r="A139" s="1426" t="s">
        <v>397</v>
      </c>
      <c r="B139" s="1426" t="s">
        <v>404</v>
      </c>
      <c r="C139" s="1426" t="s">
        <v>708</v>
      </c>
      <c r="D139" s="1431">
        <v>0</v>
      </c>
    </row>
    <row r="140" spans="1:4">
      <c r="A140" s="1426" t="s">
        <v>397</v>
      </c>
      <c r="B140" s="1426" t="s">
        <v>404</v>
      </c>
      <c r="C140" s="1426" t="s">
        <v>707</v>
      </c>
      <c r="D140" s="1431">
        <v>0</v>
      </c>
    </row>
    <row r="141" spans="1:4">
      <c r="A141" s="1426" t="s">
        <v>397</v>
      </c>
      <c r="B141" s="1426" t="s">
        <v>404</v>
      </c>
      <c r="C141" s="1426" t="s">
        <v>706</v>
      </c>
      <c r="D141" s="1431">
        <v>0</v>
      </c>
    </row>
    <row r="142" spans="1:4">
      <c r="A142" s="1426" t="s">
        <v>397</v>
      </c>
      <c r="B142" s="1426" t="s">
        <v>404</v>
      </c>
      <c r="C142" s="1426" t="s">
        <v>705</v>
      </c>
      <c r="D142" s="1431">
        <v>0</v>
      </c>
    </row>
    <row r="143" spans="1:4">
      <c r="A143" s="1426" t="s">
        <v>397</v>
      </c>
      <c r="B143" s="1426" t="s">
        <v>404</v>
      </c>
      <c r="C143" s="1426" t="s">
        <v>704</v>
      </c>
      <c r="D143" s="1431">
        <v>0</v>
      </c>
    </row>
    <row r="144" spans="1:4">
      <c r="A144" s="1426" t="s">
        <v>397</v>
      </c>
      <c r="B144" s="1426" t="s">
        <v>404</v>
      </c>
      <c r="C144" s="1426" t="s">
        <v>703</v>
      </c>
      <c r="D144" s="1431">
        <v>0</v>
      </c>
    </row>
    <row r="145" spans="1:4">
      <c r="A145" s="1426" t="s">
        <v>397</v>
      </c>
      <c r="B145" s="1426" t="s">
        <v>404</v>
      </c>
      <c r="C145" s="1426" t="s">
        <v>702</v>
      </c>
      <c r="D145" s="1431">
        <v>0</v>
      </c>
    </row>
    <row r="146" spans="1:4">
      <c r="A146" s="1426" t="s">
        <v>397</v>
      </c>
      <c r="B146" s="1426" t="s">
        <v>407</v>
      </c>
      <c r="C146" s="1426" t="s">
        <v>712</v>
      </c>
      <c r="D146" s="1431">
        <v>0</v>
      </c>
    </row>
    <row r="147" spans="1:4">
      <c r="A147" s="1426" t="s">
        <v>397</v>
      </c>
      <c r="B147" s="1426" t="s">
        <v>407</v>
      </c>
      <c r="C147" s="1426" t="s">
        <v>711</v>
      </c>
      <c r="D147" s="1431">
        <v>0</v>
      </c>
    </row>
    <row r="148" spans="1:4">
      <c r="A148" s="1426" t="s">
        <v>397</v>
      </c>
      <c r="B148" s="1426" t="s">
        <v>407</v>
      </c>
      <c r="C148" s="1426" t="s">
        <v>710</v>
      </c>
      <c r="D148" s="1431">
        <v>0</v>
      </c>
    </row>
    <row r="149" spans="1:4">
      <c r="A149" s="1426" t="s">
        <v>397</v>
      </c>
      <c r="B149" s="1426" t="s">
        <v>407</v>
      </c>
      <c r="C149" s="1426" t="s">
        <v>709</v>
      </c>
      <c r="D149" s="1431">
        <v>0</v>
      </c>
    </row>
    <row r="150" spans="1:4">
      <c r="A150" s="1426" t="s">
        <v>397</v>
      </c>
      <c r="B150" s="1426" t="s">
        <v>407</v>
      </c>
      <c r="C150" s="1426" t="s">
        <v>708</v>
      </c>
      <c r="D150" s="1431">
        <v>0</v>
      </c>
    </row>
    <row r="151" spans="1:4">
      <c r="A151" s="1426" t="s">
        <v>397</v>
      </c>
      <c r="B151" s="1426" t="s">
        <v>407</v>
      </c>
      <c r="C151" s="1426" t="s">
        <v>707</v>
      </c>
      <c r="D151" s="1431">
        <v>0</v>
      </c>
    </row>
    <row r="152" spans="1:4">
      <c r="A152" s="1426" t="s">
        <v>397</v>
      </c>
      <c r="B152" s="1426" t="s">
        <v>407</v>
      </c>
      <c r="C152" s="1426" t="s">
        <v>706</v>
      </c>
      <c r="D152" s="1431">
        <v>0</v>
      </c>
    </row>
    <row r="153" spans="1:4">
      <c r="A153" s="1426" t="s">
        <v>397</v>
      </c>
      <c r="B153" s="1426" t="s">
        <v>407</v>
      </c>
      <c r="C153" s="1426" t="s">
        <v>705</v>
      </c>
      <c r="D153" s="1431">
        <v>0</v>
      </c>
    </row>
    <row r="154" spans="1:4">
      <c r="A154" s="1426" t="s">
        <v>397</v>
      </c>
      <c r="B154" s="1426" t="s">
        <v>407</v>
      </c>
      <c r="C154" s="1426" t="s">
        <v>704</v>
      </c>
      <c r="D154" s="1431">
        <v>0</v>
      </c>
    </row>
    <row r="155" spans="1:4">
      <c r="A155" s="1426" t="s">
        <v>397</v>
      </c>
      <c r="B155" s="1426" t="s">
        <v>407</v>
      </c>
      <c r="C155" s="1426" t="s">
        <v>703</v>
      </c>
      <c r="D155" s="1431">
        <v>0</v>
      </c>
    </row>
    <row r="156" spans="1:4">
      <c r="A156" s="1426" t="s">
        <v>397</v>
      </c>
      <c r="B156" s="1426" t="s">
        <v>407</v>
      </c>
      <c r="C156" s="1426" t="s">
        <v>702</v>
      </c>
      <c r="D156" s="1431">
        <v>0</v>
      </c>
    </row>
    <row r="157" spans="1:4">
      <c r="A157" s="1426" t="s">
        <v>397</v>
      </c>
      <c r="B157" s="1426" t="s">
        <v>406</v>
      </c>
      <c r="C157" s="1426" t="s">
        <v>712</v>
      </c>
      <c r="D157" s="1431">
        <v>0</v>
      </c>
    </row>
    <row r="158" spans="1:4">
      <c r="A158" s="1426" t="s">
        <v>397</v>
      </c>
      <c r="B158" s="1426" t="s">
        <v>406</v>
      </c>
      <c r="C158" s="1426" t="s">
        <v>711</v>
      </c>
      <c r="D158" s="1431">
        <v>0</v>
      </c>
    </row>
    <row r="159" spans="1:4">
      <c r="A159" s="1426" t="s">
        <v>397</v>
      </c>
      <c r="B159" s="1426" t="s">
        <v>406</v>
      </c>
      <c r="C159" s="1426" t="s">
        <v>710</v>
      </c>
      <c r="D159" s="1431">
        <v>0</v>
      </c>
    </row>
    <row r="160" spans="1:4">
      <c r="A160" s="1426" t="s">
        <v>397</v>
      </c>
      <c r="B160" s="1426" t="s">
        <v>406</v>
      </c>
      <c r="C160" s="1426" t="s">
        <v>709</v>
      </c>
      <c r="D160" s="1431">
        <v>0</v>
      </c>
    </row>
    <row r="161" spans="1:4">
      <c r="A161" s="1426" t="s">
        <v>397</v>
      </c>
      <c r="B161" s="1426" t="s">
        <v>406</v>
      </c>
      <c r="C161" s="1426" t="s">
        <v>708</v>
      </c>
      <c r="D161" s="1431">
        <v>0</v>
      </c>
    </row>
    <row r="162" spans="1:4">
      <c r="A162" s="1426" t="s">
        <v>397</v>
      </c>
      <c r="B162" s="1426" t="s">
        <v>406</v>
      </c>
      <c r="C162" s="1426" t="s">
        <v>707</v>
      </c>
      <c r="D162" s="1431">
        <v>0</v>
      </c>
    </row>
    <row r="163" spans="1:4">
      <c r="A163" s="1426" t="s">
        <v>397</v>
      </c>
      <c r="B163" s="1426" t="s">
        <v>406</v>
      </c>
      <c r="C163" s="1426" t="s">
        <v>706</v>
      </c>
      <c r="D163" s="1431">
        <v>0</v>
      </c>
    </row>
    <row r="164" spans="1:4">
      <c r="A164" s="1426" t="s">
        <v>397</v>
      </c>
      <c r="B164" s="1426" t="s">
        <v>406</v>
      </c>
      <c r="C164" s="1426" t="s">
        <v>705</v>
      </c>
      <c r="D164" s="1431">
        <v>0</v>
      </c>
    </row>
    <row r="165" spans="1:4">
      <c r="A165" s="1426" t="s">
        <v>397</v>
      </c>
      <c r="B165" s="1426" t="s">
        <v>406</v>
      </c>
      <c r="C165" s="1426" t="s">
        <v>704</v>
      </c>
      <c r="D165" s="1431">
        <v>0</v>
      </c>
    </row>
    <row r="166" spans="1:4">
      <c r="A166" s="1426" t="s">
        <v>397</v>
      </c>
      <c r="B166" s="1426" t="s">
        <v>406</v>
      </c>
      <c r="C166" s="1426" t="s">
        <v>703</v>
      </c>
      <c r="D166" s="1431">
        <v>0</v>
      </c>
    </row>
    <row r="167" spans="1:4">
      <c r="A167" s="1426" t="s">
        <v>397</v>
      </c>
      <c r="B167" s="1426" t="s">
        <v>406</v>
      </c>
      <c r="C167" s="1426" t="s">
        <v>702</v>
      </c>
      <c r="D167" s="1431">
        <v>0</v>
      </c>
    </row>
    <row r="168" spans="1:4">
      <c r="A168" s="1426" t="s">
        <v>397</v>
      </c>
      <c r="B168" s="1426" t="s">
        <v>405</v>
      </c>
      <c r="C168" s="1426" t="s">
        <v>712</v>
      </c>
      <c r="D168" s="1431">
        <v>0</v>
      </c>
    </row>
    <row r="169" spans="1:4">
      <c r="A169" s="1426" t="s">
        <v>397</v>
      </c>
      <c r="B169" s="1426" t="s">
        <v>405</v>
      </c>
      <c r="C169" s="1426" t="s">
        <v>711</v>
      </c>
      <c r="D169" s="1431">
        <v>0</v>
      </c>
    </row>
    <row r="170" spans="1:4">
      <c r="A170" s="1426" t="s">
        <v>397</v>
      </c>
      <c r="B170" s="1426" t="s">
        <v>405</v>
      </c>
      <c r="C170" s="1426" t="s">
        <v>710</v>
      </c>
      <c r="D170" s="1431">
        <v>0</v>
      </c>
    </row>
    <row r="171" spans="1:4">
      <c r="A171" s="1426" t="s">
        <v>397</v>
      </c>
      <c r="B171" s="1426" t="s">
        <v>405</v>
      </c>
      <c r="C171" s="1426" t="s">
        <v>709</v>
      </c>
      <c r="D171" s="1431">
        <v>0</v>
      </c>
    </row>
    <row r="172" spans="1:4">
      <c r="A172" s="1426" t="s">
        <v>397</v>
      </c>
      <c r="B172" s="1426" t="s">
        <v>405</v>
      </c>
      <c r="C172" s="1426" t="s">
        <v>708</v>
      </c>
      <c r="D172" s="1431">
        <v>0</v>
      </c>
    </row>
    <row r="173" spans="1:4">
      <c r="A173" s="1426" t="s">
        <v>397</v>
      </c>
      <c r="B173" s="1426" t="s">
        <v>405</v>
      </c>
      <c r="C173" s="1426" t="s">
        <v>707</v>
      </c>
      <c r="D173" s="1431">
        <v>0</v>
      </c>
    </row>
    <row r="174" spans="1:4">
      <c r="A174" s="1426" t="s">
        <v>397</v>
      </c>
      <c r="B174" s="1426" t="s">
        <v>405</v>
      </c>
      <c r="C174" s="1426" t="s">
        <v>706</v>
      </c>
      <c r="D174" s="1431">
        <v>0</v>
      </c>
    </row>
    <row r="175" spans="1:4">
      <c r="A175" s="1426" t="s">
        <v>397</v>
      </c>
      <c r="B175" s="1426" t="s">
        <v>405</v>
      </c>
      <c r="C175" s="1426" t="s">
        <v>705</v>
      </c>
      <c r="D175" s="1431">
        <v>0</v>
      </c>
    </row>
    <row r="176" spans="1:4">
      <c r="A176" s="1426" t="s">
        <v>397</v>
      </c>
      <c r="B176" s="1426" t="s">
        <v>405</v>
      </c>
      <c r="C176" s="1426" t="s">
        <v>704</v>
      </c>
      <c r="D176" s="1431">
        <v>0</v>
      </c>
    </row>
    <row r="177" spans="1:4">
      <c r="A177" s="1426" t="s">
        <v>397</v>
      </c>
      <c r="B177" s="1426" t="s">
        <v>405</v>
      </c>
      <c r="C177" s="1426" t="s">
        <v>703</v>
      </c>
      <c r="D177" s="1431">
        <v>0</v>
      </c>
    </row>
    <row r="178" spans="1:4">
      <c r="A178" s="1426" t="s">
        <v>397</v>
      </c>
      <c r="B178" s="1426" t="s">
        <v>405</v>
      </c>
      <c r="C178" s="1426" t="s">
        <v>702</v>
      </c>
      <c r="D178" s="1431">
        <v>0</v>
      </c>
    </row>
    <row r="179" spans="1:4">
      <c r="A179" s="1426" t="s">
        <v>398</v>
      </c>
      <c r="B179" s="1426" t="s">
        <v>404</v>
      </c>
      <c r="C179" s="1426" t="s">
        <v>712</v>
      </c>
      <c r="D179" s="1431">
        <v>800</v>
      </c>
    </row>
    <row r="180" spans="1:4">
      <c r="A180" s="1426" t="s">
        <v>398</v>
      </c>
      <c r="B180" s="1426" t="s">
        <v>404</v>
      </c>
      <c r="C180" s="1426" t="s">
        <v>711</v>
      </c>
      <c r="D180" s="1431">
        <v>700</v>
      </c>
    </row>
    <row r="181" spans="1:4">
      <c r="A181" s="1426" t="s">
        <v>398</v>
      </c>
      <c r="B181" s="1426" t="s">
        <v>404</v>
      </c>
      <c r="C181" s="1426" t="s">
        <v>710</v>
      </c>
      <c r="D181" s="1431">
        <v>400</v>
      </c>
    </row>
    <row r="182" spans="1:4">
      <c r="A182" s="1426" t="s">
        <v>398</v>
      </c>
      <c r="B182" s="1426" t="s">
        <v>404</v>
      </c>
      <c r="C182" s="1426" t="s">
        <v>709</v>
      </c>
      <c r="D182" s="1431">
        <v>600</v>
      </c>
    </row>
    <row r="183" spans="1:4">
      <c r="A183" s="1426" t="s">
        <v>398</v>
      </c>
      <c r="B183" s="1426" t="s">
        <v>404</v>
      </c>
      <c r="C183" s="1426" t="s">
        <v>708</v>
      </c>
      <c r="D183" s="1431">
        <v>500</v>
      </c>
    </row>
    <row r="184" spans="1:4">
      <c r="A184" s="1426" t="s">
        <v>398</v>
      </c>
      <c r="B184" s="1426" t="s">
        <v>404</v>
      </c>
      <c r="C184" s="1426" t="s">
        <v>707</v>
      </c>
      <c r="D184" s="1431">
        <v>600</v>
      </c>
    </row>
    <row r="185" spans="1:4">
      <c r="A185" s="1426" t="s">
        <v>398</v>
      </c>
      <c r="B185" s="1426" t="s">
        <v>404</v>
      </c>
      <c r="C185" s="1426" t="s">
        <v>706</v>
      </c>
      <c r="D185" s="1431">
        <v>500</v>
      </c>
    </row>
    <row r="186" spans="1:4">
      <c r="A186" s="1426" t="s">
        <v>398</v>
      </c>
      <c r="B186" s="1426" t="s">
        <v>404</v>
      </c>
      <c r="C186" s="1426" t="s">
        <v>705</v>
      </c>
      <c r="D186" s="1431">
        <v>400</v>
      </c>
    </row>
    <row r="187" spans="1:4">
      <c r="A187" s="1426" t="s">
        <v>398</v>
      </c>
      <c r="B187" s="1426" t="s">
        <v>404</v>
      </c>
      <c r="C187" s="1426" t="s">
        <v>704</v>
      </c>
      <c r="D187" s="1431">
        <v>300</v>
      </c>
    </row>
    <row r="188" spans="1:4">
      <c r="A188" s="1426" t="s">
        <v>398</v>
      </c>
      <c r="B188" s="1426" t="s">
        <v>404</v>
      </c>
      <c r="C188" s="1426" t="s">
        <v>703</v>
      </c>
      <c r="D188" s="1431">
        <v>300</v>
      </c>
    </row>
    <row r="189" spans="1:4">
      <c r="A189" s="1426" t="s">
        <v>398</v>
      </c>
      <c r="B189" s="1426" t="s">
        <v>404</v>
      </c>
      <c r="C189" s="1426" t="s">
        <v>702</v>
      </c>
      <c r="D189" s="1431">
        <v>600</v>
      </c>
    </row>
    <row r="190" spans="1:4">
      <c r="A190" s="1426" t="s">
        <v>398</v>
      </c>
      <c r="B190" s="1426" t="s">
        <v>407</v>
      </c>
      <c r="C190" s="1426" t="s">
        <v>712</v>
      </c>
      <c r="D190" s="1427">
        <v>16700</v>
      </c>
    </row>
    <row r="191" spans="1:4">
      <c r="A191" s="1426" t="s">
        <v>398</v>
      </c>
      <c r="B191" s="1426" t="s">
        <v>407</v>
      </c>
      <c r="C191" s="1426" t="s">
        <v>711</v>
      </c>
      <c r="D191" s="1427">
        <v>16500</v>
      </c>
    </row>
    <row r="192" spans="1:4">
      <c r="A192" s="1426" t="s">
        <v>398</v>
      </c>
      <c r="B192" s="1426" t="s">
        <v>407</v>
      </c>
      <c r="C192" s="1426" t="s">
        <v>710</v>
      </c>
      <c r="D192" s="1427">
        <v>13900</v>
      </c>
    </row>
    <row r="193" spans="1:4">
      <c r="A193" s="1426" t="s">
        <v>398</v>
      </c>
      <c r="B193" s="1426" t="s">
        <v>407</v>
      </c>
      <c r="C193" s="1426" t="s">
        <v>709</v>
      </c>
      <c r="D193" s="1427">
        <v>10000</v>
      </c>
    </row>
    <row r="194" spans="1:4">
      <c r="A194" s="1426" t="s">
        <v>398</v>
      </c>
      <c r="B194" s="1426" t="s">
        <v>407</v>
      </c>
      <c r="C194" s="1426" t="s">
        <v>708</v>
      </c>
      <c r="D194" s="1427">
        <v>10000</v>
      </c>
    </row>
    <row r="195" spans="1:4">
      <c r="A195" s="1426" t="s">
        <v>398</v>
      </c>
      <c r="B195" s="1426" t="s">
        <v>407</v>
      </c>
      <c r="C195" s="1426" t="s">
        <v>707</v>
      </c>
      <c r="D195" s="1427">
        <v>8800</v>
      </c>
    </row>
    <row r="196" spans="1:4">
      <c r="A196" s="1426" t="s">
        <v>398</v>
      </c>
      <c r="B196" s="1426" t="s">
        <v>407</v>
      </c>
      <c r="C196" s="1426" t="s">
        <v>706</v>
      </c>
      <c r="D196" s="1427">
        <v>8700</v>
      </c>
    </row>
    <row r="197" spans="1:4">
      <c r="A197" s="1426" t="s">
        <v>398</v>
      </c>
      <c r="B197" s="1426" t="s">
        <v>407</v>
      </c>
      <c r="C197" s="1426" t="s">
        <v>705</v>
      </c>
      <c r="D197" s="1427">
        <v>8400</v>
      </c>
    </row>
    <row r="198" spans="1:4">
      <c r="A198" s="1426" t="s">
        <v>398</v>
      </c>
      <c r="B198" s="1426" t="s">
        <v>407</v>
      </c>
      <c r="C198" s="1426" t="s">
        <v>704</v>
      </c>
      <c r="D198" s="1427">
        <v>8400</v>
      </c>
    </row>
    <row r="199" spans="1:4">
      <c r="A199" s="1426" t="s">
        <v>398</v>
      </c>
      <c r="B199" s="1426" t="s">
        <v>407</v>
      </c>
      <c r="C199" s="1426" t="s">
        <v>703</v>
      </c>
      <c r="D199" s="1427">
        <v>8000</v>
      </c>
    </row>
    <row r="200" spans="1:4">
      <c r="A200" s="1426" t="s">
        <v>398</v>
      </c>
      <c r="B200" s="1426" t="s">
        <v>407</v>
      </c>
      <c r="C200" s="1426" t="s">
        <v>702</v>
      </c>
      <c r="D200" s="1427">
        <v>7200</v>
      </c>
    </row>
    <row r="201" spans="1:4">
      <c r="A201" s="1426" t="s">
        <v>398</v>
      </c>
      <c r="B201" s="1426" t="s">
        <v>406</v>
      </c>
      <c r="C201" s="1426" t="s">
        <v>712</v>
      </c>
      <c r="D201" s="1427">
        <v>2400</v>
      </c>
    </row>
    <row r="202" spans="1:4">
      <c r="A202" s="1426" t="s">
        <v>398</v>
      </c>
      <c r="B202" s="1426" t="s">
        <v>406</v>
      </c>
      <c r="C202" s="1426" t="s">
        <v>711</v>
      </c>
      <c r="D202" s="1427">
        <v>1600</v>
      </c>
    </row>
    <row r="203" spans="1:4">
      <c r="A203" s="1426" t="s">
        <v>398</v>
      </c>
      <c r="B203" s="1426" t="s">
        <v>406</v>
      </c>
      <c r="C203" s="1426" t="s">
        <v>710</v>
      </c>
      <c r="D203" s="1427">
        <v>2000</v>
      </c>
    </row>
    <row r="204" spans="1:4">
      <c r="A204" s="1426" t="s">
        <v>398</v>
      </c>
      <c r="B204" s="1426" t="s">
        <v>406</v>
      </c>
      <c r="C204" s="1426" t="s">
        <v>709</v>
      </c>
      <c r="D204" s="1427">
        <v>2200</v>
      </c>
    </row>
    <row r="205" spans="1:4">
      <c r="A205" s="1426" t="s">
        <v>398</v>
      </c>
      <c r="B205" s="1426" t="s">
        <v>406</v>
      </c>
      <c r="C205" s="1426" t="s">
        <v>708</v>
      </c>
      <c r="D205" s="1427">
        <v>1000</v>
      </c>
    </row>
    <row r="206" spans="1:4">
      <c r="A206" s="1426" t="s">
        <v>398</v>
      </c>
      <c r="B206" s="1426" t="s">
        <v>406</v>
      </c>
      <c r="C206" s="1426" t="s">
        <v>707</v>
      </c>
      <c r="D206" s="1431">
        <v>600</v>
      </c>
    </row>
    <row r="207" spans="1:4">
      <c r="A207" s="1426" t="s">
        <v>398</v>
      </c>
      <c r="B207" s="1426" t="s">
        <v>406</v>
      </c>
      <c r="C207" s="1426" t="s">
        <v>706</v>
      </c>
      <c r="D207" s="1431">
        <v>500</v>
      </c>
    </row>
    <row r="208" spans="1:4">
      <c r="A208" s="1426" t="s">
        <v>398</v>
      </c>
      <c r="B208" s="1426" t="s">
        <v>406</v>
      </c>
      <c r="C208" s="1426" t="s">
        <v>705</v>
      </c>
      <c r="D208" s="1431">
        <v>600</v>
      </c>
    </row>
    <row r="209" spans="1:4">
      <c r="A209" s="1426" t="s">
        <v>398</v>
      </c>
      <c r="B209" s="1426" t="s">
        <v>406</v>
      </c>
      <c r="C209" s="1426" t="s">
        <v>704</v>
      </c>
      <c r="D209" s="1431">
        <v>400</v>
      </c>
    </row>
    <row r="210" spans="1:4">
      <c r="A210" s="1426" t="s">
        <v>398</v>
      </c>
      <c r="B210" s="1426" t="s">
        <v>406</v>
      </c>
      <c r="C210" s="1426" t="s">
        <v>703</v>
      </c>
      <c r="D210" s="1431">
        <v>700</v>
      </c>
    </row>
    <row r="211" spans="1:4">
      <c r="A211" s="1426" t="s">
        <v>398</v>
      </c>
      <c r="B211" s="1426" t="s">
        <v>406</v>
      </c>
      <c r="C211" s="1426" t="s">
        <v>702</v>
      </c>
      <c r="D211" s="1431">
        <v>0</v>
      </c>
    </row>
    <row r="212" spans="1:4">
      <c r="A212" s="1426" t="s">
        <v>398</v>
      </c>
      <c r="B212" s="1426" t="s">
        <v>405</v>
      </c>
      <c r="C212" s="1426" t="s">
        <v>712</v>
      </c>
      <c r="D212" s="1427">
        <v>9100</v>
      </c>
    </row>
    <row r="213" spans="1:4">
      <c r="A213" s="1426" t="s">
        <v>398</v>
      </c>
      <c r="B213" s="1426" t="s">
        <v>405</v>
      </c>
      <c r="C213" s="1426" t="s">
        <v>711</v>
      </c>
      <c r="D213" s="1427">
        <v>8100</v>
      </c>
    </row>
    <row r="214" spans="1:4">
      <c r="A214" s="1426" t="s">
        <v>398</v>
      </c>
      <c r="B214" s="1426" t="s">
        <v>405</v>
      </c>
      <c r="C214" s="1426" t="s">
        <v>710</v>
      </c>
      <c r="D214" s="1427">
        <v>7700</v>
      </c>
    </row>
    <row r="215" spans="1:4">
      <c r="A215" s="1426" t="s">
        <v>398</v>
      </c>
      <c r="B215" s="1426" t="s">
        <v>405</v>
      </c>
      <c r="C215" s="1426" t="s">
        <v>709</v>
      </c>
      <c r="D215" s="1427">
        <v>7700</v>
      </c>
    </row>
    <row r="216" spans="1:4">
      <c r="A216" s="1426" t="s">
        <v>398</v>
      </c>
      <c r="B216" s="1426" t="s">
        <v>405</v>
      </c>
      <c r="C216" s="1426" t="s">
        <v>708</v>
      </c>
      <c r="D216" s="1427">
        <v>7600</v>
      </c>
    </row>
    <row r="217" spans="1:4">
      <c r="A217" s="1426" t="s">
        <v>398</v>
      </c>
      <c r="B217" s="1426" t="s">
        <v>405</v>
      </c>
      <c r="C217" s="1426" t="s">
        <v>707</v>
      </c>
      <c r="D217" s="1427">
        <v>8100</v>
      </c>
    </row>
    <row r="218" spans="1:4">
      <c r="A218" s="1426" t="s">
        <v>398</v>
      </c>
      <c r="B218" s="1426" t="s">
        <v>405</v>
      </c>
      <c r="C218" s="1426" t="s">
        <v>706</v>
      </c>
      <c r="D218" s="1427">
        <v>8600</v>
      </c>
    </row>
    <row r="219" spans="1:4">
      <c r="A219" s="1426" t="s">
        <v>398</v>
      </c>
      <c r="B219" s="1426" t="s">
        <v>405</v>
      </c>
      <c r="C219" s="1426" t="s">
        <v>705</v>
      </c>
      <c r="D219" s="1427">
        <v>10000</v>
      </c>
    </row>
    <row r="220" spans="1:4">
      <c r="A220" s="1426" t="s">
        <v>398</v>
      </c>
      <c r="B220" s="1426" t="s">
        <v>405</v>
      </c>
      <c r="C220" s="1426" t="s">
        <v>704</v>
      </c>
      <c r="D220" s="1427">
        <v>12300</v>
      </c>
    </row>
    <row r="221" spans="1:4">
      <c r="A221" s="1426" t="s">
        <v>398</v>
      </c>
      <c r="B221" s="1426" t="s">
        <v>405</v>
      </c>
      <c r="C221" s="1426" t="s">
        <v>703</v>
      </c>
      <c r="D221" s="1427">
        <v>12900</v>
      </c>
    </row>
    <row r="222" spans="1:4">
      <c r="A222" s="1426" t="s">
        <v>398</v>
      </c>
      <c r="B222" s="1426" t="s">
        <v>405</v>
      </c>
      <c r="C222" s="1426" t="s">
        <v>702</v>
      </c>
      <c r="D222" s="1427">
        <v>14300</v>
      </c>
    </row>
    <row r="223" spans="1:4">
      <c r="A223" s="1426" t="s">
        <v>390</v>
      </c>
      <c r="B223" s="1426" t="s">
        <v>404</v>
      </c>
      <c r="C223" s="1426" t="s">
        <v>712</v>
      </c>
      <c r="D223" s="1431">
        <v>0</v>
      </c>
    </row>
    <row r="224" spans="1:4">
      <c r="A224" s="1426" t="s">
        <v>390</v>
      </c>
      <c r="B224" s="1426" t="s">
        <v>404</v>
      </c>
      <c r="C224" s="1426" t="s">
        <v>711</v>
      </c>
      <c r="D224" s="1431">
        <v>0</v>
      </c>
    </row>
    <row r="225" spans="1:4">
      <c r="A225" s="1426" t="s">
        <v>390</v>
      </c>
      <c r="B225" s="1426" t="s">
        <v>404</v>
      </c>
      <c r="C225" s="1426" t="s">
        <v>710</v>
      </c>
      <c r="D225" s="1431">
        <v>0</v>
      </c>
    </row>
    <row r="226" spans="1:4">
      <c r="A226" s="1426" t="s">
        <v>390</v>
      </c>
      <c r="B226" s="1426" t="s">
        <v>404</v>
      </c>
      <c r="C226" s="1426" t="s">
        <v>709</v>
      </c>
      <c r="D226" s="1431">
        <v>0</v>
      </c>
    </row>
    <row r="227" spans="1:4">
      <c r="A227" s="1426" t="s">
        <v>390</v>
      </c>
      <c r="B227" s="1426" t="s">
        <v>404</v>
      </c>
      <c r="C227" s="1426" t="s">
        <v>708</v>
      </c>
      <c r="D227" s="1431">
        <v>0</v>
      </c>
    </row>
    <row r="228" spans="1:4">
      <c r="A228" s="1426" t="s">
        <v>390</v>
      </c>
      <c r="B228" s="1426" t="s">
        <v>404</v>
      </c>
      <c r="C228" s="1426" t="s">
        <v>707</v>
      </c>
      <c r="D228" s="1431">
        <v>0</v>
      </c>
    </row>
    <row r="229" spans="1:4">
      <c r="A229" s="1426" t="s">
        <v>390</v>
      </c>
      <c r="B229" s="1426" t="s">
        <v>404</v>
      </c>
      <c r="C229" s="1426" t="s">
        <v>706</v>
      </c>
      <c r="D229" s="1431">
        <v>0</v>
      </c>
    </row>
    <row r="230" spans="1:4">
      <c r="A230" s="1426" t="s">
        <v>390</v>
      </c>
      <c r="B230" s="1426" t="s">
        <v>404</v>
      </c>
      <c r="C230" s="1426" t="s">
        <v>705</v>
      </c>
      <c r="D230" s="1431">
        <v>0</v>
      </c>
    </row>
    <row r="231" spans="1:4">
      <c r="A231" s="1426" t="s">
        <v>390</v>
      </c>
      <c r="B231" s="1426" t="s">
        <v>404</v>
      </c>
      <c r="C231" s="1426" t="s">
        <v>704</v>
      </c>
      <c r="D231" s="1431">
        <v>0</v>
      </c>
    </row>
    <row r="232" spans="1:4">
      <c r="A232" s="1426" t="s">
        <v>390</v>
      </c>
      <c r="B232" s="1426" t="s">
        <v>404</v>
      </c>
      <c r="C232" s="1426" t="s">
        <v>703</v>
      </c>
      <c r="D232" s="1431">
        <v>0</v>
      </c>
    </row>
    <row r="233" spans="1:4">
      <c r="A233" s="1426" t="s">
        <v>390</v>
      </c>
      <c r="B233" s="1426" t="s">
        <v>404</v>
      </c>
      <c r="C233" s="1426" t="s">
        <v>702</v>
      </c>
      <c r="D233" s="1431">
        <v>0</v>
      </c>
    </row>
    <row r="234" spans="1:4">
      <c r="A234" s="1426" t="s">
        <v>390</v>
      </c>
      <c r="B234" s="1426" t="s">
        <v>407</v>
      </c>
      <c r="C234" s="1426" t="s">
        <v>712</v>
      </c>
      <c r="D234" s="1431">
        <v>0</v>
      </c>
    </row>
    <row r="235" spans="1:4">
      <c r="A235" s="1426" t="s">
        <v>390</v>
      </c>
      <c r="B235" s="1426" t="s">
        <v>407</v>
      </c>
      <c r="C235" s="1426" t="s">
        <v>711</v>
      </c>
      <c r="D235" s="1431">
        <v>0</v>
      </c>
    </row>
    <row r="236" spans="1:4">
      <c r="A236" s="1426" t="s">
        <v>390</v>
      </c>
      <c r="B236" s="1426" t="s">
        <v>407</v>
      </c>
      <c r="C236" s="1426" t="s">
        <v>710</v>
      </c>
      <c r="D236" s="1431">
        <v>0</v>
      </c>
    </row>
    <row r="237" spans="1:4">
      <c r="A237" s="1426" t="s">
        <v>390</v>
      </c>
      <c r="B237" s="1426" t="s">
        <v>407</v>
      </c>
      <c r="C237" s="1426" t="s">
        <v>709</v>
      </c>
      <c r="D237" s="1431">
        <v>0</v>
      </c>
    </row>
    <row r="238" spans="1:4">
      <c r="A238" s="1426" t="s">
        <v>390</v>
      </c>
      <c r="B238" s="1426" t="s">
        <v>407</v>
      </c>
      <c r="C238" s="1426" t="s">
        <v>708</v>
      </c>
      <c r="D238" s="1431">
        <v>0</v>
      </c>
    </row>
    <row r="239" spans="1:4">
      <c r="A239" s="1426" t="s">
        <v>390</v>
      </c>
      <c r="B239" s="1426" t="s">
        <v>407</v>
      </c>
      <c r="C239" s="1426" t="s">
        <v>707</v>
      </c>
      <c r="D239" s="1431">
        <v>0</v>
      </c>
    </row>
    <row r="240" spans="1:4">
      <c r="A240" s="1426" t="s">
        <v>390</v>
      </c>
      <c r="B240" s="1426" t="s">
        <v>407</v>
      </c>
      <c r="C240" s="1426" t="s">
        <v>706</v>
      </c>
      <c r="D240" s="1431">
        <v>0</v>
      </c>
    </row>
    <row r="241" spans="1:4">
      <c r="A241" s="1426" t="s">
        <v>390</v>
      </c>
      <c r="B241" s="1426" t="s">
        <v>407</v>
      </c>
      <c r="C241" s="1426" t="s">
        <v>705</v>
      </c>
      <c r="D241" s="1431">
        <v>0</v>
      </c>
    </row>
    <row r="242" spans="1:4">
      <c r="A242" s="1426" t="s">
        <v>390</v>
      </c>
      <c r="B242" s="1426" t="s">
        <v>407</v>
      </c>
      <c r="C242" s="1426" t="s">
        <v>704</v>
      </c>
      <c r="D242" s="1431">
        <v>0</v>
      </c>
    </row>
    <row r="243" spans="1:4">
      <c r="A243" s="1426" t="s">
        <v>390</v>
      </c>
      <c r="B243" s="1426" t="s">
        <v>407</v>
      </c>
      <c r="C243" s="1426" t="s">
        <v>703</v>
      </c>
      <c r="D243" s="1431">
        <v>0</v>
      </c>
    </row>
    <row r="244" spans="1:4">
      <c r="A244" s="1426" t="s">
        <v>390</v>
      </c>
      <c r="B244" s="1426" t="s">
        <v>407</v>
      </c>
      <c r="C244" s="1426" t="s">
        <v>702</v>
      </c>
      <c r="D244" s="1431">
        <v>0</v>
      </c>
    </row>
    <row r="245" spans="1:4">
      <c r="A245" s="1426" t="s">
        <v>390</v>
      </c>
      <c r="B245" s="1426" t="s">
        <v>406</v>
      </c>
      <c r="C245" s="1426" t="s">
        <v>712</v>
      </c>
      <c r="D245" s="1431">
        <v>0</v>
      </c>
    </row>
    <row r="246" spans="1:4">
      <c r="A246" s="1426" t="s">
        <v>390</v>
      </c>
      <c r="B246" s="1426" t="s">
        <v>406</v>
      </c>
      <c r="C246" s="1426" t="s">
        <v>711</v>
      </c>
      <c r="D246" s="1431">
        <v>0</v>
      </c>
    </row>
    <row r="247" spans="1:4">
      <c r="A247" s="1426" t="s">
        <v>390</v>
      </c>
      <c r="B247" s="1426" t="s">
        <v>406</v>
      </c>
      <c r="C247" s="1426" t="s">
        <v>710</v>
      </c>
      <c r="D247" s="1431">
        <v>0</v>
      </c>
    </row>
    <row r="248" spans="1:4">
      <c r="A248" s="1426" t="s">
        <v>390</v>
      </c>
      <c r="B248" s="1426" t="s">
        <v>406</v>
      </c>
      <c r="C248" s="1426" t="s">
        <v>709</v>
      </c>
      <c r="D248" s="1431">
        <v>0</v>
      </c>
    </row>
    <row r="249" spans="1:4">
      <c r="A249" s="1426" t="s">
        <v>390</v>
      </c>
      <c r="B249" s="1426" t="s">
        <v>406</v>
      </c>
      <c r="C249" s="1426" t="s">
        <v>708</v>
      </c>
      <c r="D249" s="1431">
        <v>0</v>
      </c>
    </row>
    <row r="250" spans="1:4">
      <c r="A250" s="1426" t="s">
        <v>390</v>
      </c>
      <c r="B250" s="1426" t="s">
        <v>406</v>
      </c>
      <c r="C250" s="1426" t="s">
        <v>707</v>
      </c>
      <c r="D250" s="1431">
        <v>0</v>
      </c>
    </row>
    <row r="251" spans="1:4">
      <c r="A251" s="1426" t="s">
        <v>390</v>
      </c>
      <c r="B251" s="1426" t="s">
        <v>406</v>
      </c>
      <c r="C251" s="1426" t="s">
        <v>706</v>
      </c>
      <c r="D251" s="1431">
        <v>0</v>
      </c>
    </row>
    <row r="252" spans="1:4">
      <c r="A252" s="1426" t="s">
        <v>390</v>
      </c>
      <c r="B252" s="1426" t="s">
        <v>406</v>
      </c>
      <c r="C252" s="1426" t="s">
        <v>705</v>
      </c>
      <c r="D252" s="1431">
        <v>0</v>
      </c>
    </row>
    <row r="253" spans="1:4">
      <c r="A253" s="1426" t="s">
        <v>390</v>
      </c>
      <c r="B253" s="1426" t="s">
        <v>406</v>
      </c>
      <c r="C253" s="1426" t="s">
        <v>704</v>
      </c>
      <c r="D253" s="1431">
        <v>0</v>
      </c>
    </row>
    <row r="254" spans="1:4">
      <c r="A254" s="1426" t="s">
        <v>390</v>
      </c>
      <c r="B254" s="1426" t="s">
        <v>406</v>
      </c>
      <c r="C254" s="1426" t="s">
        <v>703</v>
      </c>
      <c r="D254" s="1431">
        <v>0</v>
      </c>
    </row>
    <row r="255" spans="1:4">
      <c r="A255" s="1426" t="s">
        <v>390</v>
      </c>
      <c r="B255" s="1426" t="s">
        <v>406</v>
      </c>
      <c r="C255" s="1426" t="s">
        <v>702</v>
      </c>
      <c r="D255" s="1431">
        <v>0</v>
      </c>
    </row>
    <row r="256" spans="1:4">
      <c r="A256" s="1426" t="s">
        <v>390</v>
      </c>
      <c r="B256" s="1426" t="s">
        <v>405</v>
      </c>
      <c r="C256" s="1426" t="s">
        <v>712</v>
      </c>
      <c r="D256" s="1431">
        <v>0</v>
      </c>
    </row>
    <row r="257" spans="1:4">
      <c r="A257" s="1426" t="s">
        <v>390</v>
      </c>
      <c r="B257" s="1426" t="s">
        <v>405</v>
      </c>
      <c r="C257" s="1426" t="s">
        <v>711</v>
      </c>
      <c r="D257" s="1431">
        <v>0</v>
      </c>
    </row>
    <row r="258" spans="1:4">
      <c r="A258" s="1426" t="s">
        <v>390</v>
      </c>
      <c r="B258" s="1426" t="s">
        <v>405</v>
      </c>
      <c r="C258" s="1426" t="s">
        <v>710</v>
      </c>
      <c r="D258" s="1431">
        <v>0</v>
      </c>
    </row>
    <row r="259" spans="1:4">
      <c r="A259" s="1426" t="s">
        <v>390</v>
      </c>
      <c r="B259" s="1426" t="s">
        <v>405</v>
      </c>
      <c r="C259" s="1426" t="s">
        <v>709</v>
      </c>
      <c r="D259" s="1431">
        <v>0</v>
      </c>
    </row>
    <row r="260" spans="1:4">
      <c r="A260" s="1426" t="s">
        <v>390</v>
      </c>
      <c r="B260" s="1426" t="s">
        <v>405</v>
      </c>
      <c r="C260" s="1426" t="s">
        <v>708</v>
      </c>
      <c r="D260" s="1431">
        <v>0</v>
      </c>
    </row>
    <row r="261" spans="1:4">
      <c r="A261" s="1426" t="s">
        <v>390</v>
      </c>
      <c r="B261" s="1426" t="s">
        <v>405</v>
      </c>
      <c r="C261" s="1426" t="s">
        <v>707</v>
      </c>
      <c r="D261" s="1431">
        <v>0</v>
      </c>
    </row>
    <row r="262" spans="1:4">
      <c r="A262" s="1426" t="s">
        <v>390</v>
      </c>
      <c r="B262" s="1426" t="s">
        <v>405</v>
      </c>
      <c r="C262" s="1426" t="s">
        <v>706</v>
      </c>
      <c r="D262" s="1431">
        <v>0</v>
      </c>
    </row>
    <row r="263" spans="1:4">
      <c r="A263" s="1426" t="s">
        <v>390</v>
      </c>
      <c r="B263" s="1426" t="s">
        <v>405</v>
      </c>
      <c r="C263" s="1426" t="s">
        <v>705</v>
      </c>
      <c r="D263" s="1431">
        <v>0</v>
      </c>
    </row>
    <row r="264" spans="1:4">
      <c r="A264" s="1426" t="s">
        <v>390</v>
      </c>
      <c r="B264" s="1426" t="s">
        <v>405</v>
      </c>
      <c r="C264" s="1426" t="s">
        <v>704</v>
      </c>
      <c r="D264" s="1431">
        <v>0</v>
      </c>
    </row>
    <row r="265" spans="1:4">
      <c r="A265" s="1426" t="s">
        <v>390</v>
      </c>
      <c r="B265" s="1426" t="s">
        <v>405</v>
      </c>
      <c r="C265" s="1426" t="s">
        <v>703</v>
      </c>
      <c r="D265" s="1431">
        <v>0</v>
      </c>
    </row>
    <row r="266" spans="1:4">
      <c r="A266" s="1426" t="s">
        <v>390</v>
      </c>
      <c r="B266" s="1426" t="s">
        <v>405</v>
      </c>
      <c r="C266" s="1426" t="s">
        <v>702</v>
      </c>
      <c r="D266" s="1431">
        <v>0</v>
      </c>
    </row>
    <row r="267" spans="1:4">
      <c r="A267" s="1426" t="s">
        <v>388</v>
      </c>
      <c r="B267" s="1426" t="s">
        <v>404</v>
      </c>
      <c r="C267" s="1426" t="s">
        <v>712</v>
      </c>
      <c r="D267" s="1431">
        <v>0</v>
      </c>
    </row>
    <row r="268" spans="1:4">
      <c r="A268" s="1426" t="s">
        <v>388</v>
      </c>
      <c r="B268" s="1426" t="s">
        <v>404</v>
      </c>
      <c r="C268" s="1426" t="s">
        <v>711</v>
      </c>
      <c r="D268" s="1431">
        <v>0</v>
      </c>
    </row>
    <row r="269" spans="1:4">
      <c r="A269" s="1426" t="s">
        <v>388</v>
      </c>
      <c r="B269" s="1426" t="s">
        <v>404</v>
      </c>
      <c r="C269" s="1426" t="s">
        <v>710</v>
      </c>
      <c r="D269" s="1431">
        <v>0</v>
      </c>
    </row>
    <row r="270" spans="1:4">
      <c r="A270" s="1426" t="s">
        <v>388</v>
      </c>
      <c r="B270" s="1426" t="s">
        <v>404</v>
      </c>
      <c r="C270" s="1426" t="s">
        <v>709</v>
      </c>
      <c r="D270" s="1431">
        <v>0</v>
      </c>
    </row>
    <row r="271" spans="1:4">
      <c r="A271" s="1426" t="s">
        <v>388</v>
      </c>
      <c r="B271" s="1426" t="s">
        <v>404</v>
      </c>
      <c r="C271" s="1426" t="s">
        <v>708</v>
      </c>
      <c r="D271" s="1431">
        <v>0</v>
      </c>
    </row>
    <row r="272" spans="1:4">
      <c r="A272" s="1426" t="s">
        <v>388</v>
      </c>
      <c r="B272" s="1426" t="s">
        <v>404</v>
      </c>
      <c r="C272" s="1426" t="s">
        <v>707</v>
      </c>
      <c r="D272" s="1431">
        <v>0</v>
      </c>
    </row>
    <row r="273" spans="1:4">
      <c r="A273" s="1426" t="s">
        <v>388</v>
      </c>
      <c r="B273" s="1426" t="s">
        <v>404</v>
      </c>
      <c r="C273" s="1426" t="s">
        <v>706</v>
      </c>
      <c r="D273" s="1431">
        <v>0</v>
      </c>
    </row>
    <row r="274" spans="1:4">
      <c r="A274" s="1426" t="s">
        <v>388</v>
      </c>
      <c r="B274" s="1426" t="s">
        <v>404</v>
      </c>
      <c r="C274" s="1426" t="s">
        <v>705</v>
      </c>
      <c r="D274" s="1431">
        <v>0</v>
      </c>
    </row>
    <row r="275" spans="1:4">
      <c r="A275" s="1426" t="s">
        <v>388</v>
      </c>
      <c r="B275" s="1426" t="s">
        <v>404</v>
      </c>
      <c r="C275" s="1426" t="s">
        <v>704</v>
      </c>
      <c r="D275" s="1431">
        <v>0</v>
      </c>
    </row>
    <row r="276" spans="1:4">
      <c r="A276" s="1426" t="s">
        <v>388</v>
      </c>
      <c r="B276" s="1426" t="s">
        <v>404</v>
      </c>
      <c r="C276" s="1426" t="s">
        <v>703</v>
      </c>
      <c r="D276" s="1431">
        <v>0</v>
      </c>
    </row>
    <row r="277" spans="1:4">
      <c r="A277" s="1426" t="s">
        <v>388</v>
      </c>
      <c r="B277" s="1426" t="s">
        <v>404</v>
      </c>
      <c r="C277" s="1426" t="s">
        <v>702</v>
      </c>
      <c r="D277" s="1431">
        <v>0</v>
      </c>
    </row>
    <row r="278" spans="1:4">
      <c r="A278" s="1426" t="s">
        <v>388</v>
      </c>
      <c r="B278" s="1426" t="s">
        <v>407</v>
      </c>
      <c r="C278" s="1426" t="s">
        <v>712</v>
      </c>
      <c r="D278" s="1431">
        <v>0</v>
      </c>
    </row>
    <row r="279" spans="1:4">
      <c r="A279" s="1426" t="s">
        <v>388</v>
      </c>
      <c r="B279" s="1426" t="s">
        <v>407</v>
      </c>
      <c r="C279" s="1426" t="s">
        <v>711</v>
      </c>
      <c r="D279" s="1431">
        <v>0</v>
      </c>
    </row>
    <row r="280" spans="1:4">
      <c r="A280" s="1426" t="s">
        <v>388</v>
      </c>
      <c r="B280" s="1426" t="s">
        <v>407</v>
      </c>
      <c r="C280" s="1426" t="s">
        <v>710</v>
      </c>
      <c r="D280" s="1431">
        <v>0</v>
      </c>
    </row>
    <row r="281" spans="1:4">
      <c r="A281" s="1426" t="s">
        <v>388</v>
      </c>
      <c r="B281" s="1426" t="s">
        <v>407</v>
      </c>
      <c r="C281" s="1426" t="s">
        <v>709</v>
      </c>
      <c r="D281" s="1431">
        <v>0</v>
      </c>
    </row>
    <row r="282" spans="1:4">
      <c r="A282" s="1426" t="s">
        <v>388</v>
      </c>
      <c r="B282" s="1426" t="s">
        <v>407</v>
      </c>
      <c r="C282" s="1426" t="s">
        <v>708</v>
      </c>
      <c r="D282" s="1431">
        <v>0</v>
      </c>
    </row>
    <row r="283" spans="1:4">
      <c r="A283" s="1426" t="s">
        <v>388</v>
      </c>
      <c r="B283" s="1426" t="s">
        <v>407</v>
      </c>
      <c r="C283" s="1426" t="s">
        <v>707</v>
      </c>
      <c r="D283" s="1431">
        <v>0</v>
      </c>
    </row>
    <row r="284" spans="1:4">
      <c r="A284" s="1426" t="s">
        <v>388</v>
      </c>
      <c r="B284" s="1426" t="s">
        <v>407</v>
      </c>
      <c r="C284" s="1426" t="s">
        <v>706</v>
      </c>
      <c r="D284" s="1431">
        <v>0</v>
      </c>
    </row>
    <row r="285" spans="1:4">
      <c r="A285" s="1426" t="s">
        <v>388</v>
      </c>
      <c r="B285" s="1426" t="s">
        <v>407</v>
      </c>
      <c r="C285" s="1426" t="s">
        <v>705</v>
      </c>
      <c r="D285" s="1431">
        <v>0</v>
      </c>
    </row>
    <row r="286" spans="1:4">
      <c r="A286" s="1426" t="s">
        <v>388</v>
      </c>
      <c r="B286" s="1426" t="s">
        <v>407</v>
      </c>
      <c r="C286" s="1426" t="s">
        <v>704</v>
      </c>
      <c r="D286" s="1431">
        <v>0</v>
      </c>
    </row>
    <row r="287" spans="1:4">
      <c r="A287" s="1426" t="s">
        <v>388</v>
      </c>
      <c r="B287" s="1426" t="s">
        <v>407</v>
      </c>
      <c r="C287" s="1426" t="s">
        <v>703</v>
      </c>
      <c r="D287" s="1431">
        <v>0</v>
      </c>
    </row>
    <row r="288" spans="1:4">
      <c r="A288" s="1426" t="s">
        <v>388</v>
      </c>
      <c r="B288" s="1426" t="s">
        <v>407</v>
      </c>
      <c r="C288" s="1426" t="s">
        <v>702</v>
      </c>
      <c r="D288" s="1431">
        <v>0</v>
      </c>
    </row>
    <row r="289" spans="1:4">
      <c r="A289" s="1426" t="s">
        <v>388</v>
      </c>
      <c r="B289" s="1426" t="s">
        <v>406</v>
      </c>
      <c r="C289" s="1426" t="s">
        <v>712</v>
      </c>
      <c r="D289" s="1431">
        <v>0</v>
      </c>
    </row>
    <row r="290" spans="1:4">
      <c r="A290" s="1426" t="s">
        <v>388</v>
      </c>
      <c r="B290" s="1426" t="s">
        <v>406</v>
      </c>
      <c r="C290" s="1426" t="s">
        <v>711</v>
      </c>
      <c r="D290" s="1431">
        <v>0</v>
      </c>
    </row>
    <row r="291" spans="1:4">
      <c r="A291" s="1426" t="s">
        <v>388</v>
      </c>
      <c r="B291" s="1426" t="s">
        <v>406</v>
      </c>
      <c r="C291" s="1426" t="s">
        <v>710</v>
      </c>
      <c r="D291" s="1431">
        <v>0</v>
      </c>
    </row>
    <row r="292" spans="1:4">
      <c r="A292" s="1426" t="s">
        <v>388</v>
      </c>
      <c r="B292" s="1426" t="s">
        <v>406</v>
      </c>
      <c r="C292" s="1426" t="s">
        <v>709</v>
      </c>
      <c r="D292" s="1431">
        <v>0</v>
      </c>
    </row>
    <row r="293" spans="1:4">
      <c r="A293" s="1426" t="s">
        <v>388</v>
      </c>
      <c r="B293" s="1426" t="s">
        <v>406</v>
      </c>
      <c r="C293" s="1426" t="s">
        <v>708</v>
      </c>
      <c r="D293" s="1431">
        <v>0</v>
      </c>
    </row>
    <row r="294" spans="1:4">
      <c r="A294" s="1426" t="s">
        <v>388</v>
      </c>
      <c r="B294" s="1426" t="s">
        <v>406</v>
      </c>
      <c r="C294" s="1426" t="s">
        <v>707</v>
      </c>
      <c r="D294" s="1431">
        <v>0</v>
      </c>
    </row>
    <row r="295" spans="1:4">
      <c r="A295" s="1426" t="s">
        <v>388</v>
      </c>
      <c r="B295" s="1426" t="s">
        <v>406</v>
      </c>
      <c r="C295" s="1426" t="s">
        <v>706</v>
      </c>
      <c r="D295" s="1431">
        <v>0</v>
      </c>
    </row>
    <row r="296" spans="1:4">
      <c r="A296" s="1426" t="s">
        <v>388</v>
      </c>
      <c r="B296" s="1426" t="s">
        <v>406</v>
      </c>
      <c r="C296" s="1426" t="s">
        <v>705</v>
      </c>
      <c r="D296" s="1431">
        <v>0</v>
      </c>
    </row>
    <row r="297" spans="1:4">
      <c r="A297" s="1426" t="s">
        <v>388</v>
      </c>
      <c r="B297" s="1426" t="s">
        <v>406</v>
      </c>
      <c r="C297" s="1426" t="s">
        <v>704</v>
      </c>
      <c r="D297" s="1431">
        <v>0</v>
      </c>
    </row>
    <row r="298" spans="1:4">
      <c r="A298" s="1426" t="s">
        <v>388</v>
      </c>
      <c r="B298" s="1426" t="s">
        <v>406</v>
      </c>
      <c r="C298" s="1426" t="s">
        <v>703</v>
      </c>
      <c r="D298" s="1431">
        <v>0</v>
      </c>
    </row>
    <row r="299" spans="1:4">
      <c r="A299" s="1426" t="s">
        <v>388</v>
      </c>
      <c r="B299" s="1426" t="s">
        <v>406</v>
      </c>
      <c r="C299" s="1426" t="s">
        <v>702</v>
      </c>
      <c r="D299" s="1431">
        <v>0</v>
      </c>
    </row>
    <row r="300" spans="1:4">
      <c r="A300" s="1426" t="s">
        <v>388</v>
      </c>
      <c r="B300" s="1426" t="s">
        <v>405</v>
      </c>
      <c r="C300" s="1426" t="s">
        <v>712</v>
      </c>
      <c r="D300" s="1431">
        <v>0</v>
      </c>
    </row>
    <row r="301" spans="1:4">
      <c r="A301" s="1426" t="s">
        <v>388</v>
      </c>
      <c r="B301" s="1426" t="s">
        <v>405</v>
      </c>
      <c r="C301" s="1426" t="s">
        <v>711</v>
      </c>
      <c r="D301" s="1431">
        <v>0</v>
      </c>
    </row>
    <row r="302" spans="1:4">
      <c r="A302" s="1426" t="s">
        <v>388</v>
      </c>
      <c r="B302" s="1426" t="s">
        <v>405</v>
      </c>
      <c r="C302" s="1426" t="s">
        <v>710</v>
      </c>
      <c r="D302" s="1431">
        <v>0</v>
      </c>
    </row>
    <row r="303" spans="1:4">
      <c r="A303" s="1426" t="s">
        <v>388</v>
      </c>
      <c r="B303" s="1426" t="s">
        <v>405</v>
      </c>
      <c r="C303" s="1426" t="s">
        <v>709</v>
      </c>
      <c r="D303" s="1431">
        <v>0</v>
      </c>
    </row>
    <row r="304" spans="1:4">
      <c r="A304" s="1426" t="s">
        <v>388</v>
      </c>
      <c r="B304" s="1426" t="s">
        <v>405</v>
      </c>
      <c r="C304" s="1426" t="s">
        <v>708</v>
      </c>
      <c r="D304" s="1431">
        <v>0</v>
      </c>
    </row>
    <row r="305" spans="1:4">
      <c r="A305" s="1426" t="s">
        <v>388</v>
      </c>
      <c r="B305" s="1426" t="s">
        <v>405</v>
      </c>
      <c r="C305" s="1426" t="s">
        <v>707</v>
      </c>
      <c r="D305" s="1431">
        <v>0</v>
      </c>
    </row>
    <row r="306" spans="1:4">
      <c r="A306" s="1426" t="s">
        <v>388</v>
      </c>
      <c r="B306" s="1426" t="s">
        <v>405</v>
      </c>
      <c r="C306" s="1426" t="s">
        <v>706</v>
      </c>
      <c r="D306" s="1431">
        <v>0</v>
      </c>
    </row>
    <row r="307" spans="1:4">
      <c r="A307" s="1426" t="s">
        <v>388</v>
      </c>
      <c r="B307" s="1426" t="s">
        <v>405</v>
      </c>
      <c r="C307" s="1426" t="s">
        <v>705</v>
      </c>
      <c r="D307" s="1431">
        <v>0</v>
      </c>
    </row>
    <row r="308" spans="1:4">
      <c r="A308" s="1426" t="s">
        <v>388</v>
      </c>
      <c r="B308" s="1426" t="s">
        <v>405</v>
      </c>
      <c r="C308" s="1426" t="s">
        <v>704</v>
      </c>
      <c r="D308" s="1431">
        <v>0</v>
      </c>
    </row>
    <row r="309" spans="1:4">
      <c r="A309" s="1426" t="s">
        <v>388</v>
      </c>
      <c r="B309" s="1426" t="s">
        <v>405</v>
      </c>
      <c r="C309" s="1426" t="s">
        <v>703</v>
      </c>
      <c r="D309" s="1431">
        <v>0</v>
      </c>
    </row>
    <row r="310" spans="1:4">
      <c r="A310" s="1426" t="s">
        <v>388</v>
      </c>
      <c r="B310" s="1426" t="s">
        <v>405</v>
      </c>
      <c r="C310" s="1426" t="s">
        <v>702</v>
      </c>
      <c r="D310" s="1431">
        <v>0</v>
      </c>
    </row>
    <row r="311" spans="1:4">
      <c r="A311" s="1426" t="s">
        <v>392</v>
      </c>
      <c r="B311" s="1426" t="s">
        <v>404</v>
      </c>
      <c r="C311" s="1426" t="s">
        <v>712</v>
      </c>
      <c r="D311" s="1427">
        <v>6800</v>
      </c>
    </row>
    <row r="312" spans="1:4">
      <c r="A312" s="1426" t="s">
        <v>392</v>
      </c>
      <c r="B312" s="1426" t="s">
        <v>404</v>
      </c>
      <c r="C312" s="1426" t="s">
        <v>711</v>
      </c>
      <c r="D312" s="1427">
        <v>5600</v>
      </c>
    </row>
    <row r="313" spans="1:4">
      <c r="A313" s="1426" t="s">
        <v>392</v>
      </c>
      <c r="B313" s="1426" t="s">
        <v>404</v>
      </c>
      <c r="C313" s="1426" t="s">
        <v>710</v>
      </c>
      <c r="D313" s="1427">
        <v>4800</v>
      </c>
    </row>
    <row r="314" spans="1:4">
      <c r="A314" s="1426" t="s">
        <v>392</v>
      </c>
      <c r="B314" s="1426" t="s">
        <v>404</v>
      </c>
      <c r="C314" s="1426" t="s">
        <v>709</v>
      </c>
      <c r="D314" s="1427">
        <v>7400</v>
      </c>
    </row>
    <row r="315" spans="1:4">
      <c r="A315" s="1426" t="s">
        <v>392</v>
      </c>
      <c r="B315" s="1426" t="s">
        <v>404</v>
      </c>
      <c r="C315" s="1426" t="s">
        <v>708</v>
      </c>
      <c r="D315" s="1427">
        <v>6100</v>
      </c>
    </row>
    <row r="316" spans="1:4">
      <c r="A316" s="1426" t="s">
        <v>392</v>
      </c>
      <c r="B316" s="1426" t="s">
        <v>404</v>
      </c>
      <c r="C316" s="1426" t="s">
        <v>707</v>
      </c>
      <c r="D316" s="1427">
        <v>6300</v>
      </c>
    </row>
    <row r="317" spans="1:4">
      <c r="A317" s="1426" t="s">
        <v>392</v>
      </c>
      <c r="B317" s="1426" t="s">
        <v>404</v>
      </c>
      <c r="C317" s="1426" t="s">
        <v>706</v>
      </c>
      <c r="D317" s="1427">
        <v>4000</v>
      </c>
    </row>
    <row r="318" spans="1:4">
      <c r="A318" s="1426" t="s">
        <v>392</v>
      </c>
      <c r="B318" s="1426" t="s">
        <v>404</v>
      </c>
      <c r="C318" s="1426" t="s">
        <v>705</v>
      </c>
      <c r="D318" s="1427">
        <v>4100</v>
      </c>
    </row>
    <row r="319" spans="1:4">
      <c r="A319" s="1426" t="s">
        <v>392</v>
      </c>
      <c r="B319" s="1426" t="s">
        <v>404</v>
      </c>
      <c r="C319" s="1426" t="s">
        <v>704</v>
      </c>
      <c r="D319" s="1427">
        <v>4200</v>
      </c>
    </row>
    <row r="320" spans="1:4">
      <c r="A320" s="1426" t="s">
        <v>392</v>
      </c>
      <c r="B320" s="1426" t="s">
        <v>404</v>
      </c>
      <c r="C320" s="1426" t="s">
        <v>703</v>
      </c>
      <c r="D320" s="1427">
        <v>3600</v>
      </c>
    </row>
    <row r="321" spans="1:4">
      <c r="A321" s="1426" t="s">
        <v>392</v>
      </c>
      <c r="B321" s="1426" t="s">
        <v>404</v>
      </c>
      <c r="C321" s="1426" t="s">
        <v>702</v>
      </c>
      <c r="D321" s="1427">
        <v>3900</v>
      </c>
    </row>
    <row r="322" spans="1:4">
      <c r="A322" s="1426" t="s">
        <v>392</v>
      </c>
      <c r="B322" s="1426" t="s">
        <v>407</v>
      </c>
      <c r="C322" s="1426" t="s">
        <v>712</v>
      </c>
      <c r="D322" s="1427">
        <v>3200</v>
      </c>
    </row>
    <row r="323" spans="1:4">
      <c r="A323" s="1426" t="s">
        <v>392</v>
      </c>
      <c r="B323" s="1426" t="s">
        <v>407</v>
      </c>
      <c r="C323" s="1426" t="s">
        <v>711</v>
      </c>
      <c r="D323" s="1427">
        <v>4100</v>
      </c>
    </row>
    <row r="324" spans="1:4">
      <c r="A324" s="1426" t="s">
        <v>392</v>
      </c>
      <c r="B324" s="1426" t="s">
        <v>407</v>
      </c>
      <c r="C324" s="1426" t="s">
        <v>710</v>
      </c>
      <c r="D324" s="1427">
        <v>3600</v>
      </c>
    </row>
    <row r="325" spans="1:4">
      <c r="A325" s="1426" t="s">
        <v>392</v>
      </c>
      <c r="B325" s="1426" t="s">
        <v>407</v>
      </c>
      <c r="C325" s="1426" t="s">
        <v>709</v>
      </c>
      <c r="D325" s="1427">
        <v>4900</v>
      </c>
    </row>
    <row r="326" spans="1:4">
      <c r="A326" s="1426" t="s">
        <v>392</v>
      </c>
      <c r="B326" s="1426" t="s">
        <v>407</v>
      </c>
      <c r="C326" s="1426" t="s">
        <v>708</v>
      </c>
      <c r="D326" s="1427">
        <v>4600</v>
      </c>
    </row>
    <row r="327" spans="1:4">
      <c r="A327" s="1426" t="s">
        <v>392</v>
      </c>
      <c r="B327" s="1426" t="s">
        <v>407</v>
      </c>
      <c r="C327" s="1426" t="s">
        <v>707</v>
      </c>
      <c r="D327" s="1427">
        <v>3100</v>
      </c>
    </row>
    <row r="328" spans="1:4">
      <c r="A328" s="1426" t="s">
        <v>392</v>
      </c>
      <c r="B328" s="1426" t="s">
        <v>407</v>
      </c>
      <c r="C328" s="1426" t="s">
        <v>706</v>
      </c>
      <c r="D328" s="1427">
        <v>1900</v>
      </c>
    </row>
    <row r="329" spans="1:4">
      <c r="A329" s="1426" t="s">
        <v>392</v>
      </c>
      <c r="B329" s="1426" t="s">
        <v>407</v>
      </c>
      <c r="C329" s="1426" t="s">
        <v>705</v>
      </c>
      <c r="D329" s="1427">
        <v>1500</v>
      </c>
    </row>
    <row r="330" spans="1:4">
      <c r="A330" s="1426" t="s">
        <v>392</v>
      </c>
      <c r="B330" s="1426" t="s">
        <v>407</v>
      </c>
      <c r="C330" s="1426" t="s">
        <v>704</v>
      </c>
      <c r="D330" s="1427">
        <v>2200</v>
      </c>
    </row>
    <row r="331" spans="1:4">
      <c r="A331" s="1426" t="s">
        <v>392</v>
      </c>
      <c r="B331" s="1426" t="s">
        <v>407</v>
      </c>
      <c r="C331" s="1426" t="s">
        <v>703</v>
      </c>
      <c r="D331" s="1427">
        <v>2800</v>
      </c>
    </row>
    <row r="332" spans="1:4">
      <c r="A332" s="1426" t="s">
        <v>392</v>
      </c>
      <c r="B332" s="1426" t="s">
        <v>407</v>
      </c>
      <c r="C332" s="1426" t="s">
        <v>702</v>
      </c>
      <c r="D332" s="1427">
        <v>2500</v>
      </c>
    </row>
    <row r="333" spans="1:4">
      <c r="A333" s="1426" t="s">
        <v>392</v>
      </c>
      <c r="B333" s="1426" t="s">
        <v>406</v>
      </c>
      <c r="C333" s="1426" t="s">
        <v>712</v>
      </c>
      <c r="D333" s="1427">
        <v>1100</v>
      </c>
    </row>
    <row r="334" spans="1:4">
      <c r="A334" s="1426" t="s">
        <v>392</v>
      </c>
      <c r="B334" s="1426" t="s">
        <v>406</v>
      </c>
      <c r="C334" s="1426" t="s">
        <v>711</v>
      </c>
      <c r="D334" s="1431">
        <v>800</v>
      </c>
    </row>
    <row r="335" spans="1:4">
      <c r="A335" s="1426" t="s">
        <v>392</v>
      </c>
      <c r="B335" s="1426" t="s">
        <v>406</v>
      </c>
      <c r="C335" s="1426" t="s">
        <v>710</v>
      </c>
      <c r="D335" s="1427">
        <v>1100</v>
      </c>
    </row>
    <row r="336" spans="1:4">
      <c r="A336" s="1426" t="s">
        <v>392</v>
      </c>
      <c r="B336" s="1426" t="s">
        <v>406</v>
      </c>
      <c r="C336" s="1426" t="s">
        <v>709</v>
      </c>
      <c r="D336" s="1427">
        <v>1800</v>
      </c>
    </row>
    <row r="337" spans="1:4">
      <c r="A337" s="1426" t="s">
        <v>392</v>
      </c>
      <c r="B337" s="1426" t="s">
        <v>406</v>
      </c>
      <c r="C337" s="1426" t="s">
        <v>708</v>
      </c>
      <c r="D337" s="1427">
        <v>1300</v>
      </c>
    </row>
    <row r="338" spans="1:4">
      <c r="A338" s="1426" t="s">
        <v>392</v>
      </c>
      <c r="B338" s="1426" t="s">
        <v>406</v>
      </c>
      <c r="C338" s="1426" t="s">
        <v>707</v>
      </c>
      <c r="D338" s="1427">
        <v>1700</v>
      </c>
    </row>
    <row r="339" spans="1:4">
      <c r="A339" s="1426" t="s">
        <v>392</v>
      </c>
      <c r="B339" s="1426" t="s">
        <v>406</v>
      </c>
      <c r="C339" s="1426" t="s">
        <v>706</v>
      </c>
      <c r="D339" s="1431">
        <v>800</v>
      </c>
    </row>
    <row r="340" spans="1:4">
      <c r="A340" s="1426" t="s">
        <v>392</v>
      </c>
      <c r="B340" s="1426" t="s">
        <v>406</v>
      </c>
      <c r="C340" s="1426" t="s">
        <v>705</v>
      </c>
      <c r="D340" s="1431">
        <v>700</v>
      </c>
    </row>
    <row r="341" spans="1:4">
      <c r="A341" s="1426" t="s">
        <v>392</v>
      </c>
      <c r="B341" s="1426" t="s">
        <v>406</v>
      </c>
      <c r="C341" s="1426" t="s">
        <v>704</v>
      </c>
      <c r="D341" s="1431">
        <v>500</v>
      </c>
    </row>
    <row r="342" spans="1:4">
      <c r="A342" s="1426" t="s">
        <v>392</v>
      </c>
      <c r="B342" s="1426" t="s">
        <v>406</v>
      </c>
      <c r="C342" s="1426" t="s">
        <v>703</v>
      </c>
      <c r="D342" s="1431">
        <v>400</v>
      </c>
    </row>
    <row r="343" spans="1:4">
      <c r="A343" s="1426" t="s">
        <v>392</v>
      </c>
      <c r="B343" s="1426" t="s">
        <v>406</v>
      </c>
      <c r="C343" s="1426" t="s">
        <v>702</v>
      </c>
      <c r="D343" s="1431">
        <v>0</v>
      </c>
    </row>
    <row r="344" spans="1:4">
      <c r="A344" s="1426" t="s">
        <v>392</v>
      </c>
      <c r="B344" s="1426" t="s">
        <v>405</v>
      </c>
      <c r="C344" s="1426" t="s">
        <v>712</v>
      </c>
      <c r="D344" s="1431">
        <v>600</v>
      </c>
    </row>
    <row r="345" spans="1:4">
      <c r="A345" s="1426" t="s">
        <v>392</v>
      </c>
      <c r="B345" s="1426" t="s">
        <v>405</v>
      </c>
      <c r="C345" s="1426" t="s">
        <v>711</v>
      </c>
      <c r="D345" s="1431">
        <v>500</v>
      </c>
    </row>
    <row r="346" spans="1:4">
      <c r="A346" s="1426" t="s">
        <v>392</v>
      </c>
      <c r="B346" s="1426" t="s">
        <v>405</v>
      </c>
      <c r="C346" s="1426" t="s">
        <v>710</v>
      </c>
      <c r="D346" s="1431">
        <v>500</v>
      </c>
    </row>
    <row r="347" spans="1:4">
      <c r="A347" s="1426" t="s">
        <v>392</v>
      </c>
      <c r="B347" s="1426" t="s">
        <v>405</v>
      </c>
      <c r="C347" s="1426" t="s">
        <v>709</v>
      </c>
      <c r="D347" s="1431">
        <v>900</v>
      </c>
    </row>
    <row r="348" spans="1:4">
      <c r="A348" s="1426" t="s">
        <v>392</v>
      </c>
      <c r="B348" s="1426" t="s">
        <v>405</v>
      </c>
      <c r="C348" s="1426" t="s">
        <v>708</v>
      </c>
      <c r="D348" s="1427">
        <v>1100</v>
      </c>
    </row>
    <row r="349" spans="1:4">
      <c r="A349" s="1426" t="s">
        <v>392</v>
      </c>
      <c r="B349" s="1426" t="s">
        <v>405</v>
      </c>
      <c r="C349" s="1426" t="s">
        <v>707</v>
      </c>
      <c r="D349" s="1431">
        <v>600</v>
      </c>
    </row>
    <row r="350" spans="1:4">
      <c r="A350" s="1426" t="s">
        <v>392</v>
      </c>
      <c r="B350" s="1426" t="s">
        <v>405</v>
      </c>
      <c r="C350" s="1426" t="s">
        <v>706</v>
      </c>
      <c r="D350" s="1431">
        <v>300</v>
      </c>
    </row>
    <row r="351" spans="1:4">
      <c r="A351" s="1426" t="s">
        <v>392</v>
      </c>
      <c r="B351" s="1426" t="s">
        <v>405</v>
      </c>
      <c r="C351" s="1426" t="s">
        <v>705</v>
      </c>
      <c r="D351" s="1431">
        <v>300</v>
      </c>
    </row>
    <row r="352" spans="1:4">
      <c r="A352" s="1426" t="s">
        <v>392</v>
      </c>
      <c r="B352" s="1426" t="s">
        <v>405</v>
      </c>
      <c r="C352" s="1426" t="s">
        <v>704</v>
      </c>
      <c r="D352" s="1431">
        <v>300</v>
      </c>
    </row>
    <row r="353" spans="1:4">
      <c r="A353" s="1426" t="s">
        <v>392</v>
      </c>
      <c r="B353" s="1426" t="s">
        <v>405</v>
      </c>
      <c r="C353" s="1426" t="s">
        <v>703</v>
      </c>
      <c r="D353" s="1431">
        <v>300</v>
      </c>
    </row>
    <row r="354" spans="1:4">
      <c r="A354" s="1426" t="s">
        <v>392</v>
      </c>
      <c r="B354" s="1426" t="s">
        <v>405</v>
      </c>
      <c r="C354" s="1426" t="s">
        <v>702</v>
      </c>
      <c r="D354" s="1431">
        <v>300</v>
      </c>
    </row>
    <row r="355" spans="1:4">
      <c r="A355" s="1426" t="s">
        <v>399</v>
      </c>
      <c r="B355" s="1426" t="s">
        <v>404</v>
      </c>
      <c r="C355" s="1426" t="s">
        <v>712</v>
      </c>
      <c r="D355" s="1427">
        <v>4500</v>
      </c>
    </row>
    <row r="356" spans="1:4">
      <c r="A356" s="1426" t="s">
        <v>399</v>
      </c>
      <c r="B356" s="1426" t="s">
        <v>404</v>
      </c>
      <c r="C356" s="1426" t="s">
        <v>711</v>
      </c>
      <c r="D356" s="1427">
        <v>3600</v>
      </c>
    </row>
    <row r="357" spans="1:4">
      <c r="A357" s="1426" t="s">
        <v>399</v>
      </c>
      <c r="B357" s="1426" t="s">
        <v>404</v>
      </c>
      <c r="C357" s="1426" t="s">
        <v>710</v>
      </c>
      <c r="D357" s="1427">
        <v>4600</v>
      </c>
    </row>
    <row r="358" spans="1:4">
      <c r="A358" s="1426" t="s">
        <v>399</v>
      </c>
      <c r="B358" s="1426" t="s">
        <v>404</v>
      </c>
      <c r="C358" s="1426" t="s">
        <v>709</v>
      </c>
      <c r="D358" s="1427">
        <v>6500</v>
      </c>
    </row>
    <row r="359" spans="1:4">
      <c r="A359" s="1426" t="s">
        <v>399</v>
      </c>
      <c r="B359" s="1426" t="s">
        <v>404</v>
      </c>
      <c r="C359" s="1426" t="s">
        <v>708</v>
      </c>
      <c r="D359" s="1427">
        <v>6700</v>
      </c>
    </row>
    <row r="360" spans="1:4">
      <c r="A360" s="1426" t="s">
        <v>399</v>
      </c>
      <c r="B360" s="1426" t="s">
        <v>404</v>
      </c>
      <c r="C360" s="1426" t="s">
        <v>707</v>
      </c>
      <c r="D360" s="1427">
        <v>5500</v>
      </c>
    </row>
    <row r="361" spans="1:4">
      <c r="A361" s="1426" t="s">
        <v>399</v>
      </c>
      <c r="B361" s="1426" t="s">
        <v>404</v>
      </c>
      <c r="C361" s="1426" t="s">
        <v>706</v>
      </c>
      <c r="D361" s="1427">
        <v>4700</v>
      </c>
    </row>
    <row r="362" spans="1:4">
      <c r="A362" s="1426" t="s">
        <v>399</v>
      </c>
      <c r="B362" s="1426" t="s">
        <v>404</v>
      </c>
      <c r="C362" s="1426" t="s">
        <v>705</v>
      </c>
      <c r="D362" s="1427">
        <v>6000</v>
      </c>
    </row>
    <row r="363" spans="1:4">
      <c r="A363" s="1426" t="s">
        <v>399</v>
      </c>
      <c r="B363" s="1426" t="s">
        <v>404</v>
      </c>
      <c r="C363" s="1426" t="s">
        <v>704</v>
      </c>
      <c r="D363" s="1427">
        <v>2900</v>
      </c>
    </row>
    <row r="364" spans="1:4">
      <c r="A364" s="1426" t="s">
        <v>399</v>
      </c>
      <c r="B364" s="1426" t="s">
        <v>404</v>
      </c>
      <c r="C364" s="1426" t="s">
        <v>703</v>
      </c>
      <c r="D364" s="1427">
        <v>2900</v>
      </c>
    </row>
    <row r="365" spans="1:4">
      <c r="A365" s="1426" t="s">
        <v>399</v>
      </c>
      <c r="B365" s="1426" t="s">
        <v>404</v>
      </c>
      <c r="C365" s="1426" t="s">
        <v>702</v>
      </c>
      <c r="D365" s="1427">
        <v>2800</v>
      </c>
    </row>
    <row r="366" spans="1:4">
      <c r="A366" s="1426" t="s">
        <v>399</v>
      </c>
      <c r="B366" s="1426" t="s">
        <v>407</v>
      </c>
      <c r="C366" s="1426" t="s">
        <v>712</v>
      </c>
      <c r="D366" s="1427">
        <v>34000</v>
      </c>
    </row>
    <row r="367" spans="1:4">
      <c r="A367" s="1426" t="s">
        <v>399</v>
      </c>
      <c r="B367" s="1426" t="s">
        <v>407</v>
      </c>
      <c r="C367" s="1426" t="s">
        <v>711</v>
      </c>
      <c r="D367" s="1427">
        <v>32000</v>
      </c>
    </row>
    <row r="368" spans="1:4">
      <c r="A368" s="1426" t="s">
        <v>399</v>
      </c>
      <c r="B368" s="1426" t="s">
        <v>407</v>
      </c>
      <c r="C368" s="1426" t="s">
        <v>710</v>
      </c>
      <c r="D368" s="1427">
        <v>29600</v>
      </c>
    </row>
    <row r="369" spans="1:4">
      <c r="A369" s="1426" t="s">
        <v>399</v>
      </c>
      <c r="B369" s="1426" t="s">
        <v>407</v>
      </c>
      <c r="C369" s="1426" t="s">
        <v>709</v>
      </c>
      <c r="D369" s="1427">
        <v>25700</v>
      </c>
    </row>
    <row r="370" spans="1:4">
      <c r="A370" s="1426" t="s">
        <v>399</v>
      </c>
      <c r="B370" s="1426" t="s">
        <v>407</v>
      </c>
      <c r="C370" s="1426" t="s">
        <v>708</v>
      </c>
      <c r="D370" s="1427">
        <v>20500</v>
      </c>
    </row>
    <row r="371" spans="1:4">
      <c r="A371" s="1426" t="s">
        <v>399</v>
      </c>
      <c r="B371" s="1426" t="s">
        <v>407</v>
      </c>
      <c r="C371" s="1426" t="s">
        <v>707</v>
      </c>
      <c r="D371" s="1427">
        <v>12500</v>
      </c>
    </row>
    <row r="372" spans="1:4">
      <c r="A372" s="1426" t="s">
        <v>399</v>
      </c>
      <c r="B372" s="1426" t="s">
        <v>407</v>
      </c>
      <c r="C372" s="1426" t="s">
        <v>706</v>
      </c>
      <c r="D372" s="1427">
        <v>10900</v>
      </c>
    </row>
    <row r="373" spans="1:4">
      <c r="A373" s="1426" t="s">
        <v>399</v>
      </c>
      <c r="B373" s="1426" t="s">
        <v>407</v>
      </c>
      <c r="C373" s="1426" t="s">
        <v>705</v>
      </c>
      <c r="D373" s="1427">
        <v>9900</v>
      </c>
    </row>
    <row r="374" spans="1:4">
      <c r="A374" s="1426" t="s">
        <v>399</v>
      </c>
      <c r="B374" s="1426" t="s">
        <v>407</v>
      </c>
      <c r="C374" s="1426" t="s">
        <v>704</v>
      </c>
      <c r="D374" s="1427">
        <v>6700</v>
      </c>
    </row>
    <row r="375" spans="1:4">
      <c r="A375" s="1426" t="s">
        <v>399</v>
      </c>
      <c r="B375" s="1426" t="s">
        <v>407</v>
      </c>
      <c r="C375" s="1426" t="s">
        <v>703</v>
      </c>
      <c r="D375" s="1427">
        <v>5600</v>
      </c>
    </row>
    <row r="376" spans="1:4">
      <c r="A376" s="1426" t="s">
        <v>399</v>
      </c>
      <c r="B376" s="1426" t="s">
        <v>407</v>
      </c>
      <c r="C376" s="1426" t="s">
        <v>702</v>
      </c>
      <c r="D376" s="1427">
        <v>3600</v>
      </c>
    </row>
    <row r="377" spans="1:4">
      <c r="A377" s="1426" t="s">
        <v>399</v>
      </c>
      <c r="B377" s="1426" t="s">
        <v>406</v>
      </c>
      <c r="C377" s="1426" t="s">
        <v>712</v>
      </c>
      <c r="D377" s="1431">
        <v>800</v>
      </c>
    </row>
    <row r="378" spans="1:4">
      <c r="A378" s="1426" t="s">
        <v>399</v>
      </c>
      <c r="B378" s="1426" t="s">
        <v>406</v>
      </c>
      <c r="C378" s="1426" t="s">
        <v>711</v>
      </c>
      <c r="D378" s="1431">
        <v>800</v>
      </c>
    </row>
    <row r="379" spans="1:4">
      <c r="A379" s="1426" t="s">
        <v>399</v>
      </c>
      <c r="B379" s="1426" t="s">
        <v>406</v>
      </c>
      <c r="C379" s="1426" t="s">
        <v>710</v>
      </c>
      <c r="D379" s="1431">
        <v>500</v>
      </c>
    </row>
    <row r="380" spans="1:4">
      <c r="A380" s="1426" t="s">
        <v>399</v>
      </c>
      <c r="B380" s="1426" t="s">
        <v>406</v>
      </c>
      <c r="C380" s="1426" t="s">
        <v>709</v>
      </c>
      <c r="D380" s="1431">
        <v>700</v>
      </c>
    </row>
    <row r="381" spans="1:4">
      <c r="A381" s="1426" t="s">
        <v>399</v>
      </c>
      <c r="B381" s="1426" t="s">
        <v>406</v>
      </c>
      <c r="C381" s="1426" t="s">
        <v>708</v>
      </c>
      <c r="D381" s="1431">
        <v>200</v>
      </c>
    </row>
    <row r="382" spans="1:4">
      <c r="A382" s="1426" t="s">
        <v>399</v>
      </c>
      <c r="B382" s="1426" t="s">
        <v>406</v>
      </c>
      <c r="C382" s="1426" t="s">
        <v>707</v>
      </c>
      <c r="D382" s="1431">
        <v>300</v>
      </c>
    </row>
    <row r="383" spans="1:4">
      <c r="A383" s="1426" t="s">
        <v>399</v>
      </c>
      <c r="B383" s="1426" t="s">
        <v>406</v>
      </c>
      <c r="C383" s="1426" t="s">
        <v>706</v>
      </c>
      <c r="D383" s="1431">
        <v>200</v>
      </c>
    </row>
    <row r="384" spans="1:4">
      <c r="A384" s="1426" t="s">
        <v>399</v>
      </c>
      <c r="B384" s="1426" t="s">
        <v>406</v>
      </c>
      <c r="C384" s="1426" t="s">
        <v>705</v>
      </c>
      <c r="D384" s="1431">
        <v>200</v>
      </c>
    </row>
    <row r="385" spans="1:4">
      <c r="A385" s="1426" t="s">
        <v>399</v>
      </c>
      <c r="B385" s="1426" t="s">
        <v>406</v>
      </c>
      <c r="C385" s="1426" t="s">
        <v>704</v>
      </c>
      <c r="D385" s="1431">
        <v>200</v>
      </c>
    </row>
    <row r="386" spans="1:4">
      <c r="A386" s="1426" t="s">
        <v>399</v>
      </c>
      <c r="B386" s="1426" t="s">
        <v>406</v>
      </c>
      <c r="C386" s="1426" t="s">
        <v>703</v>
      </c>
      <c r="D386" s="1431">
        <v>200</v>
      </c>
    </row>
    <row r="387" spans="1:4">
      <c r="A387" s="1426" t="s">
        <v>399</v>
      </c>
      <c r="B387" s="1426" t="s">
        <v>406</v>
      </c>
      <c r="C387" s="1426" t="s">
        <v>702</v>
      </c>
      <c r="D387" s="1431">
        <v>0</v>
      </c>
    </row>
    <row r="388" spans="1:4">
      <c r="A388" s="1426" t="s">
        <v>399</v>
      </c>
      <c r="B388" s="1426" t="s">
        <v>405</v>
      </c>
      <c r="C388" s="1426" t="s">
        <v>712</v>
      </c>
      <c r="D388" s="1427">
        <v>5900</v>
      </c>
    </row>
    <row r="389" spans="1:4">
      <c r="A389" s="1426" t="s">
        <v>399</v>
      </c>
      <c r="B389" s="1426" t="s">
        <v>405</v>
      </c>
      <c r="C389" s="1426" t="s">
        <v>711</v>
      </c>
      <c r="D389" s="1427">
        <v>5400</v>
      </c>
    </row>
    <row r="390" spans="1:4">
      <c r="A390" s="1426" t="s">
        <v>399</v>
      </c>
      <c r="B390" s="1426" t="s">
        <v>405</v>
      </c>
      <c r="C390" s="1426" t="s">
        <v>710</v>
      </c>
      <c r="D390" s="1427">
        <v>4400</v>
      </c>
    </row>
    <row r="391" spans="1:4">
      <c r="A391" s="1426" t="s">
        <v>399</v>
      </c>
      <c r="B391" s="1426" t="s">
        <v>405</v>
      </c>
      <c r="C391" s="1426" t="s">
        <v>709</v>
      </c>
      <c r="D391" s="1427">
        <v>7400</v>
      </c>
    </row>
    <row r="392" spans="1:4">
      <c r="A392" s="1426" t="s">
        <v>399</v>
      </c>
      <c r="B392" s="1426" t="s">
        <v>405</v>
      </c>
      <c r="C392" s="1426" t="s">
        <v>708</v>
      </c>
      <c r="D392" s="1427">
        <v>7800</v>
      </c>
    </row>
    <row r="393" spans="1:4">
      <c r="A393" s="1426" t="s">
        <v>399</v>
      </c>
      <c r="B393" s="1426" t="s">
        <v>405</v>
      </c>
      <c r="C393" s="1426" t="s">
        <v>707</v>
      </c>
      <c r="D393" s="1427">
        <v>5400</v>
      </c>
    </row>
    <row r="394" spans="1:4">
      <c r="A394" s="1426" t="s">
        <v>399</v>
      </c>
      <c r="B394" s="1426" t="s">
        <v>405</v>
      </c>
      <c r="C394" s="1426" t="s">
        <v>706</v>
      </c>
      <c r="D394" s="1427">
        <v>5300</v>
      </c>
    </row>
    <row r="395" spans="1:4">
      <c r="A395" s="1426" t="s">
        <v>399</v>
      </c>
      <c r="B395" s="1426" t="s">
        <v>405</v>
      </c>
      <c r="C395" s="1426" t="s">
        <v>705</v>
      </c>
      <c r="D395" s="1427">
        <v>5200</v>
      </c>
    </row>
    <row r="396" spans="1:4">
      <c r="A396" s="1426" t="s">
        <v>399</v>
      </c>
      <c r="B396" s="1426" t="s">
        <v>405</v>
      </c>
      <c r="C396" s="1426" t="s">
        <v>704</v>
      </c>
      <c r="D396" s="1427">
        <v>6700</v>
      </c>
    </row>
    <row r="397" spans="1:4">
      <c r="A397" s="1426" t="s">
        <v>399</v>
      </c>
      <c r="B397" s="1426" t="s">
        <v>405</v>
      </c>
      <c r="C397" s="1426" t="s">
        <v>703</v>
      </c>
      <c r="D397" s="1427">
        <v>6200</v>
      </c>
    </row>
    <row r="398" spans="1:4">
      <c r="A398" s="1426" t="s">
        <v>399</v>
      </c>
      <c r="B398" s="1426" t="s">
        <v>405</v>
      </c>
      <c r="C398" s="1426" t="s">
        <v>702</v>
      </c>
      <c r="D398" s="1427">
        <v>5200</v>
      </c>
    </row>
    <row r="399" spans="1:4">
      <c r="A399" s="1426" t="s">
        <v>389</v>
      </c>
      <c r="B399" s="1426" t="s">
        <v>404</v>
      </c>
      <c r="C399" s="1426" t="s">
        <v>712</v>
      </c>
      <c r="D399" s="1427">
        <v>9100</v>
      </c>
    </row>
    <row r="400" spans="1:4">
      <c r="A400" s="1426" t="s">
        <v>389</v>
      </c>
      <c r="B400" s="1426" t="s">
        <v>404</v>
      </c>
      <c r="C400" s="1426" t="s">
        <v>711</v>
      </c>
      <c r="D400" s="1427">
        <v>8000</v>
      </c>
    </row>
    <row r="401" spans="1:4">
      <c r="A401" s="1426" t="s">
        <v>389</v>
      </c>
      <c r="B401" s="1426" t="s">
        <v>404</v>
      </c>
      <c r="C401" s="1426" t="s">
        <v>710</v>
      </c>
      <c r="D401" s="1427">
        <v>7600</v>
      </c>
    </row>
    <row r="402" spans="1:4">
      <c r="A402" s="1426" t="s">
        <v>389</v>
      </c>
      <c r="B402" s="1426" t="s">
        <v>404</v>
      </c>
      <c r="C402" s="1426" t="s">
        <v>709</v>
      </c>
      <c r="D402" s="1427">
        <v>9500</v>
      </c>
    </row>
    <row r="403" spans="1:4">
      <c r="A403" s="1426" t="s">
        <v>389</v>
      </c>
      <c r="B403" s="1426" t="s">
        <v>404</v>
      </c>
      <c r="C403" s="1426" t="s">
        <v>708</v>
      </c>
      <c r="D403" s="1427">
        <v>7500</v>
      </c>
    </row>
    <row r="404" spans="1:4">
      <c r="A404" s="1426" t="s">
        <v>389</v>
      </c>
      <c r="B404" s="1426" t="s">
        <v>404</v>
      </c>
      <c r="C404" s="1426" t="s">
        <v>707</v>
      </c>
      <c r="D404" s="1427">
        <v>6200</v>
      </c>
    </row>
    <row r="405" spans="1:4">
      <c r="A405" s="1426" t="s">
        <v>389</v>
      </c>
      <c r="B405" s="1426" t="s">
        <v>404</v>
      </c>
      <c r="C405" s="1426" t="s">
        <v>706</v>
      </c>
      <c r="D405" s="1427">
        <v>5000</v>
      </c>
    </row>
    <row r="406" spans="1:4">
      <c r="A406" s="1426" t="s">
        <v>389</v>
      </c>
      <c r="B406" s="1426" t="s">
        <v>404</v>
      </c>
      <c r="C406" s="1426" t="s">
        <v>705</v>
      </c>
      <c r="D406" s="1427">
        <v>6000</v>
      </c>
    </row>
    <row r="407" spans="1:4">
      <c r="A407" s="1426" t="s">
        <v>389</v>
      </c>
      <c r="B407" s="1426" t="s">
        <v>404</v>
      </c>
      <c r="C407" s="1426" t="s">
        <v>704</v>
      </c>
      <c r="D407" s="1427">
        <v>5500</v>
      </c>
    </row>
    <row r="408" spans="1:4">
      <c r="A408" s="1426" t="s">
        <v>389</v>
      </c>
      <c r="B408" s="1426" t="s">
        <v>404</v>
      </c>
      <c r="C408" s="1426" t="s">
        <v>703</v>
      </c>
      <c r="D408" s="1427">
        <v>5300</v>
      </c>
    </row>
    <row r="409" spans="1:4">
      <c r="A409" s="1426" t="s">
        <v>389</v>
      </c>
      <c r="B409" s="1426" t="s">
        <v>404</v>
      </c>
      <c r="C409" s="1426" t="s">
        <v>702</v>
      </c>
      <c r="D409" s="1427">
        <v>4300</v>
      </c>
    </row>
    <row r="410" spans="1:4">
      <c r="A410" s="1426" t="s">
        <v>389</v>
      </c>
      <c r="B410" s="1426" t="s">
        <v>407</v>
      </c>
      <c r="C410" s="1426" t="s">
        <v>712</v>
      </c>
      <c r="D410" s="1427">
        <v>9200</v>
      </c>
    </row>
    <row r="411" spans="1:4">
      <c r="A411" s="1426" t="s">
        <v>389</v>
      </c>
      <c r="B411" s="1426" t="s">
        <v>407</v>
      </c>
      <c r="C411" s="1426" t="s">
        <v>711</v>
      </c>
      <c r="D411" s="1427">
        <v>6500</v>
      </c>
    </row>
    <row r="412" spans="1:4">
      <c r="A412" s="1426" t="s">
        <v>389</v>
      </c>
      <c r="B412" s="1426" t="s">
        <v>407</v>
      </c>
      <c r="C412" s="1426" t="s">
        <v>710</v>
      </c>
      <c r="D412" s="1427">
        <v>4400</v>
      </c>
    </row>
    <row r="413" spans="1:4">
      <c r="A413" s="1426" t="s">
        <v>389</v>
      </c>
      <c r="B413" s="1426" t="s">
        <v>407</v>
      </c>
      <c r="C413" s="1426" t="s">
        <v>709</v>
      </c>
      <c r="D413" s="1427">
        <v>3200</v>
      </c>
    </row>
    <row r="414" spans="1:4">
      <c r="A414" s="1426" t="s">
        <v>389</v>
      </c>
      <c r="B414" s="1426" t="s">
        <v>407</v>
      </c>
      <c r="C414" s="1426" t="s">
        <v>708</v>
      </c>
      <c r="D414" s="1427">
        <v>2600</v>
      </c>
    </row>
    <row r="415" spans="1:4">
      <c r="A415" s="1426" t="s">
        <v>389</v>
      </c>
      <c r="B415" s="1426" t="s">
        <v>407</v>
      </c>
      <c r="C415" s="1426" t="s">
        <v>707</v>
      </c>
      <c r="D415" s="1427">
        <v>2000</v>
      </c>
    </row>
    <row r="416" spans="1:4">
      <c r="A416" s="1426" t="s">
        <v>389</v>
      </c>
      <c r="B416" s="1426" t="s">
        <v>407</v>
      </c>
      <c r="C416" s="1426" t="s">
        <v>706</v>
      </c>
      <c r="D416" s="1427">
        <v>2000</v>
      </c>
    </row>
    <row r="417" spans="1:4">
      <c r="A417" s="1426" t="s">
        <v>389</v>
      </c>
      <c r="B417" s="1426" t="s">
        <v>407</v>
      </c>
      <c r="C417" s="1426" t="s">
        <v>705</v>
      </c>
      <c r="D417" s="1427">
        <v>1700</v>
      </c>
    </row>
    <row r="418" spans="1:4">
      <c r="A418" s="1426" t="s">
        <v>389</v>
      </c>
      <c r="B418" s="1426" t="s">
        <v>407</v>
      </c>
      <c r="C418" s="1426" t="s">
        <v>704</v>
      </c>
      <c r="D418" s="1427">
        <v>2100</v>
      </c>
    </row>
    <row r="419" spans="1:4">
      <c r="A419" s="1426" t="s">
        <v>389</v>
      </c>
      <c r="B419" s="1426" t="s">
        <v>407</v>
      </c>
      <c r="C419" s="1426" t="s">
        <v>703</v>
      </c>
      <c r="D419" s="1427">
        <v>2900</v>
      </c>
    </row>
    <row r="420" spans="1:4">
      <c r="A420" s="1426" t="s">
        <v>389</v>
      </c>
      <c r="B420" s="1426" t="s">
        <v>407</v>
      </c>
      <c r="C420" s="1426" t="s">
        <v>702</v>
      </c>
      <c r="D420" s="1427">
        <v>2300</v>
      </c>
    </row>
    <row r="421" spans="1:4">
      <c r="A421" s="1426" t="s">
        <v>389</v>
      </c>
      <c r="B421" s="1426" t="s">
        <v>406</v>
      </c>
      <c r="C421" s="1426" t="s">
        <v>712</v>
      </c>
      <c r="D421" s="1427">
        <v>2400</v>
      </c>
    </row>
    <row r="422" spans="1:4">
      <c r="A422" s="1426" t="s">
        <v>389</v>
      </c>
      <c r="B422" s="1426" t="s">
        <v>406</v>
      </c>
      <c r="C422" s="1426" t="s">
        <v>711</v>
      </c>
      <c r="D422" s="1427">
        <v>1900</v>
      </c>
    </row>
    <row r="423" spans="1:4">
      <c r="A423" s="1426" t="s">
        <v>389</v>
      </c>
      <c r="B423" s="1426" t="s">
        <v>406</v>
      </c>
      <c r="C423" s="1426" t="s">
        <v>710</v>
      </c>
      <c r="D423" s="1427">
        <v>1700</v>
      </c>
    </row>
    <row r="424" spans="1:4">
      <c r="A424" s="1426" t="s">
        <v>389</v>
      </c>
      <c r="B424" s="1426" t="s">
        <v>406</v>
      </c>
      <c r="C424" s="1426" t="s">
        <v>709</v>
      </c>
      <c r="D424" s="1427">
        <v>1300</v>
      </c>
    </row>
    <row r="425" spans="1:4">
      <c r="A425" s="1426" t="s">
        <v>389</v>
      </c>
      <c r="B425" s="1426" t="s">
        <v>406</v>
      </c>
      <c r="C425" s="1426" t="s">
        <v>708</v>
      </c>
      <c r="D425" s="1431">
        <v>900</v>
      </c>
    </row>
    <row r="426" spans="1:4">
      <c r="A426" s="1426" t="s">
        <v>389</v>
      </c>
      <c r="B426" s="1426" t="s">
        <v>406</v>
      </c>
      <c r="C426" s="1426" t="s">
        <v>707</v>
      </c>
      <c r="D426" s="1431">
        <v>800</v>
      </c>
    </row>
    <row r="427" spans="1:4">
      <c r="A427" s="1426" t="s">
        <v>389</v>
      </c>
      <c r="B427" s="1426" t="s">
        <v>406</v>
      </c>
      <c r="C427" s="1426" t="s">
        <v>706</v>
      </c>
      <c r="D427" s="1431">
        <v>800</v>
      </c>
    </row>
    <row r="428" spans="1:4">
      <c r="A428" s="1426" t="s">
        <v>389</v>
      </c>
      <c r="B428" s="1426" t="s">
        <v>406</v>
      </c>
      <c r="C428" s="1426" t="s">
        <v>705</v>
      </c>
      <c r="D428" s="1431">
        <v>700</v>
      </c>
    </row>
    <row r="429" spans="1:4">
      <c r="A429" s="1426" t="s">
        <v>389</v>
      </c>
      <c r="B429" s="1426" t="s">
        <v>406</v>
      </c>
      <c r="C429" s="1426" t="s">
        <v>704</v>
      </c>
      <c r="D429" s="1431">
        <v>500</v>
      </c>
    </row>
    <row r="430" spans="1:4">
      <c r="A430" s="1426" t="s">
        <v>389</v>
      </c>
      <c r="B430" s="1426" t="s">
        <v>406</v>
      </c>
      <c r="C430" s="1426" t="s">
        <v>703</v>
      </c>
      <c r="D430" s="1431">
        <v>300</v>
      </c>
    </row>
    <row r="431" spans="1:4">
      <c r="A431" s="1426" t="s">
        <v>389</v>
      </c>
      <c r="B431" s="1426" t="s">
        <v>406</v>
      </c>
      <c r="C431" s="1426" t="s">
        <v>702</v>
      </c>
      <c r="D431" s="1431">
        <v>0</v>
      </c>
    </row>
    <row r="432" spans="1:4">
      <c r="A432" s="1426" t="s">
        <v>389</v>
      </c>
      <c r="B432" s="1426" t="s">
        <v>405</v>
      </c>
      <c r="C432" s="1426" t="s">
        <v>712</v>
      </c>
      <c r="D432" s="1427">
        <v>2100</v>
      </c>
    </row>
    <row r="433" spans="1:4">
      <c r="A433" s="1426" t="s">
        <v>389</v>
      </c>
      <c r="B433" s="1426" t="s">
        <v>405</v>
      </c>
      <c r="C433" s="1426" t="s">
        <v>711</v>
      </c>
      <c r="D433" s="1427">
        <v>1500</v>
      </c>
    </row>
    <row r="434" spans="1:4">
      <c r="A434" s="1426" t="s">
        <v>389</v>
      </c>
      <c r="B434" s="1426" t="s">
        <v>405</v>
      </c>
      <c r="C434" s="1426" t="s">
        <v>710</v>
      </c>
      <c r="D434" s="1427">
        <v>1500</v>
      </c>
    </row>
    <row r="435" spans="1:4">
      <c r="A435" s="1426" t="s">
        <v>389</v>
      </c>
      <c r="B435" s="1426" t="s">
        <v>405</v>
      </c>
      <c r="C435" s="1426" t="s">
        <v>709</v>
      </c>
      <c r="D435" s="1427">
        <v>1900</v>
      </c>
    </row>
    <row r="436" spans="1:4">
      <c r="A436" s="1426" t="s">
        <v>389</v>
      </c>
      <c r="B436" s="1426" t="s">
        <v>405</v>
      </c>
      <c r="C436" s="1426" t="s">
        <v>708</v>
      </c>
      <c r="D436" s="1427">
        <v>1500</v>
      </c>
    </row>
    <row r="437" spans="1:4">
      <c r="A437" s="1426" t="s">
        <v>389</v>
      </c>
      <c r="B437" s="1426" t="s">
        <v>405</v>
      </c>
      <c r="C437" s="1426" t="s">
        <v>707</v>
      </c>
      <c r="D437" s="1431">
        <v>900</v>
      </c>
    </row>
    <row r="438" spans="1:4">
      <c r="A438" s="1426" t="s">
        <v>389</v>
      </c>
      <c r="B438" s="1426" t="s">
        <v>405</v>
      </c>
      <c r="C438" s="1426" t="s">
        <v>706</v>
      </c>
      <c r="D438" s="1431">
        <v>700</v>
      </c>
    </row>
    <row r="439" spans="1:4">
      <c r="A439" s="1426" t="s">
        <v>389</v>
      </c>
      <c r="B439" s="1426" t="s">
        <v>405</v>
      </c>
      <c r="C439" s="1426" t="s">
        <v>705</v>
      </c>
      <c r="D439" s="1431">
        <v>600</v>
      </c>
    </row>
    <row r="440" spans="1:4">
      <c r="A440" s="1426" t="s">
        <v>389</v>
      </c>
      <c r="B440" s="1426" t="s">
        <v>405</v>
      </c>
      <c r="C440" s="1426" t="s">
        <v>704</v>
      </c>
      <c r="D440" s="1431">
        <v>600</v>
      </c>
    </row>
    <row r="441" spans="1:4">
      <c r="A441" s="1426" t="s">
        <v>389</v>
      </c>
      <c r="B441" s="1426" t="s">
        <v>405</v>
      </c>
      <c r="C441" s="1426" t="s">
        <v>703</v>
      </c>
      <c r="D441" s="1431">
        <v>700</v>
      </c>
    </row>
    <row r="442" spans="1:4">
      <c r="A442" s="1426" t="s">
        <v>389</v>
      </c>
      <c r="B442" s="1426" t="s">
        <v>405</v>
      </c>
      <c r="C442" s="1426" t="s">
        <v>702</v>
      </c>
      <c r="D442" s="1431">
        <v>800</v>
      </c>
    </row>
    <row r="443" spans="1:4">
      <c r="A443" s="1426" t="s">
        <v>391</v>
      </c>
      <c r="B443" s="1426" t="s">
        <v>404</v>
      </c>
      <c r="C443" s="1426" t="s">
        <v>712</v>
      </c>
      <c r="D443" s="1427">
        <v>10400</v>
      </c>
    </row>
    <row r="444" spans="1:4">
      <c r="A444" s="1426" t="s">
        <v>391</v>
      </c>
      <c r="B444" s="1426" t="s">
        <v>404</v>
      </c>
      <c r="C444" s="1426" t="s">
        <v>711</v>
      </c>
      <c r="D444" s="1427">
        <v>11000</v>
      </c>
    </row>
    <row r="445" spans="1:4">
      <c r="A445" s="1426" t="s">
        <v>391</v>
      </c>
      <c r="B445" s="1426" t="s">
        <v>404</v>
      </c>
      <c r="C445" s="1426" t="s">
        <v>710</v>
      </c>
      <c r="D445" s="1427">
        <v>11500</v>
      </c>
    </row>
    <row r="446" spans="1:4">
      <c r="A446" s="1426" t="s">
        <v>391</v>
      </c>
      <c r="B446" s="1426" t="s">
        <v>404</v>
      </c>
      <c r="C446" s="1426" t="s">
        <v>709</v>
      </c>
      <c r="D446" s="1427">
        <v>12800</v>
      </c>
    </row>
    <row r="447" spans="1:4">
      <c r="A447" s="1426" t="s">
        <v>391</v>
      </c>
      <c r="B447" s="1426" t="s">
        <v>404</v>
      </c>
      <c r="C447" s="1426" t="s">
        <v>708</v>
      </c>
      <c r="D447" s="1427">
        <v>10900</v>
      </c>
    </row>
    <row r="448" spans="1:4">
      <c r="A448" s="1426" t="s">
        <v>391</v>
      </c>
      <c r="B448" s="1426" t="s">
        <v>404</v>
      </c>
      <c r="C448" s="1426" t="s">
        <v>707</v>
      </c>
      <c r="D448" s="1427">
        <v>11500</v>
      </c>
    </row>
    <row r="449" spans="1:4">
      <c r="A449" s="1426" t="s">
        <v>391</v>
      </c>
      <c r="B449" s="1426" t="s">
        <v>404</v>
      </c>
      <c r="C449" s="1426" t="s">
        <v>706</v>
      </c>
      <c r="D449" s="1427">
        <v>10300</v>
      </c>
    </row>
    <row r="450" spans="1:4">
      <c r="A450" s="1426" t="s">
        <v>391</v>
      </c>
      <c r="B450" s="1426" t="s">
        <v>404</v>
      </c>
      <c r="C450" s="1426" t="s">
        <v>705</v>
      </c>
      <c r="D450" s="1427">
        <v>7900</v>
      </c>
    </row>
    <row r="451" spans="1:4">
      <c r="A451" s="1426" t="s">
        <v>391</v>
      </c>
      <c r="B451" s="1426" t="s">
        <v>404</v>
      </c>
      <c r="C451" s="1426" t="s">
        <v>704</v>
      </c>
      <c r="D451" s="1427">
        <v>6300</v>
      </c>
    </row>
    <row r="452" spans="1:4">
      <c r="A452" s="1426" t="s">
        <v>391</v>
      </c>
      <c r="B452" s="1426" t="s">
        <v>404</v>
      </c>
      <c r="C452" s="1426" t="s">
        <v>703</v>
      </c>
      <c r="D452" s="1427">
        <v>4400</v>
      </c>
    </row>
    <row r="453" spans="1:4">
      <c r="A453" s="1426" t="s">
        <v>391</v>
      </c>
      <c r="B453" s="1426" t="s">
        <v>404</v>
      </c>
      <c r="C453" s="1426" t="s">
        <v>702</v>
      </c>
      <c r="D453" s="1427">
        <v>3200</v>
      </c>
    </row>
    <row r="454" spans="1:4">
      <c r="A454" s="1426" t="s">
        <v>391</v>
      </c>
      <c r="B454" s="1426" t="s">
        <v>407</v>
      </c>
      <c r="C454" s="1426" t="s">
        <v>712</v>
      </c>
      <c r="D454" s="1427">
        <v>5400</v>
      </c>
    </row>
    <row r="455" spans="1:4">
      <c r="A455" s="1426" t="s">
        <v>391</v>
      </c>
      <c r="B455" s="1426" t="s">
        <v>407</v>
      </c>
      <c r="C455" s="1426" t="s">
        <v>711</v>
      </c>
      <c r="D455" s="1427">
        <v>6200</v>
      </c>
    </row>
    <row r="456" spans="1:4">
      <c r="A456" s="1426" t="s">
        <v>391</v>
      </c>
      <c r="B456" s="1426" t="s">
        <v>407</v>
      </c>
      <c r="C456" s="1426" t="s">
        <v>710</v>
      </c>
      <c r="D456" s="1427">
        <v>5600</v>
      </c>
    </row>
    <row r="457" spans="1:4">
      <c r="A457" s="1426" t="s">
        <v>391</v>
      </c>
      <c r="B457" s="1426" t="s">
        <v>407</v>
      </c>
      <c r="C457" s="1426" t="s">
        <v>709</v>
      </c>
      <c r="D457" s="1427">
        <v>5800</v>
      </c>
    </row>
    <row r="458" spans="1:4">
      <c r="A458" s="1426" t="s">
        <v>391</v>
      </c>
      <c r="B458" s="1426" t="s">
        <v>407</v>
      </c>
      <c r="C458" s="1426" t="s">
        <v>708</v>
      </c>
      <c r="D458" s="1427">
        <v>5500</v>
      </c>
    </row>
    <row r="459" spans="1:4">
      <c r="A459" s="1426" t="s">
        <v>391</v>
      </c>
      <c r="B459" s="1426" t="s">
        <v>407</v>
      </c>
      <c r="C459" s="1426" t="s">
        <v>707</v>
      </c>
      <c r="D459" s="1427">
        <v>5400</v>
      </c>
    </row>
    <row r="460" spans="1:4">
      <c r="A460" s="1426" t="s">
        <v>391</v>
      </c>
      <c r="B460" s="1426" t="s">
        <v>407</v>
      </c>
      <c r="C460" s="1426" t="s">
        <v>706</v>
      </c>
      <c r="D460" s="1427">
        <v>4100</v>
      </c>
    </row>
    <row r="461" spans="1:4">
      <c r="A461" s="1426" t="s">
        <v>391</v>
      </c>
      <c r="B461" s="1426" t="s">
        <v>407</v>
      </c>
      <c r="C461" s="1426" t="s">
        <v>705</v>
      </c>
      <c r="D461" s="1427">
        <v>3400</v>
      </c>
    </row>
    <row r="462" spans="1:4">
      <c r="A462" s="1426" t="s">
        <v>391</v>
      </c>
      <c r="B462" s="1426" t="s">
        <v>407</v>
      </c>
      <c r="C462" s="1426" t="s">
        <v>704</v>
      </c>
      <c r="D462" s="1427">
        <v>3300</v>
      </c>
    </row>
    <row r="463" spans="1:4">
      <c r="A463" s="1426" t="s">
        <v>391</v>
      </c>
      <c r="B463" s="1426" t="s">
        <v>407</v>
      </c>
      <c r="C463" s="1426" t="s">
        <v>703</v>
      </c>
      <c r="D463" s="1427">
        <v>3000</v>
      </c>
    </row>
    <row r="464" spans="1:4">
      <c r="A464" s="1426" t="s">
        <v>391</v>
      </c>
      <c r="B464" s="1426" t="s">
        <v>407</v>
      </c>
      <c r="C464" s="1426" t="s">
        <v>702</v>
      </c>
      <c r="D464" s="1427">
        <v>1600</v>
      </c>
    </row>
    <row r="465" spans="1:4">
      <c r="A465" s="1426" t="s">
        <v>391</v>
      </c>
      <c r="B465" s="1426" t="s">
        <v>406</v>
      </c>
      <c r="C465" s="1426" t="s">
        <v>712</v>
      </c>
      <c r="D465" s="1431">
        <v>400</v>
      </c>
    </row>
    <row r="466" spans="1:4">
      <c r="A466" s="1426" t="s">
        <v>391</v>
      </c>
      <c r="B466" s="1426" t="s">
        <v>406</v>
      </c>
      <c r="C466" s="1426" t="s">
        <v>711</v>
      </c>
      <c r="D466" s="1431">
        <v>0</v>
      </c>
    </row>
    <row r="467" spans="1:4">
      <c r="A467" s="1426" t="s">
        <v>391</v>
      </c>
      <c r="B467" s="1426" t="s">
        <v>406</v>
      </c>
      <c r="C467" s="1426" t="s">
        <v>710</v>
      </c>
      <c r="D467" s="1431">
        <v>0</v>
      </c>
    </row>
    <row r="468" spans="1:4">
      <c r="A468" s="1426" t="s">
        <v>391</v>
      </c>
      <c r="B468" s="1426" t="s">
        <v>406</v>
      </c>
      <c r="C468" s="1426" t="s">
        <v>709</v>
      </c>
      <c r="D468" s="1431">
        <v>800</v>
      </c>
    </row>
    <row r="469" spans="1:4">
      <c r="A469" s="1426" t="s">
        <v>391</v>
      </c>
      <c r="B469" s="1426" t="s">
        <v>406</v>
      </c>
      <c r="C469" s="1426" t="s">
        <v>708</v>
      </c>
      <c r="D469" s="1431">
        <v>700</v>
      </c>
    </row>
    <row r="470" spans="1:4">
      <c r="A470" s="1426" t="s">
        <v>391</v>
      </c>
      <c r="B470" s="1426" t="s">
        <v>406</v>
      </c>
      <c r="C470" s="1426" t="s">
        <v>707</v>
      </c>
      <c r="D470" s="1431">
        <v>700</v>
      </c>
    </row>
    <row r="471" spans="1:4">
      <c r="A471" s="1426" t="s">
        <v>391</v>
      </c>
      <c r="B471" s="1426" t="s">
        <v>406</v>
      </c>
      <c r="C471" s="1426" t="s">
        <v>706</v>
      </c>
      <c r="D471" s="1431">
        <v>0</v>
      </c>
    </row>
    <row r="472" spans="1:4">
      <c r="A472" s="1426" t="s">
        <v>391</v>
      </c>
      <c r="B472" s="1426" t="s">
        <v>406</v>
      </c>
      <c r="C472" s="1426" t="s">
        <v>705</v>
      </c>
      <c r="D472" s="1431">
        <v>0</v>
      </c>
    </row>
    <row r="473" spans="1:4">
      <c r="A473" s="1426" t="s">
        <v>391</v>
      </c>
      <c r="B473" s="1426" t="s">
        <v>406</v>
      </c>
      <c r="C473" s="1426" t="s">
        <v>704</v>
      </c>
      <c r="D473" s="1431">
        <v>0</v>
      </c>
    </row>
    <row r="474" spans="1:4">
      <c r="A474" s="1426" t="s">
        <v>391</v>
      </c>
      <c r="B474" s="1426" t="s">
        <v>406</v>
      </c>
      <c r="C474" s="1426" t="s">
        <v>703</v>
      </c>
      <c r="D474" s="1431">
        <v>200</v>
      </c>
    </row>
    <row r="475" spans="1:4">
      <c r="A475" s="1426" t="s">
        <v>391</v>
      </c>
      <c r="B475" s="1426" t="s">
        <v>406</v>
      </c>
      <c r="C475" s="1426" t="s">
        <v>702</v>
      </c>
      <c r="D475" s="1431">
        <v>0</v>
      </c>
    </row>
    <row r="476" spans="1:4">
      <c r="A476" s="1426" t="s">
        <v>391</v>
      </c>
      <c r="B476" s="1426" t="s">
        <v>405</v>
      </c>
      <c r="C476" s="1426" t="s">
        <v>712</v>
      </c>
      <c r="D476" s="1431">
        <v>900</v>
      </c>
    </row>
    <row r="477" spans="1:4">
      <c r="A477" s="1426" t="s">
        <v>391</v>
      </c>
      <c r="B477" s="1426" t="s">
        <v>405</v>
      </c>
      <c r="C477" s="1426" t="s">
        <v>711</v>
      </c>
      <c r="D477" s="1427">
        <v>1200</v>
      </c>
    </row>
    <row r="478" spans="1:4">
      <c r="A478" s="1426" t="s">
        <v>391</v>
      </c>
      <c r="B478" s="1426" t="s">
        <v>405</v>
      </c>
      <c r="C478" s="1426" t="s">
        <v>710</v>
      </c>
      <c r="D478" s="1431">
        <v>0</v>
      </c>
    </row>
    <row r="479" spans="1:4">
      <c r="A479" s="1426" t="s">
        <v>391</v>
      </c>
      <c r="B479" s="1426" t="s">
        <v>405</v>
      </c>
      <c r="C479" s="1426" t="s">
        <v>709</v>
      </c>
      <c r="D479" s="1431">
        <v>0</v>
      </c>
    </row>
    <row r="480" spans="1:4">
      <c r="A480" s="1426" t="s">
        <v>391</v>
      </c>
      <c r="B480" s="1426" t="s">
        <v>405</v>
      </c>
      <c r="C480" s="1426" t="s">
        <v>708</v>
      </c>
      <c r="D480" s="1431">
        <v>900</v>
      </c>
    </row>
    <row r="481" spans="1:4">
      <c r="A481" s="1426" t="s">
        <v>391</v>
      </c>
      <c r="B481" s="1426" t="s">
        <v>405</v>
      </c>
      <c r="C481" s="1426" t="s">
        <v>707</v>
      </c>
      <c r="D481" s="1431">
        <v>500</v>
      </c>
    </row>
    <row r="482" spans="1:4">
      <c r="A482" s="1426" t="s">
        <v>391</v>
      </c>
      <c r="B482" s="1426" t="s">
        <v>405</v>
      </c>
      <c r="C482" s="1426" t="s">
        <v>706</v>
      </c>
      <c r="D482" s="1431">
        <v>0</v>
      </c>
    </row>
    <row r="483" spans="1:4">
      <c r="A483" s="1426" t="s">
        <v>391</v>
      </c>
      <c r="B483" s="1426" t="s">
        <v>405</v>
      </c>
      <c r="C483" s="1426" t="s">
        <v>705</v>
      </c>
      <c r="D483" s="1431">
        <v>100</v>
      </c>
    </row>
    <row r="484" spans="1:4">
      <c r="A484" s="1426" t="s">
        <v>391</v>
      </c>
      <c r="B484" s="1426" t="s">
        <v>405</v>
      </c>
      <c r="C484" s="1426" t="s">
        <v>704</v>
      </c>
      <c r="D484" s="1431">
        <v>0</v>
      </c>
    </row>
    <row r="485" spans="1:4">
      <c r="A485" s="1426" t="s">
        <v>391</v>
      </c>
      <c r="B485" s="1426" t="s">
        <v>405</v>
      </c>
      <c r="C485" s="1426" t="s">
        <v>703</v>
      </c>
      <c r="D485" s="1431">
        <v>200</v>
      </c>
    </row>
    <row r="486" spans="1:4">
      <c r="A486" s="1426" t="s">
        <v>391</v>
      </c>
      <c r="B486" s="1426" t="s">
        <v>405</v>
      </c>
      <c r="C486" s="1426" t="s">
        <v>702</v>
      </c>
      <c r="D486" s="1431">
        <v>0</v>
      </c>
    </row>
    <row r="487" spans="1:4">
      <c r="A487" s="1426" t="s">
        <v>393</v>
      </c>
      <c r="B487" s="1426" t="s">
        <v>404</v>
      </c>
      <c r="C487" s="1426" t="s">
        <v>712</v>
      </c>
      <c r="D487" s="1431">
        <v>800</v>
      </c>
    </row>
    <row r="488" spans="1:4">
      <c r="A488" s="1426" t="s">
        <v>393</v>
      </c>
      <c r="B488" s="1426" t="s">
        <v>404</v>
      </c>
      <c r="C488" s="1426" t="s">
        <v>711</v>
      </c>
      <c r="D488" s="1431">
        <v>400</v>
      </c>
    </row>
    <row r="489" spans="1:4">
      <c r="A489" s="1426" t="s">
        <v>393</v>
      </c>
      <c r="B489" s="1426" t="s">
        <v>404</v>
      </c>
      <c r="C489" s="1426" t="s">
        <v>710</v>
      </c>
      <c r="D489" s="1431">
        <v>800</v>
      </c>
    </row>
    <row r="490" spans="1:4">
      <c r="A490" s="1426" t="s">
        <v>393</v>
      </c>
      <c r="B490" s="1426" t="s">
        <v>404</v>
      </c>
      <c r="C490" s="1426" t="s">
        <v>709</v>
      </c>
      <c r="D490" s="1431">
        <v>700</v>
      </c>
    </row>
    <row r="491" spans="1:4">
      <c r="A491" s="1426" t="s">
        <v>393</v>
      </c>
      <c r="B491" s="1426" t="s">
        <v>404</v>
      </c>
      <c r="C491" s="1426" t="s">
        <v>708</v>
      </c>
      <c r="D491" s="1431">
        <v>500</v>
      </c>
    </row>
    <row r="492" spans="1:4">
      <c r="A492" s="1426" t="s">
        <v>393</v>
      </c>
      <c r="B492" s="1426" t="s">
        <v>404</v>
      </c>
      <c r="C492" s="1426" t="s">
        <v>707</v>
      </c>
      <c r="D492" s="1431">
        <v>500</v>
      </c>
    </row>
    <row r="493" spans="1:4">
      <c r="A493" s="1426" t="s">
        <v>393</v>
      </c>
      <c r="B493" s="1426" t="s">
        <v>404</v>
      </c>
      <c r="C493" s="1426" t="s">
        <v>706</v>
      </c>
      <c r="D493" s="1431">
        <v>600</v>
      </c>
    </row>
    <row r="494" spans="1:4">
      <c r="A494" s="1426" t="s">
        <v>393</v>
      </c>
      <c r="B494" s="1426" t="s">
        <v>404</v>
      </c>
      <c r="C494" s="1426" t="s">
        <v>705</v>
      </c>
      <c r="D494" s="1431">
        <v>500</v>
      </c>
    </row>
    <row r="495" spans="1:4">
      <c r="A495" s="1426" t="s">
        <v>393</v>
      </c>
      <c r="B495" s="1426" t="s">
        <v>404</v>
      </c>
      <c r="C495" s="1426" t="s">
        <v>704</v>
      </c>
      <c r="D495" s="1431">
        <v>300</v>
      </c>
    </row>
    <row r="496" spans="1:4">
      <c r="A496" s="1426" t="s">
        <v>393</v>
      </c>
      <c r="B496" s="1426" t="s">
        <v>404</v>
      </c>
      <c r="C496" s="1426" t="s">
        <v>703</v>
      </c>
      <c r="D496" s="1431">
        <v>300</v>
      </c>
    </row>
    <row r="497" spans="1:4">
      <c r="A497" s="1426" t="s">
        <v>393</v>
      </c>
      <c r="B497" s="1426" t="s">
        <v>404</v>
      </c>
      <c r="C497" s="1426" t="s">
        <v>702</v>
      </c>
      <c r="D497" s="1431">
        <v>300</v>
      </c>
    </row>
    <row r="498" spans="1:4">
      <c r="A498" s="1426" t="s">
        <v>393</v>
      </c>
      <c r="B498" s="1426" t="s">
        <v>407</v>
      </c>
      <c r="C498" s="1426" t="s">
        <v>712</v>
      </c>
      <c r="D498" s="1427">
        <v>5000</v>
      </c>
    </row>
    <row r="499" spans="1:4">
      <c r="A499" s="1426" t="s">
        <v>393</v>
      </c>
      <c r="B499" s="1426" t="s">
        <v>407</v>
      </c>
      <c r="C499" s="1426" t="s">
        <v>711</v>
      </c>
      <c r="D499" s="1427">
        <v>5400</v>
      </c>
    </row>
    <row r="500" spans="1:4">
      <c r="A500" s="1426" t="s">
        <v>393</v>
      </c>
      <c r="B500" s="1426" t="s">
        <v>407</v>
      </c>
      <c r="C500" s="1426" t="s">
        <v>710</v>
      </c>
      <c r="D500" s="1427">
        <v>5700</v>
      </c>
    </row>
    <row r="501" spans="1:4">
      <c r="A501" s="1426" t="s">
        <v>393</v>
      </c>
      <c r="B501" s="1426" t="s">
        <v>407</v>
      </c>
      <c r="C501" s="1426" t="s">
        <v>709</v>
      </c>
      <c r="D501" s="1427">
        <v>4700</v>
      </c>
    </row>
    <row r="502" spans="1:4">
      <c r="A502" s="1426" t="s">
        <v>393</v>
      </c>
      <c r="B502" s="1426" t="s">
        <v>407</v>
      </c>
      <c r="C502" s="1426" t="s">
        <v>708</v>
      </c>
      <c r="D502" s="1427">
        <v>4700</v>
      </c>
    </row>
    <row r="503" spans="1:4">
      <c r="A503" s="1426" t="s">
        <v>393</v>
      </c>
      <c r="B503" s="1426" t="s">
        <v>407</v>
      </c>
      <c r="C503" s="1426" t="s">
        <v>707</v>
      </c>
      <c r="D503" s="1427">
        <v>3500</v>
      </c>
    </row>
    <row r="504" spans="1:4">
      <c r="A504" s="1426" t="s">
        <v>393</v>
      </c>
      <c r="B504" s="1426" t="s">
        <v>407</v>
      </c>
      <c r="C504" s="1426" t="s">
        <v>706</v>
      </c>
      <c r="D504" s="1427">
        <v>3600</v>
      </c>
    </row>
    <row r="505" spans="1:4">
      <c r="A505" s="1426" t="s">
        <v>393</v>
      </c>
      <c r="B505" s="1426" t="s">
        <v>407</v>
      </c>
      <c r="C505" s="1426" t="s">
        <v>705</v>
      </c>
      <c r="D505" s="1427">
        <v>3000</v>
      </c>
    </row>
    <row r="506" spans="1:4">
      <c r="A506" s="1426" t="s">
        <v>393</v>
      </c>
      <c r="B506" s="1426" t="s">
        <v>407</v>
      </c>
      <c r="C506" s="1426" t="s">
        <v>704</v>
      </c>
      <c r="D506" s="1427">
        <v>1900</v>
      </c>
    </row>
    <row r="507" spans="1:4">
      <c r="A507" s="1426" t="s">
        <v>393</v>
      </c>
      <c r="B507" s="1426" t="s">
        <v>407</v>
      </c>
      <c r="C507" s="1426" t="s">
        <v>703</v>
      </c>
      <c r="D507" s="1427">
        <v>1600</v>
      </c>
    </row>
    <row r="508" spans="1:4">
      <c r="A508" s="1426" t="s">
        <v>393</v>
      </c>
      <c r="B508" s="1426" t="s">
        <v>407</v>
      </c>
      <c r="C508" s="1426" t="s">
        <v>702</v>
      </c>
      <c r="D508" s="1427">
        <v>1400</v>
      </c>
    </row>
    <row r="509" spans="1:4">
      <c r="A509" s="1426" t="s">
        <v>393</v>
      </c>
      <c r="B509" s="1426" t="s">
        <v>406</v>
      </c>
      <c r="C509" s="1426" t="s">
        <v>712</v>
      </c>
      <c r="D509" s="1431">
        <v>300</v>
      </c>
    </row>
    <row r="510" spans="1:4">
      <c r="A510" s="1426" t="s">
        <v>393</v>
      </c>
      <c r="B510" s="1426" t="s">
        <v>406</v>
      </c>
      <c r="C510" s="1426" t="s">
        <v>711</v>
      </c>
      <c r="D510" s="1431">
        <v>0</v>
      </c>
    </row>
    <row r="511" spans="1:4">
      <c r="A511" s="1426" t="s">
        <v>393</v>
      </c>
      <c r="B511" s="1426" t="s">
        <v>406</v>
      </c>
      <c r="C511" s="1426" t="s">
        <v>710</v>
      </c>
      <c r="D511" s="1431">
        <v>500</v>
      </c>
    </row>
    <row r="512" spans="1:4">
      <c r="A512" s="1426" t="s">
        <v>393</v>
      </c>
      <c r="B512" s="1426" t="s">
        <v>406</v>
      </c>
      <c r="C512" s="1426" t="s">
        <v>709</v>
      </c>
      <c r="D512" s="1431">
        <v>700</v>
      </c>
    </row>
    <row r="513" spans="1:4">
      <c r="A513" s="1426" t="s">
        <v>393</v>
      </c>
      <c r="B513" s="1426" t="s">
        <v>406</v>
      </c>
      <c r="C513" s="1426" t="s">
        <v>708</v>
      </c>
      <c r="D513" s="1431">
        <v>400</v>
      </c>
    </row>
    <row r="514" spans="1:4">
      <c r="A514" s="1426" t="s">
        <v>393</v>
      </c>
      <c r="B514" s="1426" t="s">
        <v>406</v>
      </c>
      <c r="C514" s="1426" t="s">
        <v>707</v>
      </c>
      <c r="D514" s="1431">
        <v>300</v>
      </c>
    </row>
    <row r="515" spans="1:4">
      <c r="A515" s="1426" t="s">
        <v>393</v>
      </c>
      <c r="B515" s="1426" t="s">
        <v>406</v>
      </c>
      <c r="C515" s="1426" t="s">
        <v>706</v>
      </c>
      <c r="D515" s="1431">
        <v>0</v>
      </c>
    </row>
    <row r="516" spans="1:4">
      <c r="A516" s="1426" t="s">
        <v>393</v>
      </c>
      <c r="B516" s="1426" t="s">
        <v>406</v>
      </c>
      <c r="C516" s="1426" t="s">
        <v>705</v>
      </c>
      <c r="D516" s="1431">
        <v>600</v>
      </c>
    </row>
    <row r="517" spans="1:4">
      <c r="A517" s="1426" t="s">
        <v>393</v>
      </c>
      <c r="B517" s="1426" t="s">
        <v>406</v>
      </c>
      <c r="C517" s="1426" t="s">
        <v>704</v>
      </c>
      <c r="D517" s="1431">
        <v>0</v>
      </c>
    </row>
    <row r="518" spans="1:4">
      <c r="A518" s="1426" t="s">
        <v>393</v>
      </c>
      <c r="B518" s="1426" t="s">
        <v>406</v>
      </c>
      <c r="C518" s="1426" t="s">
        <v>703</v>
      </c>
      <c r="D518" s="1431">
        <v>0</v>
      </c>
    </row>
    <row r="519" spans="1:4">
      <c r="A519" s="1426" t="s">
        <v>393</v>
      </c>
      <c r="B519" s="1426" t="s">
        <v>406</v>
      </c>
      <c r="C519" s="1426" t="s">
        <v>702</v>
      </c>
      <c r="D519" s="1431">
        <v>0</v>
      </c>
    </row>
    <row r="520" spans="1:4">
      <c r="A520" s="1426" t="s">
        <v>393</v>
      </c>
      <c r="B520" s="1426" t="s">
        <v>405</v>
      </c>
      <c r="C520" s="1426" t="s">
        <v>712</v>
      </c>
      <c r="D520" s="1431">
        <v>200</v>
      </c>
    </row>
    <row r="521" spans="1:4">
      <c r="A521" s="1426" t="s">
        <v>393</v>
      </c>
      <c r="B521" s="1426" t="s">
        <v>405</v>
      </c>
      <c r="C521" s="1426" t="s">
        <v>711</v>
      </c>
      <c r="D521" s="1431">
        <v>300</v>
      </c>
    </row>
    <row r="522" spans="1:4">
      <c r="A522" s="1426" t="s">
        <v>393</v>
      </c>
      <c r="B522" s="1426" t="s">
        <v>405</v>
      </c>
      <c r="C522" s="1426" t="s">
        <v>710</v>
      </c>
      <c r="D522" s="1431">
        <v>300</v>
      </c>
    </row>
    <row r="523" spans="1:4">
      <c r="A523" s="1426" t="s">
        <v>393</v>
      </c>
      <c r="B523" s="1426" t="s">
        <v>405</v>
      </c>
      <c r="C523" s="1426" t="s">
        <v>709</v>
      </c>
      <c r="D523" s="1431">
        <v>500</v>
      </c>
    </row>
    <row r="524" spans="1:4">
      <c r="A524" s="1426" t="s">
        <v>393</v>
      </c>
      <c r="B524" s="1426" t="s">
        <v>405</v>
      </c>
      <c r="C524" s="1426" t="s">
        <v>708</v>
      </c>
      <c r="D524" s="1431">
        <v>300</v>
      </c>
    </row>
    <row r="525" spans="1:4">
      <c r="A525" s="1426" t="s">
        <v>393</v>
      </c>
      <c r="B525" s="1426" t="s">
        <v>405</v>
      </c>
      <c r="C525" s="1426" t="s">
        <v>707</v>
      </c>
      <c r="D525" s="1431">
        <v>200</v>
      </c>
    </row>
    <row r="526" spans="1:4">
      <c r="A526" s="1426" t="s">
        <v>393</v>
      </c>
      <c r="B526" s="1426" t="s">
        <v>405</v>
      </c>
      <c r="C526" s="1426" t="s">
        <v>706</v>
      </c>
      <c r="D526" s="1431">
        <v>0</v>
      </c>
    </row>
    <row r="527" spans="1:4">
      <c r="A527" s="1426" t="s">
        <v>393</v>
      </c>
      <c r="B527" s="1426" t="s">
        <v>405</v>
      </c>
      <c r="C527" s="1426" t="s">
        <v>705</v>
      </c>
      <c r="D527" s="1431">
        <v>0</v>
      </c>
    </row>
    <row r="528" spans="1:4">
      <c r="A528" s="1426" t="s">
        <v>393</v>
      </c>
      <c r="B528" s="1426" t="s">
        <v>405</v>
      </c>
      <c r="C528" s="1426" t="s">
        <v>704</v>
      </c>
      <c r="D528" s="1431">
        <v>0</v>
      </c>
    </row>
    <row r="529" spans="1:4">
      <c r="A529" s="1426" t="s">
        <v>393</v>
      </c>
      <c r="B529" s="1426" t="s">
        <v>405</v>
      </c>
      <c r="C529" s="1426" t="s">
        <v>703</v>
      </c>
      <c r="D529" s="1431">
        <v>0</v>
      </c>
    </row>
    <row r="530" spans="1:4">
      <c r="A530" s="1426" t="s">
        <v>393</v>
      </c>
      <c r="B530" s="1426" t="s">
        <v>405</v>
      </c>
      <c r="C530" s="1426" t="s">
        <v>702</v>
      </c>
      <c r="D530" s="1431">
        <v>0</v>
      </c>
    </row>
    <row r="531" spans="1:4">
      <c r="A531" s="1426" t="s">
        <v>396</v>
      </c>
      <c r="B531" s="1426" t="s">
        <v>404</v>
      </c>
      <c r="C531" s="1426" t="s">
        <v>712</v>
      </c>
      <c r="D531" s="1431">
        <v>100</v>
      </c>
    </row>
    <row r="532" spans="1:4">
      <c r="A532" s="1426" t="s">
        <v>396</v>
      </c>
      <c r="B532" s="1426" t="s">
        <v>404</v>
      </c>
      <c r="C532" s="1426" t="s">
        <v>711</v>
      </c>
      <c r="D532" s="1431">
        <v>100</v>
      </c>
    </row>
    <row r="533" spans="1:4">
      <c r="A533" s="1426" t="s">
        <v>396</v>
      </c>
      <c r="B533" s="1426" t="s">
        <v>404</v>
      </c>
      <c r="C533" s="1426" t="s">
        <v>710</v>
      </c>
      <c r="D533" s="1431">
        <v>100</v>
      </c>
    </row>
    <row r="534" spans="1:4">
      <c r="A534" s="1426" t="s">
        <v>396</v>
      </c>
      <c r="B534" s="1426" t="s">
        <v>404</v>
      </c>
      <c r="C534" s="1426" t="s">
        <v>709</v>
      </c>
      <c r="D534" s="1431">
        <v>100</v>
      </c>
    </row>
    <row r="535" spans="1:4">
      <c r="A535" s="1426" t="s">
        <v>396</v>
      </c>
      <c r="B535" s="1426" t="s">
        <v>404</v>
      </c>
      <c r="C535" s="1426" t="s">
        <v>708</v>
      </c>
      <c r="D535" s="1431">
        <v>100</v>
      </c>
    </row>
    <row r="536" spans="1:4">
      <c r="A536" s="1426" t="s">
        <v>396</v>
      </c>
      <c r="B536" s="1426" t="s">
        <v>404</v>
      </c>
      <c r="C536" s="1426" t="s">
        <v>707</v>
      </c>
      <c r="D536" s="1431">
        <v>100</v>
      </c>
    </row>
    <row r="537" spans="1:4">
      <c r="A537" s="1426" t="s">
        <v>396</v>
      </c>
      <c r="B537" s="1426" t="s">
        <v>404</v>
      </c>
      <c r="C537" s="1426" t="s">
        <v>706</v>
      </c>
      <c r="D537" s="1431">
        <v>100</v>
      </c>
    </row>
    <row r="538" spans="1:4">
      <c r="A538" s="1426" t="s">
        <v>396</v>
      </c>
      <c r="B538" s="1426" t="s">
        <v>404</v>
      </c>
      <c r="C538" s="1426" t="s">
        <v>705</v>
      </c>
      <c r="D538" s="1431">
        <v>100</v>
      </c>
    </row>
    <row r="539" spans="1:4">
      <c r="A539" s="1426" t="s">
        <v>396</v>
      </c>
      <c r="B539" s="1426" t="s">
        <v>404</v>
      </c>
      <c r="C539" s="1426" t="s">
        <v>704</v>
      </c>
      <c r="D539" s="1431">
        <v>100</v>
      </c>
    </row>
    <row r="540" spans="1:4">
      <c r="A540" s="1426" t="s">
        <v>396</v>
      </c>
      <c r="B540" s="1426" t="s">
        <v>404</v>
      </c>
      <c r="C540" s="1426" t="s">
        <v>703</v>
      </c>
      <c r="D540" s="1431">
        <v>0</v>
      </c>
    </row>
    <row r="541" spans="1:4">
      <c r="A541" s="1426" t="s">
        <v>396</v>
      </c>
      <c r="B541" s="1426" t="s">
        <v>404</v>
      </c>
      <c r="C541" s="1426" t="s">
        <v>702</v>
      </c>
      <c r="D541" s="1431">
        <v>0</v>
      </c>
    </row>
    <row r="542" spans="1:4">
      <c r="A542" s="1426" t="s">
        <v>396</v>
      </c>
      <c r="B542" s="1426" t="s">
        <v>407</v>
      </c>
      <c r="C542" s="1426" t="s">
        <v>712</v>
      </c>
      <c r="D542" s="1431">
        <v>100</v>
      </c>
    </row>
    <row r="543" spans="1:4">
      <c r="A543" s="1426" t="s">
        <v>396</v>
      </c>
      <c r="B543" s="1426" t="s">
        <v>407</v>
      </c>
      <c r="C543" s="1426" t="s">
        <v>711</v>
      </c>
      <c r="D543" s="1431">
        <v>0</v>
      </c>
    </row>
    <row r="544" spans="1:4">
      <c r="A544" s="1426" t="s">
        <v>396</v>
      </c>
      <c r="B544" s="1426" t="s">
        <v>407</v>
      </c>
      <c r="C544" s="1426" t="s">
        <v>710</v>
      </c>
      <c r="D544" s="1431">
        <v>100</v>
      </c>
    </row>
    <row r="545" spans="1:4">
      <c r="A545" s="1426" t="s">
        <v>396</v>
      </c>
      <c r="B545" s="1426" t="s">
        <v>407</v>
      </c>
      <c r="C545" s="1426" t="s">
        <v>709</v>
      </c>
      <c r="D545" s="1431">
        <v>0</v>
      </c>
    </row>
    <row r="546" spans="1:4">
      <c r="A546" s="1426" t="s">
        <v>396</v>
      </c>
      <c r="B546" s="1426" t="s">
        <v>407</v>
      </c>
      <c r="C546" s="1426" t="s">
        <v>708</v>
      </c>
      <c r="D546" s="1431">
        <v>0</v>
      </c>
    </row>
    <row r="547" spans="1:4">
      <c r="A547" s="1426" t="s">
        <v>396</v>
      </c>
      <c r="B547" s="1426" t="s">
        <v>407</v>
      </c>
      <c r="C547" s="1426" t="s">
        <v>707</v>
      </c>
      <c r="D547" s="1431">
        <v>100</v>
      </c>
    </row>
    <row r="548" spans="1:4">
      <c r="A548" s="1426" t="s">
        <v>396</v>
      </c>
      <c r="B548" s="1426" t="s">
        <v>407</v>
      </c>
      <c r="C548" s="1426" t="s">
        <v>706</v>
      </c>
      <c r="D548" s="1431">
        <v>100</v>
      </c>
    </row>
    <row r="549" spans="1:4">
      <c r="A549" s="1426" t="s">
        <v>396</v>
      </c>
      <c r="B549" s="1426" t="s">
        <v>407</v>
      </c>
      <c r="C549" s="1426" t="s">
        <v>705</v>
      </c>
      <c r="D549" s="1431">
        <v>100</v>
      </c>
    </row>
    <row r="550" spans="1:4">
      <c r="A550" s="1426" t="s">
        <v>396</v>
      </c>
      <c r="B550" s="1426" t="s">
        <v>407</v>
      </c>
      <c r="C550" s="1426" t="s">
        <v>704</v>
      </c>
      <c r="D550" s="1431">
        <v>300</v>
      </c>
    </row>
    <row r="551" spans="1:4">
      <c r="A551" s="1426" t="s">
        <v>396</v>
      </c>
      <c r="B551" s="1426" t="s">
        <v>407</v>
      </c>
      <c r="C551" s="1426" t="s">
        <v>703</v>
      </c>
      <c r="D551" s="1431">
        <v>0</v>
      </c>
    </row>
    <row r="552" spans="1:4">
      <c r="A552" s="1426" t="s">
        <v>396</v>
      </c>
      <c r="B552" s="1426" t="s">
        <v>407</v>
      </c>
      <c r="C552" s="1426" t="s">
        <v>702</v>
      </c>
      <c r="D552" s="1431">
        <v>200</v>
      </c>
    </row>
    <row r="553" spans="1:4">
      <c r="A553" s="1426" t="s">
        <v>396</v>
      </c>
      <c r="B553" s="1426" t="s">
        <v>406</v>
      </c>
      <c r="C553" s="1426" t="s">
        <v>712</v>
      </c>
      <c r="D553" s="1431">
        <v>0</v>
      </c>
    </row>
    <row r="554" spans="1:4">
      <c r="A554" s="1426" t="s">
        <v>396</v>
      </c>
      <c r="B554" s="1426" t="s">
        <v>406</v>
      </c>
      <c r="C554" s="1426" t="s">
        <v>711</v>
      </c>
      <c r="D554" s="1431">
        <v>0</v>
      </c>
    </row>
    <row r="555" spans="1:4">
      <c r="A555" s="1426" t="s">
        <v>396</v>
      </c>
      <c r="B555" s="1426" t="s">
        <v>406</v>
      </c>
      <c r="C555" s="1426" t="s">
        <v>710</v>
      </c>
      <c r="D555" s="1431">
        <v>100</v>
      </c>
    </row>
    <row r="556" spans="1:4">
      <c r="A556" s="1426" t="s">
        <v>396</v>
      </c>
      <c r="B556" s="1426" t="s">
        <v>406</v>
      </c>
      <c r="C556" s="1426" t="s">
        <v>709</v>
      </c>
      <c r="D556" s="1431">
        <v>100</v>
      </c>
    </row>
    <row r="557" spans="1:4">
      <c r="A557" s="1426" t="s">
        <v>396</v>
      </c>
      <c r="B557" s="1426" t="s">
        <v>406</v>
      </c>
      <c r="C557" s="1426" t="s">
        <v>708</v>
      </c>
      <c r="D557" s="1431">
        <v>0</v>
      </c>
    </row>
    <row r="558" spans="1:4">
      <c r="A558" s="1426" t="s">
        <v>396</v>
      </c>
      <c r="B558" s="1426" t="s">
        <v>406</v>
      </c>
      <c r="C558" s="1426" t="s">
        <v>707</v>
      </c>
      <c r="D558" s="1431">
        <v>0</v>
      </c>
    </row>
    <row r="559" spans="1:4">
      <c r="A559" s="1426" t="s">
        <v>396</v>
      </c>
      <c r="B559" s="1426" t="s">
        <v>406</v>
      </c>
      <c r="C559" s="1426" t="s">
        <v>706</v>
      </c>
      <c r="D559" s="1431">
        <v>0</v>
      </c>
    </row>
    <row r="560" spans="1:4">
      <c r="A560" s="1426" t="s">
        <v>396</v>
      </c>
      <c r="B560" s="1426" t="s">
        <v>406</v>
      </c>
      <c r="C560" s="1426" t="s">
        <v>705</v>
      </c>
      <c r="D560" s="1431">
        <v>0</v>
      </c>
    </row>
    <row r="561" spans="1:4">
      <c r="A561" s="1426" t="s">
        <v>396</v>
      </c>
      <c r="B561" s="1426" t="s">
        <v>406</v>
      </c>
      <c r="C561" s="1426" t="s">
        <v>704</v>
      </c>
      <c r="D561" s="1431">
        <v>0</v>
      </c>
    </row>
    <row r="562" spans="1:4">
      <c r="A562" s="1426" t="s">
        <v>396</v>
      </c>
      <c r="B562" s="1426" t="s">
        <v>406</v>
      </c>
      <c r="C562" s="1426" t="s">
        <v>703</v>
      </c>
      <c r="D562" s="1431">
        <v>0</v>
      </c>
    </row>
    <row r="563" spans="1:4">
      <c r="A563" s="1426" t="s">
        <v>396</v>
      </c>
      <c r="B563" s="1426" t="s">
        <v>406</v>
      </c>
      <c r="C563" s="1426" t="s">
        <v>702</v>
      </c>
      <c r="D563" s="1431">
        <v>0</v>
      </c>
    </row>
    <row r="564" spans="1:4">
      <c r="A564" s="1426" t="s">
        <v>396</v>
      </c>
      <c r="B564" s="1426" t="s">
        <v>405</v>
      </c>
      <c r="C564" s="1426" t="s">
        <v>712</v>
      </c>
      <c r="D564" s="1431">
        <v>0</v>
      </c>
    </row>
    <row r="565" spans="1:4">
      <c r="A565" s="1426" t="s">
        <v>396</v>
      </c>
      <c r="B565" s="1426" t="s">
        <v>405</v>
      </c>
      <c r="C565" s="1426" t="s">
        <v>711</v>
      </c>
      <c r="D565" s="1431">
        <v>0</v>
      </c>
    </row>
    <row r="566" spans="1:4">
      <c r="A566" s="1426" t="s">
        <v>396</v>
      </c>
      <c r="B566" s="1426" t="s">
        <v>405</v>
      </c>
      <c r="C566" s="1426" t="s">
        <v>710</v>
      </c>
      <c r="D566" s="1431">
        <v>100</v>
      </c>
    </row>
    <row r="567" spans="1:4">
      <c r="A567" s="1426" t="s">
        <v>396</v>
      </c>
      <c r="B567" s="1426" t="s">
        <v>405</v>
      </c>
      <c r="C567" s="1426" t="s">
        <v>709</v>
      </c>
      <c r="D567" s="1431">
        <v>0</v>
      </c>
    </row>
    <row r="568" spans="1:4">
      <c r="A568" s="1426" t="s">
        <v>396</v>
      </c>
      <c r="B568" s="1426" t="s">
        <v>405</v>
      </c>
      <c r="C568" s="1426" t="s">
        <v>708</v>
      </c>
      <c r="D568" s="1431">
        <v>0</v>
      </c>
    </row>
    <row r="569" spans="1:4">
      <c r="A569" s="1426" t="s">
        <v>396</v>
      </c>
      <c r="B569" s="1426" t="s">
        <v>405</v>
      </c>
      <c r="C569" s="1426" t="s">
        <v>707</v>
      </c>
      <c r="D569" s="1431">
        <v>0</v>
      </c>
    </row>
    <row r="570" spans="1:4">
      <c r="A570" s="1426" t="s">
        <v>396</v>
      </c>
      <c r="B570" s="1426" t="s">
        <v>405</v>
      </c>
      <c r="C570" s="1426" t="s">
        <v>706</v>
      </c>
      <c r="D570" s="1431">
        <v>0</v>
      </c>
    </row>
    <row r="571" spans="1:4">
      <c r="A571" s="1426" t="s">
        <v>396</v>
      </c>
      <c r="B571" s="1426" t="s">
        <v>405</v>
      </c>
      <c r="C571" s="1426" t="s">
        <v>705</v>
      </c>
      <c r="D571" s="1431">
        <v>0</v>
      </c>
    </row>
    <row r="572" spans="1:4">
      <c r="A572" s="1426" t="s">
        <v>396</v>
      </c>
      <c r="B572" s="1426" t="s">
        <v>405</v>
      </c>
      <c r="C572" s="1426" t="s">
        <v>704</v>
      </c>
      <c r="D572" s="1431">
        <v>0</v>
      </c>
    </row>
    <row r="573" spans="1:4">
      <c r="A573" s="1426" t="s">
        <v>396</v>
      </c>
      <c r="B573" s="1426" t="s">
        <v>405</v>
      </c>
      <c r="C573" s="1426" t="s">
        <v>703</v>
      </c>
      <c r="D573" s="1431">
        <v>0</v>
      </c>
    </row>
    <row r="574" spans="1:4">
      <c r="A574" s="1426" t="s">
        <v>396</v>
      </c>
      <c r="B574" s="1426" t="s">
        <v>405</v>
      </c>
      <c r="C574" s="1426" t="s">
        <v>702</v>
      </c>
      <c r="D574" s="1431">
        <v>0</v>
      </c>
    </row>
    <row r="575" spans="1:4">
      <c r="A575" s="1426" t="s">
        <v>400</v>
      </c>
      <c r="B575" s="1426" t="s">
        <v>404</v>
      </c>
      <c r="C575" s="1426" t="s">
        <v>712</v>
      </c>
      <c r="D575" s="1427">
        <v>1700</v>
      </c>
    </row>
    <row r="576" spans="1:4">
      <c r="A576" s="1426" t="s">
        <v>400</v>
      </c>
      <c r="B576" s="1426" t="s">
        <v>404</v>
      </c>
      <c r="C576" s="1426" t="s">
        <v>711</v>
      </c>
      <c r="D576" s="1427">
        <v>1600</v>
      </c>
    </row>
    <row r="577" spans="1:4">
      <c r="A577" s="1426" t="s">
        <v>400</v>
      </c>
      <c r="B577" s="1426" t="s">
        <v>404</v>
      </c>
      <c r="C577" s="1426" t="s">
        <v>710</v>
      </c>
      <c r="D577" s="1427">
        <v>2500</v>
      </c>
    </row>
    <row r="578" spans="1:4">
      <c r="A578" s="1426" t="s">
        <v>400</v>
      </c>
      <c r="B578" s="1426" t="s">
        <v>404</v>
      </c>
      <c r="C578" s="1426" t="s">
        <v>709</v>
      </c>
      <c r="D578" s="1427">
        <v>3300</v>
      </c>
    </row>
    <row r="579" spans="1:4">
      <c r="A579" s="1426" t="s">
        <v>400</v>
      </c>
      <c r="B579" s="1426" t="s">
        <v>404</v>
      </c>
      <c r="C579" s="1426" t="s">
        <v>708</v>
      </c>
      <c r="D579" s="1427">
        <v>2100</v>
      </c>
    </row>
    <row r="580" spans="1:4">
      <c r="A580" s="1426" t="s">
        <v>400</v>
      </c>
      <c r="B580" s="1426" t="s">
        <v>404</v>
      </c>
      <c r="C580" s="1426" t="s">
        <v>707</v>
      </c>
      <c r="D580" s="1427">
        <v>1900</v>
      </c>
    </row>
    <row r="581" spans="1:4">
      <c r="A581" s="1426" t="s">
        <v>400</v>
      </c>
      <c r="B581" s="1426" t="s">
        <v>404</v>
      </c>
      <c r="C581" s="1426" t="s">
        <v>706</v>
      </c>
      <c r="D581" s="1427">
        <v>2400</v>
      </c>
    </row>
    <row r="582" spans="1:4">
      <c r="A582" s="1426" t="s">
        <v>400</v>
      </c>
      <c r="B582" s="1426" t="s">
        <v>404</v>
      </c>
      <c r="C582" s="1426" t="s">
        <v>705</v>
      </c>
      <c r="D582" s="1427">
        <v>3200</v>
      </c>
    </row>
    <row r="583" spans="1:4">
      <c r="A583" s="1426" t="s">
        <v>400</v>
      </c>
      <c r="B583" s="1426" t="s">
        <v>404</v>
      </c>
      <c r="C583" s="1426" t="s">
        <v>704</v>
      </c>
      <c r="D583" s="1427">
        <v>4100</v>
      </c>
    </row>
    <row r="584" spans="1:4">
      <c r="A584" s="1426" t="s">
        <v>400</v>
      </c>
      <c r="B584" s="1426" t="s">
        <v>404</v>
      </c>
      <c r="C584" s="1426" t="s">
        <v>703</v>
      </c>
      <c r="D584" s="1427">
        <v>3400</v>
      </c>
    </row>
    <row r="585" spans="1:4">
      <c r="A585" s="1426" t="s">
        <v>400</v>
      </c>
      <c r="B585" s="1426" t="s">
        <v>404</v>
      </c>
      <c r="C585" s="1426" t="s">
        <v>702</v>
      </c>
      <c r="D585" s="1427">
        <v>3500</v>
      </c>
    </row>
    <row r="586" spans="1:4">
      <c r="A586" s="1426" t="s">
        <v>400</v>
      </c>
      <c r="B586" s="1426" t="s">
        <v>407</v>
      </c>
      <c r="C586" s="1426" t="s">
        <v>712</v>
      </c>
      <c r="D586" s="1427">
        <v>9700</v>
      </c>
    </row>
    <row r="587" spans="1:4">
      <c r="A587" s="1426" t="s">
        <v>400</v>
      </c>
      <c r="B587" s="1426" t="s">
        <v>407</v>
      </c>
      <c r="C587" s="1426" t="s">
        <v>711</v>
      </c>
      <c r="D587" s="1427">
        <v>9000</v>
      </c>
    </row>
    <row r="588" spans="1:4">
      <c r="A588" s="1426" t="s">
        <v>400</v>
      </c>
      <c r="B588" s="1426" t="s">
        <v>407</v>
      </c>
      <c r="C588" s="1426" t="s">
        <v>710</v>
      </c>
      <c r="D588" s="1427">
        <v>7900</v>
      </c>
    </row>
    <row r="589" spans="1:4">
      <c r="A589" s="1426" t="s">
        <v>400</v>
      </c>
      <c r="B589" s="1426" t="s">
        <v>407</v>
      </c>
      <c r="C589" s="1426" t="s">
        <v>709</v>
      </c>
      <c r="D589" s="1427">
        <v>6700</v>
      </c>
    </row>
    <row r="590" spans="1:4">
      <c r="A590" s="1426" t="s">
        <v>400</v>
      </c>
      <c r="B590" s="1426" t="s">
        <v>407</v>
      </c>
      <c r="C590" s="1426" t="s">
        <v>708</v>
      </c>
      <c r="D590" s="1427">
        <v>5900</v>
      </c>
    </row>
    <row r="591" spans="1:4">
      <c r="A591" s="1426" t="s">
        <v>400</v>
      </c>
      <c r="B591" s="1426" t="s">
        <v>407</v>
      </c>
      <c r="C591" s="1426" t="s">
        <v>707</v>
      </c>
      <c r="D591" s="1427">
        <v>5200</v>
      </c>
    </row>
    <row r="592" spans="1:4">
      <c r="A592" s="1426" t="s">
        <v>400</v>
      </c>
      <c r="B592" s="1426" t="s">
        <v>407</v>
      </c>
      <c r="C592" s="1426" t="s">
        <v>706</v>
      </c>
      <c r="D592" s="1427">
        <v>5100</v>
      </c>
    </row>
    <row r="593" spans="1:4">
      <c r="A593" s="1426" t="s">
        <v>400</v>
      </c>
      <c r="B593" s="1426" t="s">
        <v>407</v>
      </c>
      <c r="C593" s="1426" t="s">
        <v>705</v>
      </c>
      <c r="D593" s="1427">
        <v>5700</v>
      </c>
    </row>
    <row r="594" spans="1:4">
      <c r="A594" s="1426" t="s">
        <v>400</v>
      </c>
      <c r="B594" s="1426" t="s">
        <v>407</v>
      </c>
      <c r="C594" s="1426" t="s">
        <v>704</v>
      </c>
      <c r="D594" s="1427">
        <v>9100</v>
      </c>
    </row>
    <row r="595" spans="1:4">
      <c r="A595" s="1426" t="s">
        <v>400</v>
      </c>
      <c r="B595" s="1426" t="s">
        <v>407</v>
      </c>
      <c r="C595" s="1426" t="s">
        <v>703</v>
      </c>
      <c r="D595" s="1427">
        <v>8800</v>
      </c>
    </row>
    <row r="596" spans="1:4">
      <c r="A596" s="1426" t="s">
        <v>400</v>
      </c>
      <c r="B596" s="1426" t="s">
        <v>407</v>
      </c>
      <c r="C596" s="1426" t="s">
        <v>702</v>
      </c>
      <c r="D596" s="1427">
        <v>9300</v>
      </c>
    </row>
    <row r="597" spans="1:4">
      <c r="A597" s="1426" t="s">
        <v>400</v>
      </c>
      <c r="B597" s="1426" t="s">
        <v>406</v>
      </c>
      <c r="C597" s="1426" t="s">
        <v>712</v>
      </c>
      <c r="D597" s="1427">
        <v>1900</v>
      </c>
    </row>
    <row r="598" spans="1:4">
      <c r="A598" s="1426" t="s">
        <v>400</v>
      </c>
      <c r="B598" s="1426" t="s">
        <v>406</v>
      </c>
      <c r="C598" s="1426" t="s">
        <v>711</v>
      </c>
      <c r="D598" s="1427">
        <v>1600</v>
      </c>
    </row>
    <row r="599" spans="1:4">
      <c r="A599" s="1426" t="s">
        <v>400</v>
      </c>
      <c r="B599" s="1426" t="s">
        <v>406</v>
      </c>
      <c r="C599" s="1426" t="s">
        <v>710</v>
      </c>
      <c r="D599" s="1427">
        <v>1300</v>
      </c>
    </row>
    <row r="600" spans="1:4">
      <c r="A600" s="1426" t="s">
        <v>400</v>
      </c>
      <c r="B600" s="1426" t="s">
        <v>406</v>
      </c>
      <c r="C600" s="1426" t="s">
        <v>709</v>
      </c>
      <c r="D600" s="1427">
        <v>1500</v>
      </c>
    </row>
    <row r="601" spans="1:4">
      <c r="A601" s="1426" t="s">
        <v>400</v>
      </c>
      <c r="B601" s="1426" t="s">
        <v>406</v>
      </c>
      <c r="C601" s="1426" t="s">
        <v>708</v>
      </c>
      <c r="D601" s="1431">
        <v>700</v>
      </c>
    </row>
    <row r="602" spans="1:4">
      <c r="A602" s="1426" t="s">
        <v>400</v>
      </c>
      <c r="B602" s="1426" t="s">
        <v>406</v>
      </c>
      <c r="C602" s="1426" t="s">
        <v>707</v>
      </c>
      <c r="D602" s="1427">
        <v>1000</v>
      </c>
    </row>
    <row r="603" spans="1:4">
      <c r="A603" s="1426" t="s">
        <v>400</v>
      </c>
      <c r="B603" s="1426" t="s">
        <v>406</v>
      </c>
      <c r="C603" s="1426" t="s">
        <v>706</v>
      </c>
      <c r="D603" s="1431">
        <v>500</v>
      </c>
    </row>
    <row r="604" spans="1:4">
      <c r="A604" s="1426" t="s">
        <v>400</v>
      </c>
      <c r="B604" s="1426" t="s">
        <v>406</v>
      </c>
      <c r="C604" s="1426" t="s">
        <v>705</v>
      </c>
      <c r="D604" s="1431">
        <v>500</v>
      </c>
    </row>
    <row r="605" spans="1:4">
      <c r="A605" s="1426" t="s">
        <v>400</v>
      </c>
      <c r="B605" s="1426" t="s">
        <v>406</v>
      </c>
      <c r="C605" s="1426" t="s">
        <v>704</v>
      </c>
      <c r="D605" s="1431">
        <v>400</v>
      </c>
    </row>
    <row r="606" spans="1:4">
      <c r="A606" s="1426" t="s">
        <v>400</v>
      </c>
      <c r="B606" s="1426" t="s">
        <v>406</v>
      </c>
      <c r="C606" s="1426" t="s">
        <v>703</v>
      </c>
      <c r="D606" s="1431">
        <v>300</v>
      </c>
    </row>
    <row r="607" spans="1:4">
      <c r="A607" s="1426" t="s">
        <v>400</v>
      </c>
      <c r="B607" s="1426" t="s">
        <v>406</v>
      </c>
      <c r="C607" s="1426" t="s">
        <v>702</v>
      </c>
      <c r="D607" s="1431">
        <v>0</v>
      </c>
    </row>
    <row r="608" spans="1:4">
      <c r="A608" s="1426" t="s">
        <v>400</v>
      </c>
      <c r="B608" s="1426" t="s">
        <v>405</v>
      </c>
      <c r="C608" s="1426" t="s">
        <v>712</v>
      </c>
      <c r="D608" s="1427">
        <v>3500</v>
      </c>
    </row>
    <row r="609" spans="1:4">
      <c r="A609" s="1426" t="s">
        <v>400</v>
      </c>
      <c r="B609" s="1426" t="s">
        <v>405</v>
      </c>
      <c r="C609" s="1426" t="s">
        <v>711</v>
      </c>
      <c r="D609" s="1427">
        <v>3100</v>
      </c>
    </row>
    <row r="610" spans="1:4">
      <c r="A610" s="1426" t="s">
        <v>400</v>
      </c>
      <c r="B610" s="1426" t="s">
        <v>405</v>
      </c>
      <c r="C610" s="1426" t="s">
        <v>710</v>
      </c>
      <c r="D610" s="1427">
        <v>3200</v>
      </c>
    </row>
    <row r="611" spans="1:4">
      <c r="A611" s="1426" t="s">
        <v>400</v>
      </c>
      <c r="B611" s="1426" t="s">
        <v>405</v>
      </c>
      <c r="C611" s="1426" t="s">
        <v>709</v>
      </c>
      <c r="D611" s="1427">
        <v>3000</v>
      </c>
    </row>
    <row r="612" spans="1:4">
      <c r="A612" s="1426" t="s">
        <v>400</v>
      </c>
      <c r="B612" s="1426" t="s">
        <v>405</v>
      </c>
      <c r="C612" s="1426" t="s">
        <v>708</v>
      </c>
      <c r="D612" s="1427">
        <v>2600</v>
      </c>
    </row>
    <row r="613" spans="1:4">
      <c r="A613" s="1426" t="s">
        <v>400</v>
      </c>
      <c r="B613" s="1426" t="s">
        <v>405</v>
      </c>
      <c r="C613" s="1426" t="s">
        <v>707</v>
      </c>
      <c r="D613" s="1427">
        <v>1800</v>
      </c>
    </row>
    <row r="614" spans="1:4">
      <c r="A614" s="1426" t="s">
        <v>400</v>
      </c>
      <c r="B614" s="1426" t="s">
        <v>405</v>
      </c>
      <c r="C614" s="1426" t="s">
        <v>706</v>
      </c>
      <c r="D614" s="1427">
        <v>1200</v>
      </c>
    </row>
    <row r="615" spans="1:4">
      <c r="A615" s="1426" t="s">
        <v>400</v>
      </c>
      <c r="B615" s="1426" t="s">
        <v>405</v>
      </c>
      <c r="C615" s="1426" t="s">
        <v>705</v>
      </c>
      <c r="D615" s="1427">
        <v>1100</v>
      </c>
    </row>
    <row r="616" spans="1:4">
      <c r="A616" s="1426" t="s">
        <v>400</v>
      </c>
      <c r="B616" s="1426" t="s">
        <v>405</v>
      </c>
      <c r="C616" s="1426" t="s">
        <v>704</v>
      </c>
      <c r="D616" s="1427">
        <v>1500</v>
      </c>
    </row>
    <row r="617" spans="1:4">
      <c r="A617" s="1426" t="s">
        <v>400</v>
      </c>
      <c r="B617" s="1426" t="s">
        <v>405</v>
      </c>
      <c r="C617" s="1426" t="s">
        <v>703</v>
      </c>
      <c r="D617" s="1427">
        <v>1200</v>
      </c>
    </row>
    <row r="618" spans="1:4">
      <c r="A618" s="1426" t="s">
        <v>400</v>
      </c>
      <c r="B618" s="1426" t="s">
        <v>405</v>
      </c>
      <c r="C618" s="1426" t="s">
        <v>702</v>
      </c>
      <c r="D618" s="1427">
        <v>1000</v>
      </c>
    </row>
    <row r="619" spans="1:4">
      <c r="A619" s="1426" t="s">
        <v>401</v>
      </c>
      <c r="B619" s="1426" t="s">
        <v>404</v>
      </c>
      <c r="C619" s="1426" t="s">
        <v>712</v>
      </c>
      <c r="D619" s="1427">
        <v>1900</v>
      </c>
    </row>
    <row r="620" spans="1:4">
      <c r="A620" s="1426" t="s">
        <v>401</v>
      </c>
      <c r="B620" s="1426" t="s">
        <v>404</v>
      </c>
      <c r="C620" s="1426" t="s">
        <v>711</v>
      </c>
      <c r="D620" s="1427">
        <v>1600</v>
      </c>
    </row>
    <row r="621" spans="1:4">
      <c r="A621" s="1426" t="s">
        <v>401</v>
      </c>
      <c r="B621" s="1426" t="s">
        <v>404</v>
      </c>
      <c r="C621" s="1426" t="s">
        <v>710</v>
      </c>
      <c r="D621" s="1427">
        <v>1700</v>
      </c>
    </row>
    <row r="622" spans="1:4">
      <c r="A622" s="1426" t="s">
        <v>401</v>
      </c>
      <c r="B622" s="1426" t="s">
        <v>404</v>
      </c>
      <c r="C622" s="1426" t="s">
        <v>709</v>
      </c>
      <c r="D622" s="1427">
        <v>2500</v>
      </c>
    </row>
    <row r="623" spans="1:4">
      <c r="A623" s="1426" t="s">
        <v>401</v>
      </c>
      <c r="B623" s="1426" t="s">
        <v>404</v>
      </c>
      <c r="C623" s="1426" t="s">
        <v>708</v>
      </c>
      <c r="D623" s="1427">
        <v>1700</v>
      </c>
    </row>
    <row r="624" spans="1:4">
      <c r="A624" s="1426" t="s">
        <v>401</v>
      </c>
      <c r="B624" s="1426" t="s">
        <v>404</v>
      </c>
      <c r="C624" s="1426" t="s">
        <v>707</v>
      </c>
      <c r="D624" s="1427">
        <v>1600</v>
      </c>
    </row>
    <row r="625" spans="1:4">
      <c r="A625" s="1426" t="s">
        <v>401</v>
      </c>
      <c r="B625" s="1426" t="s">
        <v>404</v>
      </c>
      <c r="C625" s="1426" t="s">
        <v>706</v>
      </c>
      <c r="D625" s="1427">
        <v>1600</v>
      </c>
    </row>
    <row r="626" spans="1:4">
      <c r="A626" s="1426" t="s">
        <v>401</v>
      </c>
      <c r="B626" s="1426" t="s">
        <v>404</v>
      </c>
      <c r="C626" s="1426" t="s">
        <v>705</v>
      </c>
      <c r="D626" s="1427">
        <v>1900</v>
      </c>
    </row>
    <row r="627" spans="1:4">
      <c r="A627" s="1426" t="s">
        <v>401</v>
      </c>
      <c r="B627" s="1426" t="s">
        <v>404</v>
      </c>
      <c r="C627" s="1426" t="s">
        <v>704</v>
      </c>
      <c r="D627" s="1427">
        <v>2400</v>
      </c>
    </row>
    <row r="628" spans="1:4">
      <c r="A628" s="1426" t="s">
        <v>401</v>
      </c>
      <c r="B628" s="1426" t="s">
        <v>404</v>
      </c>
      <c r="C628" s="1426" t="s">
        <v>703</v>
      </c>
      <c r="D628" s="1427">
        <v>2800</v>
      </c>
    </row>
    <row r="629" spans="1:4">
      <c r="A629" s="1426" t="s">
        <v>401</v>
      </c>
      <c r="B629" s="1426" t="s">
        <v>404</v>
      </c>
      <c r="C629" s="1426" t="s">
        <v>702</v>
      </c>
      <c r="D629" s="1427">
        <v>3500</v>
      </c>
    </row>
    <row r="630" spans="1:4">
      <c r="A630" s="1426" t="s">
        <v>401</v>
      </c>
      <c r="B630" s="1426" t="s">
        <v>407</v>
      </c>
      <c r="C630" s="1426" t="s">
        <v>712</v>
      </c>
      <c r="D630" s="1427">
        <v>24700</v>
      </c>
    </row>
    <row r="631" spans="1:4">
      <c r="A631" s="1426" t="s">
        <v>401</v>
      </c>
      <c r="B631" s="1426" t="s">
        <v>407</v>
      </c>
      <c r="C631" s="1426" t="s">
        <v>711</v>
      </c>
      <c r="D631" s="1427">
        <v>20600</v>
      </c>
    </row>
    <row r="632" spans="1:4">
      <c r="A632" s="1426" t="s">
        <v>401</v>
      </c>
      <c r="B632" s="1426" t="s">
        <v>407</v>
      </c>
      <c r="C632" s="1426" t="s">
        <v>710</v>
      </c>
      <c r="D632" s="1427">
        <v>17700</v>
      </c>
    </row>
    <row r="633" spans="1:4">
      <c r="A633" s="1426" t="s">
        <v>401</v>
      </c>
      <c r="B633" s="1426" t="s">
        <v>407</v>
      </c>
      <c r="C633" s="1426" t="s">
        <v>709</v>
      </c>
      <c r="D633" s="1427">
        <v>15900</v>
      </c>
    </row>
    <row r="634" spans="1:4">
      <c r="A634" s="1426" t="s">
        <v>401</v>
      </c>
      <c r="B634" s="1426" t="s">
        <v>407</v>
      </c>
      <c r="C634" s="1426" t="s">
        <v>708</v>
      </c>
      <c r="D634" s="1427">
        <v>15200</v>
      </c>
    </row>
    <row r="635" spans="1:4">
      <c r="A635" s="1426" t="s">
        <v>401</v>
      </c>
      <c r="B635" s="1426" t="s">
        <v>407</v>
      </c>
      <c r="C635" s="1426" t="s">
        <v>707</v>
      </c>
      <c r="D635" s="1427">
        <v>13900</v>
      </c>
    </row>
    <row r="636" spans="1:4">
      <c r="A636" s="1426" t="s">
        <v>401</v>
      </c>
      <c r="B636" s="1426" t="s">
        <v>407</v>
      </c>
      <c r="C636" s="1426" t="s">
        <v>706</v>
      </c>
      <c r="D636" s="1427">
        <v>11700</v>
      </c>
    </row>
    <row r="637" spans="1:4">
      <c r="A637" s="1426" t="s">
        <v>401</v>
      </c>
      <c r="B637" s="1426" t="s">
        <v>407</v>
      </c>
      <c r="C637" s="1426" t="s">
        <v>705</v>
      </c>
      <c r="D637" s="1427">
        <v>11400</v>
      </c>
    </row>
    <row r="638" spans="1:4">
      <c r="A638" s="1426" t="s">
        <v>401</v>
      </c>
      <c r="B638" s="1426" t="s">
        <v>407</v>
      </c>
      <c r="C638" s="1426" t="s">
        <v>704</v>
      </c>
      <c r="D638" s="1427">
        <v>16800</v>
      </c>
    </row>
    <row r="639" spans="1:4">
      <c r="A639" s="1426" t="s">
        <v>401</v>
      </c>
      <c r="B639" s="1426" t="s">
        <v>407</v>
      </c>
      <c r="C639" s="1426" t="s">
        <v>703</v>
      </c>
      <c r="D639" s="1427">
        <v>17300</v>
      </c>
    </row>
    <row r="640" spans="1:4">
      <c r="A640" s="1426" t="s">
        <v>401</v>
      </c>
      <c r="B640" s="1426" t="s">
        <v>407</v>
      </c>
      <c r="C640" s="1426" t="s">
        <v>702</v>
      </c>
      <c r="D640" s="1427">
        <v>16900</v>
      </c>
    </row>
    <row r="641" spans="1:4">
      <c r="A641" s="1426" t="s">
        <v>401</v>
      </c>
      <c r="B641" s="1426" t="s">
        <v>406</v>
      </c>
      <c r="C641" s="1426" t="s">
        <v>712</v>
      </c>
      <c r="D641" s="1427">
        <v>3300</v>
      </c>
    </row>
    <row r="642" spans="1:4">
      <c r="A642" s="1426" t="s">
        <v>401</v>
      </c>
      <c r="B642" s="1426" t="s">
        <v>406</v>
      </c>
      <c r="C642" s="1426" t="s">
        <v>711</v>
      </c>
      <c r="D642" s="1427">
        <v>3300</v>
      </c>
    </row>
    <row r="643" spans="1:4">
      <c r="A643" s="1426" t="s">
        <v>401</v>
      </c>
      <c r="B643" s="1426" t="s">
        <v>406</v>
      </c>
      <c r="C643" s="1426" t="s">
        <v>710</v>
      </c>
      <c r="D643" s="1427">
        <v>2500</v>
      </c>
    </row>
    <row r="644" spans="1:4">
      <c r="A644" s="1426" t="s">
        <v>401</v>
      </c>
      <c r="B644" s="1426" t="s">
        <v>406</v>
      </c>
      <c r="C644" s="1426" t="s">
        <v>709</v>
      </c>
      <c r="D644" s="1427">
        <v>2700</v>
      </c>
    </row>
    <row r="645" spans="1:4">
      <c r="A645" s="1426" t="s">
        <v>401</v>
      </c>
      <c r="B645" s="1426" t="s">
        <v>406</v>
      </c>
      <c r="C645" s="1426" t="s">
        <v>708</v>
      </c>
      <c r="D645" s="1427">
        <v>1300</v>
      </c>
    </row>
    <row r="646" spans="1:4">
      <c r="A646" s="1426" t="s">
        <v>401</v>
      </c>
      <c r="B646" s="1426" t="s">
        <v>406</v>
      </c>
      <c r="C646" s="1426" t="s">
        <v>707</v>
      </c>
      <c r="D646" s="1427">
        <v>1200</v>
      </c>
    </row>
    <row r="647" spans="1:4">
      <c r="A647" s="1426" t="s">
        <v>401</v>
      </c>
      <c r="B647" s="1426" t="s">
        <v>406</v>
      </c>
      <c r="C647" s="1426" t="s">
        <v>706</v>
      </c>
      <c r="D647" s="1427">
        <v>1300</v>
      </c>
    </row>
    <row r="648" spans="1:4">
      <c r="A648" s="1426" t="s">
        <v>401</v>
      </c>
      <c r="B648" s="1426" t="s">
        <v>406</v>
      </c>
      <c r="C648" s="1426" t="s">
        <v>705</v>
      </c>
      <c r="D648" s="1431">
        <v>900</v>
      </c>
    </row>
    <row r="649" spans="1:4">
      <c r="A649" s="1426" t="s">
        <v>401</v>
      </c>
      <c r="B649" s="1426" t="s">
        <v>406</v>
      </c>
      <c r="C649" s="1426" t="s">
        <v>704</v>
      </c>
      <c r="D649" s="1427">
        <v>1000</v>
      </c>
    </row>
    <row r="650" spans="1:4">
      <c r="A650" s="1426" t="s">
        <v>401</v>
      </c>
      <c r="B650" s="1426" t="s">
        <v>406</v>
      </c>
      <c r="C650" s="1426" t="s">
        <v>703</v>
      </c>
      <c r="D650" s="1431">
        <v>900</v>
      </c>
    </row>
    <row r="651" spans="1:4">
      <c r="A651" s="1426" t="s">
        <v>401</v>
      </c>
      <c r="B651" s="1426" t="s">
        <v>406</v>
      </c>
      <c r="C651" s="1426" t="s">
        <v>702</v>
      </c>
      <c r="D651" s="1431">
        <v>0</v>
      </c>
    </row>
    <row r="652" spans="1:4">
      <c r="A652" s="1426" t="s">
        <v>401</v>
      </c>
      <c r="B652" s="1426" t="s">
        <v>405</v>
      </c>
      <c r="C652" s="1426" t="s">
        <v>712</v>
      </c>
      <c r="D652" s="1427">
        <v>2400</v>
      </c>
    </row>
    <row r="653" spans="1:4">
      <c r="A653" s="1426" t="s">
        <v>401</v>
      </c>
      <c r="B653" s="1426" t="s">
        <v>405</v>
      </c>
      <c r="C653" s="1426" t="s">
        <v>711</v>
      </c>
      <c r="D653" s="1427">
        <v>2100</v>
      </c>
    </row>
    <row r="654" spans="1:4">
      <c r="A654" s="1426" t="s">
        <v>401</v>
      </c>
      <c r="B654" s="1426" t="s">
        <v>405</v>
      </c>
      <c r="C654" s="1426" t="s">
        <v>710</v>
      </c>
      <c r="D654" s="1427">
        <v>2500</v>
      </c>
    </row>
    <row r="655" spans="1:4">
      <c r="A655" s="1426" t="s">
        <v>401</v>
      </c>
      <c r="B655" s="1426" t="s">
        <v>405</v>
      </c>
      <c r="C655" s="1426" t="s">
        <v>709</v>
      </c>
      <c r="D655" s="1427">
        <v>2900</v>
      </c>
    </row>
    <row r="656" spans="1:4">
      <c r="A656" s="1426" t="s">
        <v>401</v>
      </c>
      <c r="B656" s="1426" t="s">
        <v>405</v>
      </c>
      <c r="C656" s="1426" t="s">
        <v>708</v>
      </c>
      <c r="D656" s="1427">
        <v>3200</v>
      </c>
    </row>
    <row r="657" spans="1:4">
      <c r="A657" s="1426" t="s">
        <v>401</v>
      </c>
      <c r="B657" s="1426" t="s">
        <v>405</v>
      </c>
      <c r="C657" s="1426" t="s">
        <v>707</v>
      </c>
      <c r="D657" s="1427">
        <v>3100</v>
      </c>
    </row>
    <row r="658" spans="1:4">
      <c r="A658" s="1426" t="s">
        <v>401</v>
      </c>
      <c r="B658" s="1426" t="s">
        <v>405</v>
      </c>
      <c r="C658" s="1426" t="s">
        <v>706</v>
      </c>
      <c r="D658" s="1427">
        <v>3400</v>
      </c>
    </row>
    <row r="659" spans="1:4">
      <c r="A659" s="1426" t="s">
        <v>401</v>
      </c>
      <c r="B659" s="1426" t="s">
        <v>405</v>
      </c>
      <c r="C659" s="1426" t="s">
        <v>705</v>
      </c>
      <c r="D659" s="1427">
        <v>5000</v>
      </c>
    </row>
    <row r="660" spans="1:4">
      <c r="A660" s="1426" t="s">
        <v>401</v>
      </c>
      <c r="B660" s="1426" t="s">
        <v>405</v>
      </c>
      <c r="C660" s="1426" t="s">
        <v>704</v>
      </c>
      <c r="D660" s="1427">
        <v>5400</v>
      </c>
    </row>
    <row r="661" spans="1:4">
      <c r="A661" s="1426" t="s">
        <v>401</v>
      </c>
      <c r="B661" s="1426" t="s">
        <v>405</v>
      </c>
      <c r="C661" s="1426" t="s">
        <v>703</v>
      </c>
      <c r="D661" s="1427">
        <v>5300</v>
      </c>
    </row>
    <row r="662" spans="1:4">
      <c r="A662" s="1426" t="s">
        <v>401</v>
      </c>
      <c r="B662" s="1426" t="s">
        <v>405</v>
      </c>
      <c r="C662" s="1426" t="s">
        <v>702</v>
      </c>
      <c r="D662" s="1427">
        <v>6300</v>
      </c>
    </row>
    <row r="663" spans="1:4">
      <c r="A663" s="1426" t="s">
        <v>387</v>
      </c>
      <c r="B663" s="1426" t="s">
        <v>404</v>
      </c>
      <c r="C663" s="1426" t="s">
        <v>712</v>
      </c>
      <c r="D663" s="1427">
        <v>16100</v>
      </c>
    </row>
    <row r="664" spans="1:4">
      <c r="A664" s="1426" t="s">
        <v>387</v>
      </c>
      <c r="B664" s="1426" t="s">
        <v>404</v>
      </c>
      <c r="C664" s="1426" t="s">
        <v>711</v>
      </c>
      <c r="D664" s="1427">
        <v>15000</v>
      </c>
    </row>
    <row r="665" spans="1:4">
      <c r="A665" s="1426" t="s">
        <v>387</v>
      </c>
      <c r="B665" s="1426" t="s">
        <v>404</v>
      </c>
      <c r="C665" s="1426" t="s">
        <v>710</v>
      </c>
      <c r="D665" s="1427">
        <v>11800</v>
      </c>
    </row>
    <row r="666" spans="1:4">
      <c r="A666" s="1426" t="s">
        <v>387</v>
      </c>
      <c r="B666" s="1426" t="s">
        <v>404</v>
      </c>
      <c r="C666" s="1426" t="s">
        <v>709</v>
      </c>
      <c r="D666" s="1427">
        <v>11300</v>
      </c>
    </row>
    <row r="667" spans="1:4">
      <c r="A667" s="1426" t="s">
        <v>387</v>
      </c>
      <c r="B667" s="1426" t="s">
        <v>404</v>
      </c>
      <c r="C667" s="1426" t="s">
        <v>708</v>
      </c>
      <c r="D667" s="1427">
        <v>9800</v>
      </c>
    </row>
    <row r="668" spans="1:4">
      <c r="A668" s="1426" t="s">
        <v>387</v>
      </c>
      <c r="B668" s="1426" t="s">
        <v>404</v>
      </c>
      <c r="C668" s="1426" t="s">
        <v>707</v>
      </c>
      <c r="D668" s="1427">
        <v>10900</v>
      </c>
    </row>
    <row r="669" spans="1:4">
      <c r="A669" s="1426" t="s">
        <v>387</v>
      </c>
      <c r="B669" s="1426" t="s">
        <v>404</v>
      </c>
      <c r="C669" s="1426" t="s">
        <v>706</v>
      </c>
      <c r="D669" s="1427">
        <v>7500</v>
      </c>
    </row>
    <row r="670" spans="1:4">
      <c r="A670" s="1426" t="s">
        <v>387</v>
      </c>
      <c r="B670" s="1426" t="s">
        <v>404</v>
      </c>
      <c r="C670" s="1426" t="s">
        <v>705</v>
      </c>
      <c r="D670" s="1427">
        <v>11200</v>
      </c>
    </row>
    <row r="671" spans="1:4">
      <c r="A671" s="1426" t="s">
        <v>387</v>
      </c>
      <c r="B671" s="1426" t="s">
        <v>404</v>
      </c>
      <c r="C671" s="1426" t="s">
        <v>704</v>
      </c>
      <c r="D671" s="1427">
        <v>4500</v>
      </c>
    </row>
    <row r="672" spans="1:4">
      <c r="A672" s="1426" t="s">
        <v>387</v>
      </c>
      <c r="B672" s="1426" t="s">
        <v>404</v>
      </c>
      <c r="C672" s="1426" t="s">
        <v>703</v>
      </c>
      <c r="D672" s="1427">
        <v>3300</v>
      </c>
    </row>
    <row r="673" spans="1:4">
      <c r="A673" s="1426" t="s">
        <v>387</v>
      </c>
      <c r="B673" s="1426" t="s">
        <v>404</v>
      </c>
      <c r="C673" s="1426" t="s">
        <v>702</v>
      </c>
      <c r="D673" s="1427">
        <v>2400</v>
      </c>
    </row>
    <row r="674" spans="1:4">
      <c r="A674" s="1426" t="s">
        <v>387</v>
      </c>
      <c r="B674" s="1426" t="s">
        <v>407</v>
      </c>
      <c r="C674" s="1426" t="s">
        <v>712</v>
      </c>
      <c r="D674" s="1427">
        <v>1600</v>
      </c>
    </row>
    <row r="675" spans="1:4">
      <c r="A675" s="1426" t="s">
        <v>387</v>
      </c>
      <c r="B675" s="1426" t="s">
        <v>407</v>
      </c>
      <c r="C675" s="1426" t="s">
        <v>711</v>
      </c>
      <c r="D675" s="1427">
        <v>1500</v>
      </c>
    </row>
    <row r="676" spans="1:4">
      <c r="A676" s="1426" t="s">
        <v>387</v>
      </c>
      <c r="B676" s="1426" t="s">
        <v>407</v>
      </c>
      <c r="C676" s="1426" t="s">
        <v>710</v>
      </c>
      <c r="D676" s="1427">
        <v>1000</v>
      </c>
    </row>
    <row r="677" spans="1:4">
      <c r="A677" s="1426" t="s">
        <v>387</v>
      </c>
      <c r="B677" s="1426" t="s">
        <v>407</v>
      </c>
      <c r="C677" s="1426" t="s">
        <v>709</v>
      </c>
      <c r="D677" s="1431">
        <v>800</v>
      </c>
    </row>
    <row r="678" spans="1:4">
      <c r="A678" s="1426" t="s">
        <v>387</v>
      </c>
      <c r="B678" s="1426" t="s">
        <v>407</v>
      </c>
      <c r="C678" s="1426" t="s">
        <v>708</v>
      </c>
      <c r="D678" s="1431">
        <v>400</v>
      </c>
    </row>
    <row r="679" spans="1:4">
      <c r="A679" s="1426" t="s">
        <v>387</v>
      </c>
      <c r="B679" s="1426" t="s">
        <v>407</v>
      </c>
      <c r="C679" s="1426" t="s">
        <v>707</v>
      </c>
      <c r="D679" s="1431">
        <v>400</v>
      </c>
    </row>
    <row r="680" spans="1:4">
      <c r="A680" s="1426" t="s">
        <v>387</v>
      </c>
      <c r="B680" s="1426" t="s">
        <v>407</v>
      </c>
      <c r="C680" s="1426" t="s">
        <v>706</v>
      </c>
      <c r="D680" s="1431">
        <v>500</v>
      </c>
    </row>
    <row r="681" spans="1:4">
      <c r="A681" s="1426" t="s">
        <v>387</v>
      </c>
      <c r="B681" s="1426" t="s">
        <v>407</v>
      </c>
      <c r="C681" s="1426" t="s">
        <v>705</v>
      </c>
      <c r="D681" s="1431">
        <v>500</v>
      </c>
    </row>
    <row r="682" spans="1:4">
      <c r="A682" s="1426" t="s">
        <v>387</v>
      </c>
      <c r="B682" s="1426" t="s">
        <v>407</v>
      </c>
      <c r="C682" s="1426" t="s">
        <v>704</v>
      </c>
      <c r="D682" s="1431">
        <v>0</v>
      </c>
    </row>
    <row r="683" spans="1:4">
      <c r="A683" s="1426" t="s">
        <v>387</v>
      </c>
      <c r="B683" s="1426" t="s">
        <v>407</v>
      </c>
      <c r="C683" s="1426" t="s">
        <v>703</v>
      </c>
      <c r="D683" s="1431">
        <v>500</v>
      </c>
    </row>
    <row r="684" spans="1:4">
      <c r="A684" s="1426" t="s">
        <v>387</v>
      </c>
      <c r="B684" s="1426" t="s">
        <v>407</v>
      </c>
      <c r="C684" s="1426" t="s">
        <v>702</v>
      </c>
      <c r="D684" s="1431">
        <v>0</v>
      </c>
    </row>
    <row r="685" spans="1:4">
      <c r="A685" s="1426" t="s">
        <v>387</v>
      </c>
      <c r="B685" s="1426" t="s">
        <v>406</v>
      </c>
      <c r="C685" s="1426" t="s">
        <v>712</v>
      </c>
      <c r="D685" s="1431">
        <v>0</v>
      </c>
    </row>
    <row r="686" spans="1:4">
      <c r="A686" s="1426" t="s">
        <v>387</v>
      </c>
      <c r="B686" s="1426" t="s">
        <v>406</v>
      </c>
      <c r="C686" s="1426" t="s">
        <v>711</v>
      </c>
      <c r="D686" s="1431">
        <v>0</v>
      </c>
    </row>
    <row r="687" spans="1:4">
      <c r="A687" s="1426" t="s">
        <v>387</v>
      </c>
      <c r="B687" s="1426" t="s">
        <v>406</v>
      </c>
      <c r="C687" s="1426" t="s">
        <v>710</v>
      </c>
      <c r="D687" s="1431">
        <v>0</v>
      </c>
    </row>
    <row r="688" spans="1:4">
      <c r="A688" s="1426" t="s">
        <v>387</v>
      </c>
      <c r="B688" s="1426" t="s">
        <v>406</v>
      </c>
      <c r="C688" s="1426" t="s">
        <v>709</v>
      </c>
      <c r="D688" s="1431">
        <v>0</v>
      </c>
    </row>
    <row r="689" spans="1:4">
      <c r="A689" s="1426" t="s">
        <v>387</v>
      </c>
      <c r="B689" s="1426" t="s">
        <v>406</v>
      </c>
      <c r="C689" s="1426" t="s">
        <v>708</v>
      </c>
      <c r="D689" s="1431">
        <v>0</v>
      </c>
    </row>
    <row r="690" spans="1:4">
      <c r="A690" s="1426" t="s">
        <v>387</v>
      </c>
      <c r="B690" s="1426" t="s">
        <v>406</v>
      </c>
      <c r="C690" s="1426" t="s">
        <v>707</v>
      </c>
      <c r="D690" s="1431">
        <v>100</v>
      </c>
    </row>
    <row r="691" spans="1:4">
      <c r="A691" s="1426" t="s">
        <v>387</v>
      </c>
      <c r="B691" s="1426" t="s">
        <v>406</v>
      </c>
      <c r="C691" s="1426" t="s">
        <v>706</v>
      </c>
      <c r="D691" s="1431">
        <v>100</v>
      </c>
    </row>
    <row r="692" spans="1:4">
      <c r="A692" s="1426" t="s">
        <v>387</v>
      </c>
      <c r="B692" s="1426" t="s">
        <v>406</v>
      </c>
      <c r="C692" s="1426" t="s">
        <v>705</v>
      </c>
      <c r="D692" s="1431">
        <v>0</v>
      </c>
    </row>
    <row r="693" spans="1:4">
      <c r="A693" s="1426" t="s">
        <v>387</v>
      </c>
      <c r="B693" s="1426" t="s">
        <v>406</v>
      </c>
      <c r="C693" s="1426" t="s">
        <v>704</v>
      </c>
      <c r="D693" s="1431">
        <v>0</v>
      </c>
    </row>
    <row r="694" spans="1:4">
      <c r="A694" s="1426" t="s">
        <v>387</v>
      </c>
      <c r="B694" s="1426" t="s">
        <v>406</v>
      </c>
      <c r="C694" s="1426" t="s">
        <v>703</v>
      </c>
      <c r="D694" s="1431">
        <v>0</v>
      </c>
    </row>
    <row r="695" spans="1:4">
      <c r="A695" s="1426" t="s">
        <v>387</v>
      </c>
      <c r="B695" s="1426" t="s">
        <v>406</v>
      </c>
      <c r="C695" s="1426" t="s">
        <v>702</v>
      </c>
      <c r="D695" s="1431">
        <v>0</v>
      </c>
    </row>
    <row r="696" spans="1:4">
      <c r="A696" s="1426" t="s">
        <v>387</v>
      </c>
      <c r="B696" s="1426" t="s">
        <v>405</v>
      </c>
      <c r="C696" s="1426" t="s">
        <v>712</v>
      </c>
      <c r="D696" s="1431">
        <v>600</v>
      </c>
    </row>
    <row r="697" spans="1:4">
      <c r="A697" s="1426" t="s">
        <v>387</v>
      </c>
      <c r="B697" s="1426" t="s">
        <v>405</v>
      </c>
      <c r="C697" s="1426" t="s">
        <v>711</v>
      </c>
      <c r="D697" s="1431">
        <v>600</v>
      </c>
    </row>
    <row r="698" spans="1:4">
      <c r="A698" s="1426" t="s">
        <v>387</v>
      </c>
      <c r="B698" s="1426" t="s">
        <v>405</v>
      </c>
      <c r="C698" s="1426" t="s">
        <v>710</v>
      </c>
      <c r="D698" s="1431">
        <v>500</v>
      </c>
    </row>
    <row r="699" spans="1:4">
      <c r="A699" s="1426" t="s">
        <v>387</v>
      </c>
      <c r="B699" s="1426" t="s">
        <v>405</v>
      </c>
      <c r="C699" s="1426" t="s">
        <v>709</v>
      </c>
      <c r="D699" s="1431">
        <v>800</v>
      </c>
    </row>
    <row r="700" spans="1:4">
      <c r="A700" s="1426" t="s">
        <v>387</v>
      </c>
      <c r="B700" s="1426" t="s">
        <v>405</v>
      </c>
      <c r="C700" s="1426" t="s">
        <v>708</v>
      </c>
      <c r="D700" s="1431">
        <v>500</v>
      </c>
    </row>
    <row r="701" spans="1:4">
      <c r="A701" s="1426" t="s">
        <v>387</v>
      </c>
      <c r="B701" s="1426" t="s">
        <v>405</v>
      </c>
      <c r="C701" s="1426" t="s">
        <v>707</v>
      </c>
      <c r="D701" s="1431">
        <v>300</v>
      </c>
    </row>
    <row r="702" spans="1:4">
      <c r="A702" s="1426" t="s">
        <v>387</v>
      </c>
      <c r="B702" s="1426" t="s">
        <v>405</v>
      </c>
      <c r="C702" s="1426" t="s">
        <v>706</v>
      </c>
      <c r="D702" s="1431">
        <v>200</v>
      </c>
    </row>
    <row r="703" spans="1:4">
      <c r="A703" s="1426" t="s">
        <v>387</v>
      </c>
      <c r="B703" s="1426" t="s">
        <v>405</v>
      </c>
      <c r="C703" s="1426" t="s">
        <v>705</v>
      </c>
      <c r="D703" s="1431">
        <v>0</v>
      </c>
    </row>
    <row r="704" spans="1:4">
      <c r="A704" s="1426" t="s">
        <v>387</v>
      </c>
      <c r="B704" s="1426" t="s">
        <v>405</v>
      </c>
      <c r="C704" s="1426" t="s">
        <v>704</v>
      </c>
      <c r="D704" s="1431">
        <v>0</v>
      </c>
    </row>
    <row r="705" spans="1:4">
      <c r="A705" s="1426" t="s">
        <v>387</v>
      </c>
      <c r="B705" s="1426" t="s">
        <v>405</v>
      </c>
      <c r="C705" s="1426" t="s">
        <v>703</v>
      </c>
      <c r="D705" s="1431">
        <v>200</v>
      </c>
    </row>
    <row r="706" spans="1:4">
      <c r="A706" s="1426" t="s">
        <v>387</v>
      </c>
      <c r="B706" s="1426" t="s">
        <v>405</v>
      </c>
      <c r="C706" s="1426" t="s">
        <v>702</v>
      </c>
      <c r="D706" s="1431">
        <v>100</v>
      </c>
    </row>
    <row r="707" spans="1:4">
      <c r="A707" s="1426" t="s">
        <v>402</v>
      </c>
      <c r="B707" s="1426" t="s">
        <v>404</v>
      </c>
      <c r="C707" s="1426" t="s">
        <v>712</v>
      </c>
      <c r="D707" s="1427">
        <v>6500</v>
      </c>
    </row>
    <row r="708" spans="1:4">
      <c r="A708" s="1426" t="s">
        <v>402</v>
      </c>
      <c r="B708" s="1426" t="s">
        <v>404</v>
      </c>
      <c r="C708" s="1426" t="s">
        <v>711</v>
      </c>
      <c r="D708" s="1427">
        <v>5500</v>
      </c>
    </row>
    <row r="709" spans="1:4">
      <c r="A709" s="1426" t="s">
        <v>402</v>
      </c>
      <c r="B709" s="1426" t="s">
        <v>404</v>
      </c>
      <c r="C709" s="1426" t="s">
        <v>710</v>
      </c>
      <c r="D709" s="1427">
        <v>5900</v>
      </c>
    </row>
    <row r="710" spans="1:4">
      <c r="A710" s="1426" t="s">
        <v>402</v>
      </c>
      <c r="B710" s="1426" t="s">
        <v>404</v>
      </c>
      <c r="C710" s="1426" t="s">
        <v>709</v>
      </c>
      <c r="D710" s="1427">
        <v>5800</v>
      </c>
    </row>
    <row r="711" spans="1:4">
      <c r="A711" s="1426" t="s">
        <v>402</v>
      </c>
      <c r="B711" s="1426" t="s">
        <v>404</v>
      </c>
      <c r="C711" s="1426" t="s">
        <v>708</v>
      </c>
      <c r="D711" s="1427">
        <v>3400</v>
      </c>
    </row>
    <row r="712" spans="1:4">
      <c r="A712" s="1426" t="s">
        <v>402</v>
      </c>
      <c r="B712" s="1426" t="s">
        <v>404</v>
      </c>
      <c r="C712" s="1426" t="s">
        <v>707</v>
      </c>
      <c r="D712" s="1427">
        <v>3500</v>
      </c>
    </row>
    <row r="713" spans="1:4">
      <c r="A713" s="1426" t="s">
        <v>402</v>
      </c>
      <c r="B713" s="1426" t="s">
        <v>404</v>
      </c>
      <c r="C713" s="1426" t="s">
        <v>706</v>
      </c>
      <c r="D713" s="1427">
        <v>2800</v>
      </c>
    </row>
    <row r="714" spans="1:4">
      <c r="A714" s="1426" t="s">
        <v>402</v>
      </c>
      <c r="B714" s="1426" t="s">
        <v>404</v>
      </c>
      <c r="C714" s="1426" t="s">
        <v>705</v>
      </c>
      <c r="D714" s="1427">
        <v>3100</v>
      </c>
    </row>
    <row r="715" spans="1:4">
      <c r="A715" s="1426" t="s">
        <v>402</v>
      </c>
      <c r="B715" s="1426" t="s">
        <v>404</v>
      </c>
      <c r="C715" s="1426" t="s">
        <v>704</v>
      </c>
      <c r="D715" s="1427">
        <v>3600</v>
      </c>
    </row>
    <row r="716" spans="1:4">
      <c r="A716" s="1426" t="s">
        <v>402</v>
      </c>
      <c r="B716" s="1426" t="s">
        <v>404</v>
      </c>
      <c r="C716" s="1426" t="s">
        <v>703</v>
      </c>
      <c r="D716" s="1427">
        <v>3800</v>
      </c>
    </row>
    <row r="717" spans="1:4">
      <c r="A717" s="1426" t="s">
        <v>402</v>
      </c>
      <c r="B717" s="1426" t="s">
        <v>404</v>
      </c>
      <c r="C717" s="1426" t="s">
        <v>702</v>
      </c>
      <c r="D717" s="1427">
        <v>5100</v>
      </c>
    </row>
    <row r="718" spans="1:4">
      <c r="A718" s="1426" t="s">
        <v>402</v>
      </c>
      <c r="B718" s="1426" t="s">
        <v>407</v>
      </c>
      <c r="C718" s="1426" t="s">
        <v>712</v>
      </c>
      <c r="D718" s="1427">
        <v>15400</v>
      </c>
    </row>
    <row r="719" spans="1:4">
      <c r="A719" s="1426" t="s">
        <v>402</v>
      </c>
      <c r="B719" s="1426" t="s">
        <v>407</v>
      </c>
      <c r="C719" s="1426" t="s">
        <v>711</v>
      </c>
      <c r="D719" s="1427">
        <v>14900</v>
      </c>
    </row>
    <row r="720" spans="1:4">
      <c r="A720" s="1426" t="s">
        <v>402</v>
      </c>
      <c r="B720" s="1426" t="s">
        <v>407</v>
      </c>
      <c r="C720" s="1426" t="s">
        <v>710</v>
      </c>
      <c r="D720" s="1427">
        <v>12300</v>
      </c>
    </row>
    <row r="721" spans="1:4">
      <c r="A721" s="1426" t="s">
        <v>402</v>
      </c>
      <c r="B721" s="1426" t="s">
        <v>407</v>
      </c>
      <c r="C721" s="1426" t="s">
        <v>709</v>
      </c>
      <c r="D721" s="1427">
        <v>11300</v>
      </c>
    </row>
    <row r="722" spans="1:4">
      <c r="A722" s="1426" t="s">
        <v>402</v>
      </c>
      <c r="B722" s="1426" t="s">
        <v>407</v>
      </c>
      <c r="C722" s="1426" t="s">
        <v>708</v>
      </c>
      <c r="D722" s="1427">
        <v>9900</v>
      </c>
    </row>
    <row r="723" spans="1:4">
      <c r="A723" s="1426" t="s">
        <v>402</v>
      </c>
      <c r="B723" s="1426" t="s">
        <v>407</v>
      </c>
      <c r="C723" s="1426" t="s">
        <v>707</v>
      </c>
      <c r="D723" s="1427">
        <v>8700</v>
      </c>
    </row>
    <row r="724" spans="1:4">
      <c r="A724" s="1426" t="s">
        <v>402</v>
      </c>
      <c r="B724" s="1426" t="s">
        <v>407</v>
      </c>
      <c r="C724" s="1426" t="s">
        <v>706</v>
      </c>
      <c r="D724" s="1427">
        <v>8200</v>
      </c>
    </row>
    <row r="725" spans="1:4">
      <c r="A725" s="1426" t="s">
        <v>402</v>
      </c>
      <c r="B725" s="1426" t="s">
        <v>407</v>
      </c>
      <c r="C725" s="1426" t="s">
        <v>705</v>
      </c>
      <c r="D725" s="1427">
        <v>8000</v>
      </c>
    </row>
    <row r="726" spans="1:4">
      <c r="A726" s="1426" t="s">
        <v>402</v>
      </c>
      <c r="B726" s="1426" t="s">
        <v>407</v>
      </c>
      <c r="C726" s="1426" t="s">
        <v>704</v>
      </c>
      <c r="D726" s="1427">
        <v>13500</v>
      </c>
    </row>
    <row r="727" spans="1:4">
      <c r="A727" s="1426" t="s">
        <v>402</v>
      </c>
      <c r="B727" s="1426" t="s">
        <v>407</v>
      </c>
      <c r="C727" s="1426" t="s">
        <v>703</v>
      </c>
      <c r="D727" s="1427">
        <v>13100</v>
      </c>
    </row>
    <row r="728" spans="1:4">
      <c r="A728" s="1426" t="s">
        <v>402</v>
      </c>
      <c r="B728" s="1426" t="s">
        <v>407</v>
      </c>
      <c r="C728" s="1426" t="s">
        <v>702</v>
      </c>
      <c r="D728" s="1427">
        <v>13700</v>
      </c>
    </row>
    <row r="729" spans="1:4">
      <c r="A729" s="1426" t="s">
        <v>402</v>
      </c>
      <c r="B729" s="1426" t="s">
        <v>406</v>
      </c>
      <c r="C729" s="1426" t="s">
        <v>712</v>
      </c>
      <c r="D729" s="1431">
        <v>600</v>
      </c>
    </row>
    <row r="730" spans="1:4">
      <c r="A730" s="1426" t="s">
        <v>402</v>
      </c>
      <c r="B730" s="1426" t="s">
        <v>406</v>
      </c>
      <c r="C730" s="1426" t="s">
        <v>711</v>
      </c>
      <c r="D730" s="1431">
        <v>600</v>
      </c>
    </row>
    <row r="731" spans="1:4">
      <c r="A731" s="1426" t="s">
        <v>402</v>
      </c>
      <c r="B731" s="1426" t="s">
        <v>406</v>
      </c>
      <c r="C731" s="1426" t="s">
        <v>710</v>
      </c>
      <c r="D731" s="1431">
        <v>700</v>
      </c>
    </row>
    <row r="732" spans="1:4">
      <c r="A732" s="1426" t="s">
        <v>402</v>
      </c>
      <c r="B732" s="1426" t="s">
        <v>406</v>
      </c>
      <c r="C732" s="1426" t="s">
        <v>709</v>
      </c>
      <c r="D732" s="1431">
        <v>800</v>
      </c>
    </row>
    <row r="733" spans="1:4">
      <c r="A733" s="1426" t="s">
        <v>402</v>
      </c>
      <c r="B733" s="1426" t="s">
        <v>406</v>
      </c>
      <c r="C733" s="1426" t="s">
        <v>708</v>
      </c>
      <c r="D733" s="1431">
        <v>400</v>
      </c>
    </row>
    <row r="734" spans="1:4">
      <c r="A734" s="1426" t="s">
        <v>402</v>
      </c>
      <c r="B734" s="1426" t="s">
        <v>406</v>
      </c>
      <c r="C734" s="1426" t="s">
        <v>707</v>
      </c>
      <c r="D734" s="1431">
        <v>500</v>
      </c>
    </row>
    <row r="735" spans="1:4">
      <c r="A735" s="1426" t="s">
        <v>402</v>
      </c>
      <c r="B735" s="1426" t="s">
        <v>406</v>
      </c>
      <c r="C735" s="1426" t="s">
        <v>706</v>
      </c>
      <c r="D735" s="1431">
        <v>300</v>
      </c>
    </row>
    <row r="736" spans="1:4">
      <c r="A736" s="1426" t="s">
        <v>402</v>
      </c>
      <c r="B736" s="1426" t="s">
        <v>406</v>
      </c>
      <c r="C736" s="1426" t="s">
        <v>705</v>
      </c>
      <c r="D736" s="1431">
        <v>300</v>
      </c>
    </row>
    <row r="737" spans="1:4">
      <c r="A737" s="1426" t="s">
        <v>402</v>
      </c>
      <c r="B737" s="1426" t="s">
        <v>406</v>
      </c>
      <c r="C737" s="1426" t="s">
        <v>704</v>
      </c>
      <c r="D737" s="1431">
        <v>300</v>
      </c>
    </row>
    <row r="738" spans="1:4">
      <c r="A738" s="1426" t="s">
        <v>402</v>
      </c>
      <c r="B738" s="1426" t="s">
        <v>406</v>
      </c>
      <c r="C738" s="1426" t="s">
        <v>703</v>
      </c>
      <c r="D738" s="1431">
        <v>300</v>
      </c>
    </row>
    <row r="739" spans="1:4">
      <c r="A739" s="1426" t="s">
        <v>402</v>
      </c>
      <c r="B739" s="1426" t="s">
        <v>406</v>
      </c>
      <c r="C739" s="1426" t="s">
        <v>702</v>
      </c>
      <c r="D739" s="1431">
        <v>0</v>
      </c>
    </row>
    <row r="740" spans="1:4">
      <c r="A740" s="1426" t="s">
        <v>402</v>
      </c>
      <c r="B740" s="1426" t="s">
        <v>405</v>
      </c>
      <c r="C740" s="1426" t="s">
        <v>712</v>
      </c>
      <c r="D740" s="1431">
        <v>800</v>
      </c>
    </row>
    <row r="741" spans="1:4">
      <c r="A741" s="1426" t="s">
        <v>402</v>
      </c>
      <c r="B741" s="1426" t="s">
        <v>405</v>
      </c>
      <c r="C741" s="1426" t="s">
        <v>711</v>
      </c>
      <c r="D741" s="1431">
        <v>700</v>
      </c>
    </row>
    <row r="742" spans="1:4">
      <c r="A742" s="1426" t="s">
        <v>402</v>
      </c>
      <c r="B742" s="1426" t="s">
        <v>405</v>
      </c>
      <c r="C742" s="1426" t="s">
        <v>710</v>
      </c>
      <c r="D742" s="1431">
        <v>900</v>
      </c>
    </row>
    <row r="743" spans="1:4">
      <c r="A743" s="1426" t="s">
        <v>402</v>
      </c>
      <c r="B743" s="1426" t="s">
        <v>405</v>
      </c>
      <c r="C743" s="1426" t="s">
        <v>709</v>
      </c>
      <c r="D743" s="1427">
        <v>1200</v>
      </c>
    </row>
    <row r="744" spans="1:4">
      <c r="A744" s="1426" t="s">
        <v>402</v>
      </c>
      <c r="B744" s="1426" t="s">
        <v>405</v>
      </c>
      <c r="C744" s="1426" t="s">
        <v>708</v>
      </c>
      <c r="D744" s="1431">
        <v>700</v>
      </c>
    </row>
    <row r="745" spans="1:4">
      <c r="A745" s="1426" t="s">
        <v>402</v>
      </c>
      <c r="B745" s="1426" t="s">
        <v>405</v>
      </c>
      <c r="C745" s="1426" t="s">
        <v>707</v>
      </c>
      <c r="D745" s="1431">
        <v>300</v>
      </c>
    </row>
    <row r="746" spans="1:4">
      <c r="A746" s="1426" t="s">
        <v>402</v>
      </c>
      <c r="B746" s="1426" t="s">
        <v>405</v>
      </c>
      <c r="C746" s="1426" t="s">
        <v>706</v>
      </c>
      <c r="D746" s="1431">
        <v>300</v>
      </c>
    </row>
    <row r="747" spans="1:4">
      <c r="A747" s="1426" t="s">
        <v>402</v>
      </c>
      <c r="B747" s="1426" t="s">
        <v>405</v>
      </c>
      <c r="C747" s="1426" t="s">
        <v>705</v>
      </c>
      <c r="D747" s="1431">
        <v>300</v>
      </c>
    </row>
    <row r="748" spans="1:4">
      <c r="A748" s="1426" t="s">
        <v>402</v>
      </c>
      <c r="B748" s="1426" t="s">
        <v>405</v>
      </c>
      <c r="C748" s="1426" t="s">
        <v>704</v>
      </c>
      <c r="D748" s="1431">
        <v>700</v>
      </c>
    </row>
    <row r="749" spans="1:4">
      <c r="A749" s="1426" t="s">
        <v>402</v>
      </c>
      <c r="B749" s="1426" t="s">
        <v>405</v>
      </c>
      <c r="C749" s="1426" t="s">
        <v>703</v>
      </c>
      <c r="D749" s="1431">
        <v>800</v>
      </c>
    </row>
    <row r="750" spans="1:4">
      <c r="A750" s="1426" t="s">
        <v>402</v>
      </c>
      <c r="B750" s="1426" t="s">
        <v>405</v>
      </c>
      <c r="C750" s="1426" t="s">
        <v>702</v>
      </c>
      <c r="D750" s="1431">
        <v>900</v>
      </c>
    </row>
    <row r="751" spans="1:4">
      <c r="A751" s="1433" t="s">
        <v>462</v>
      </c>
    </row>
  </sheetData>
  <phoneticPr fontId="75" type="noConversion"/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2 C3:C750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5">
    <tabColor rgb="FF92D050"/>
  </sheetPr>
  <dimension ref="A1:E60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5" width="20.69140625" customWidth="1"/>
    <col min="6" max="15" width="14.69140625" customWidth="1"/>
  </cols>
  <sheetData>
    <row r="1" spans="1:5" ht="18">
      <c r="A1" s="1404" t="s">
        <v>695</v>
      </c>
      <c r="B1" s="1401"/>
      <c r="C1" s="1394"/>
      <c r="D1" s="1394"/>
      <c r="E1" s="1394"/>
    </row>
    <row r="2" spans="1:5">
      <c r="A2" s="1407" t="s">
        <v>449</v>
      </c>
      <c r="B2" s="1407" t="s">
        <v>460</v>
      </c>
      <c r="C2" s="1407" t="s">
        <v>118</v>
      </c>
      <c r="D2" s="1407" t="s">
        <v>433</v>
      </c>
      <c r="E2" s="1407" t="s">
        <v>448</v>
      </c>
    </row>
    <row r="3" spans="1:5">
      <c r="A3" s="1418" t="s">
        <v>418</v>
      </c>
      <c r="B3" s="1418" t="s">
        <v>417</v>
      </c>
      <c r="C3" s="1432">
        <v>2028</v>
      </c>
      <c r="D3" s="1432" t="s">
        <v>424</v>
      </c>
      <c r="E3" s="1419">
        <v>255.76214279537407</v>
      </c>
    </row>
    <row r="4" spans="1:5">
      <c r="A4" s="1418" t="s">
        <v>418</v>
      </c>
      <c r="B4" s="1418" t="s">
        <v>404</v>
      </c>
      <c r="C4" s="1432">
        <v>2028</v>
      </c>
      <c r="D4" s="1432" t="s">
        <v>424</v>
      </c>
      <c r="E4" s="1419">
        <v>243.94654808065269</v>
      </c>
    </row>
    <row r="5" spans="1:5">
      <c r="A5" s="1418" t="s">
        <v>418</v>
      </c>
      <c r="B5" s="1418" t="s">
        <v>405</v>
      </c>
      <c r="C5" s="1432">
        <v>2028</v>
      </c>
      <c r="D5" s="1432" t="s">
        <v>424</v>
      </c>
      <c r="E5" s="1419">
        <v>258.82382399999995</v>
      </c>
    </row>
    <row r="6" spans="1:5">
      <c r="A6" s="1418" t="s">
        <v>418</v>
      </c>
      <c r="B6" s="1418" t="s">
        <v>406</v>
      </c>
      <c r="C6" s="1432">
        <v>2028</v>
      </c>
      <c r="D6" s="1432" t="s">
        <v>424</v>
      </c>
      <c r="E6" s="1419">
        <v>300.91304600000001</v>
      </c>
    </row>
    <row r="7" spans="1:5">
      <c r="A7" s="1418" t="s">
        <v>418</v>
      </c>
      <c r="B7" s="1418" t="s">
        <v>417</v>
      </c>
      <c r="C7" s="1432">
        <v>2027</v>
      </c>
      <c r="D7" s="1432" t="s">
        <v>424</v>
      </c>
      <c r="E7" s="1419">
        <v>244.76419277422457</v>
      </c>
    </row>
    <row r="8" spans="1:5">
      <c r="A8" s="1418" t="s">
        <v>418</v>
      </c>
      <c r="B8" s="1418" t="s">
        <v>404</v>
      </c>
      <c r="C8" s="1432">
        <v>2027</v>
      </c>
      <c r="D8" s="1432" t="s">
        <v>424</v>
      </c>
      <c r="E8" s="1419">
        <v>233.91256005125291</v>
      </c>
    </row>
    <row r="9" spans="1:5">
      <c r="A9" s="1418" t="s">
        <v>418</v>
      </c>
      <c r="B9" s="1418" t="s">
        <v>405</v>
      </c>
      <c r="C9" s="1432">
        <v>2027</v>
      </c>
      <c r="D9" s="1432" t="s">
        <v>424</v>
      </c>
      <c r="E9" s="1419">
        <v>247.45695119999996</v>
      </c>
    </row>
    <row r="10" spans="1:5">
      <c r="A10" s="1418" t="s">
        <v>418</v>
      </c>
      <c r="B10" s="1418" t="s">
        <v>406</v>
      </c>
      <c r="C10" s="1432">
        <v>2027</v>
      </c>
      <c r="D10" s="1432" t="s">
        <v>424</v>
      </c>
      <c r="E10" s="1419">
        <v>289.11225479999996</v>
      </c>
    </row>
    <row r="11" spans="1:5">
      <c r="A11" s="1418" t="s">
        <v>418</v>
      </c>
      <c r="B11" s="1418" t="s">
        <v>417</v>
      </c>
      <c r="C11" s="1432">
        <v>2027</v>
      </c>
      <c r="D11" s="1432" t="s">
        <v>411</v>
      </c>
      <c r="E11" s="1419">
        <v>247.18490629476923</v>
      </c>
    </row>
    <row r="12" spans="1:5">
      <c r="A12" s="1418" t="s">
        <v>418</v>
      </c>
      <c r="B12" s="1418" t="s">
        <v>404</v>
      </c>
      <c r="C12" s="1432">
        <v>2027</v>
      </c>
      <c r="D12" s="1432" t="s">
        <v>411</v>
      </c>
      <c r="E12" s="1419">
        <v>236.14217741831607</v>
      </c>
    </row>
    <row r="13" spans="1:5">
      <c r="A13" s="1418" t="s">
        <v>418</v>
      </c>
      <c r="B13" s="1418" t="s">
        <v>405</v>
      </c>
      <c r="C13" s="1432">
        <v>2027</v>
      </c>
      <c r="D13" s="1432" t="s">
        <v>411</v>
      </c>
      <c r="E13" s="1419">
        <v>249.9478968</v>
      </c>
    </row>
    <row r="14" spans="1:5">
      <c r="A14" s="1418" t="s">
        <v>418</v>
      </c>
      <c r="B14" s="1418" t="s">
        <v>406</v>
      </c>
      <c r="C14" s="1432">
        <v>2027</v>
      </c>
      <c r="D14" s="1432" t="s">
        <v>411</v>
      </c>
      <c r="E14" s="1419">
        <v>291.76232470000002</v>
      </c>
    </row>
    <row r="15" spans="1:5">
      <c r="A15" s="1418" t="s">
        <v>418</v>
      </c>
      <c r="B15" s="1418" t="s">
        <v>417</v>
      </c>
      <c r="C15" s="1432">
        <v>2027</v>
      </c>
      <c r="D15" s="1432" t="s">
        <v>429</v>
      </c>
      <c r="E15" s="1419">
        <v>242.25674882925313</v>
      </c>
    </row>
    <row r="16" spans="1:5">
      <c r="A16" s="1418" t="s">
        <v>418</v>
      </c>
      <c r="B16" s="1418" t="s">
        <v>404</v>
      </c>
      <c r="C16" s="1432">
        <v>2027</v>
      </c>
      <c r="D16" s="1432" t="s">
        <v>429</v>
      </c>
      <c r="E16" s="1419">
        <v>236.47465324148811</v>
      </c>
    </row>
    <row r="17" spans="1:5">
      <c r="A17" s="1418" t="s">
        <v>418</v>
      </c>
      <c r="B17" s="1418" t="s">
        <v>405</v>
      </c>
      <c r="C17" s="1432">
        <v>2027</v>
      </c>
      <c r="D17" s="1432" t="s">
        <v>429</v>
      </c>
      <c r="E17" s="1419">
        <v>249.98067359999996</v>
      </c>
    </row>
    <row r="18" spans="1:5">
      <c r="A18" s="1418" t="s">
        <v>418</v>
      </c>
      <c r="B18" s="1418" t="s">
        <v>406</v>
      </c>
      <c r="C18" s="1432">
        <v>2027</v>
      </c>
      <c r="D18" s="1432" t="s">
        <v>429</v>
      </c>
      <c r="E18" s="1419">
        <v>292.42823189999996</v>
      </c>
    </row>
    <row r="19" spans="1:5">
      <c r="A19" s="1418" t="s">
        <v>418</v>
      </c>
      <c r="B19" s="1418" t="s">
        <v>417</v>
      </c>
      <c r="C19" s="1432">
        <v>2027</v>
      </c>
      <c r="D19" s="1432" t="s">
        <v>432</v>
      </c>
      <c r="E19" s="1419">
        <v>249.59733349411698</v>
      </c>
    </row>
    <row r="20" spans="1:5">
      <c r="A20" s="1418" t="s">
        <v>418</v>
      </c>
      <c r="B20" s="1418" t="s">
        <v>404</v>
      </c>
      <c r="C20" s="1432">
        <v>2027</v>
      </c>
      <c r="D20" s="1432" t="s">
        <v>432</v>
      </c>
      <c r="E20" s="1419">
        <v>238.38465619698121</v>
      </c>
    </row>
    <row r="21" spans="1:5">
      <c r="A21" s="1418" t="s">
        <v>418</v>
      </c>
      <c r="B21" s="1418" t="s">
        <v>405</v>
      </c>
      <c r="C21" s="1432">
        <v>2027</v>
      </c>
      <c r="D21" s="1432" t="s">
        <v>432</v>
      </c>
      <c r="E21" s="1419">
        <v>252.41964959999996</v>
      </c>
    </row>
    <row r="22" spans="1:5">
      <c r="A22" s="1418" t="s">
        <v>418</v>
      </c>
      <c r="B22" s="1418" t="s">
        <v>406</v>
      </c>
      <c r="C22" s="1432">
        <v>2027</v>
      </c>
      <c r="D22" s="1432" t="s">
        <v>432</v>
      </c>
      <c r="E22" s="1419">
        <v>294.4545109</v>
      </c>
    </row>
    <row r="23" spans="1:5">
      <c r="A23" s="1418" t="s">
        <v>418</v>
      </c>
      <c r="B23" s="1418" t="s">
        <v>417</v>
      </c>
      <c r="C23" s="1432">
        <v>2026</v>
      </c>
      <c r="D23" s="1432" t="s">
        <v>424</v>
      </c>
      <c r="E23" s="1419">
        <v>228.72726934203308</v>
      </c>
    </row>
    <row r="24" spans="1:5">
      <c r="A24" s="1418" t="s">
        <v>418</v>
      </c>
      <c r="B24" s="1418" t="s">
        <v>404</v>
      </c>
      <c r="C24" s="1432">
        <v>2026</v>
      </c>
      <c r="D24" s="1432" t="s">
        <v>424</v>
      </c>
      <c r="E24" s="1419">
        <v>218.74628461872507</v>
      </c>
    </row>
    <row r="25" spans="1:5">
      <c r="A25" s="1418" t="s">
        <v>418</v>
      </c>
      <c r="B25" s="1418" t="s">
        <v>405</v>
      </c>
      <c r="C25" s="1432">
        <v>2026</v>
      </c>
      <c r="D25" s="1432" t="s">
        <v>424</v>
      </c>
      <c r="E25" s="1419">
        <v>231.16050719999998</v>
      </c>
    </row>
    <row r="26" spans="1:5">
      <c r="A26" s="1418" t="s">
        <v>418</v>
      </c>
      <c r="B26" s="1418" t="s">
        <v>406</v>
      </c>
      <c r="C26" s="1432">
        <v>2026</v>
      </c>
      <c r="D26" s="1432" t="s">
        <v>424</v>
      </c>
      <c r="E26" s="1419">
        <v>270.56841629999997</v>
      </c>
    </row>
    <row r="27" spans="1:5">
      <c r="A27" s="1418" t="s">
        <v>418</v>
      </c>
      <c r="B27" s="1418" t="s">
        <v>417</v>
      </c>
      <c r="C27" s="1432">
        <v>2026</v>
      </c>
      <c r="D27" s="1432" t="s">
        <v>411</v>
      </c>
      <c r="E27" s="1419">
        <v>231.35149522625261</v>
      </c>
    </row>
    <row r="28" spans="1:5">
      <c r="A28" s="1418" t="s">
        <v>418</v>
      </c>
      <c r="B28" s="1418" t="s">
        <v>404</v>
      </c>
      <c r="C28" s="1432">
        <v>2026</v>
      </c>
      <c r="D28" s="1432" t="s">
        <v>411</v>
      </c>
      <c r="E28" s="1419">
        <v>221.31313819790478</v>
      </c>
    </row>
    <row r="29" spans="1:5">
      <c r="A29" s="1418" t="s">
        <v>418</v>
      </c>
      <c r="B29" s="1418" t="s">
        <v>405</v>
      </c>
      <c r="C29" s="1432">
        <v>2026</v>
      </c>
      <c r="D29" s="1432" t="s">
        <v>411</v>
      </c>
      <c r="E29" s="1419">
        <v>233.78291039999999</v>
      </c>
    </row>
    <row r="30" spans="1:5">
      <c r="A30" s="1418" t="s">
        <v>418</v>
      </c>
      <c r="B30" s="1418" t="s">
        <v>406</v>
      </c>
      <c r="C30" s="1432">
        <v>2026</v>
      </c>
      <c r="D30" s="1432" t="s">
        <v>411</v>
      </c>
      <c r="E30" s="1419">
        <v>273.81541660000005</v>
      </c>
    </row>
    <row r="31" spans="1:5">
      <c r="A31" s="1418" t="s">
        <v>418</v>
      </c>
      <c r="B31" s="1418" t="s">
        <v>417</v>
      </c>
      <c r="C31" s="1432">
        <v>2026</v>
      </c>
      <c r="D31" s="1432" t="s">
        <v>429</v>
      </c>
      <c r="E31" s="1419">
        <v>236.45598576437811</v>
      </c>
    </row>
    <row r="32" spans="1:5">
      <c r="A32" s="1418" t="s">
        <v>418</v>
      </c>
      <c r="B32" s="1418" t="s">
        <v>404</v>
      </c>
      <c r="C32" s="1432">
        <v>2026</v>
      </c>
      <c r="D32" s="1432" t="s">
        <v>429</v>
      </c>
      <c r="E32" s="1419">
        <v>226.2348826264552</v>
      </c>
    </row>
    <row r="33" spans="1:5">
      <c r="A33" s="1418" t="s">
        <v>418</v>
      </c>
      <c r="B33" s="1418" t="s">
        <v>405</v>
      </c>
      <c r="C33" s="1432">
        <v>2026</v>
      </c>
      <c r="D33" s="1432" t="s">
        <v>429</v>
      </c>
      <c r="E33" s="1419">
        <v>238.92088559999996</v>
      </c>
    </row>
    <row r="34" spans="1:5">
      <c r="A34" s="1418" t="s">
        <v>418</v>
      </c>
      <c r="B34" s="1418" t="s">
        <v>406</v>
      </c>
      <c r="C34" s="1432">
        <v>2026</v>
      </c>
      <c r="D34" s="1432" t="s">
        <v>429</v>
      </c>
      <c r="E34" s="1419">
        <v>279.95357989999997</v>
      </c>
    </row>
    <row r="35" spans="1:5">
      <c r="A35" s="1418" t="s">
        <v>418</v>
      </c>
      <c r="B35" s="1418" t="s">
        <v>417</v>
      </c>
      <c r="C35" s="1432">
        <v>2026</v>
      </c>
      <c r="D35" s="1432" t="s">
        <v>432</v>
      </c>
      <c r="E35" s="1419">
        <v>241.41574162969869</v>
      </c>
    </row>
    <row r="36" spans="1:5">
      <c r="A36" s="1418" t="s">
        <v>418</v>
      </c>
      <c r="B36" s="1418" t="s">
        <v>404</v>
      </c>
      <c r="C36" s="1432">
        <v>2026</v>
      </c>
      <c r="D36" s="1432" t="s">
        <v>432</v>
      </c>
      <c r="E36" s="1419">
        <v>230.83701264343563</v>
      </c>
    </row>
    <row r="37" spans="1:5">
      <c r="A37" s="1418" t="s">
        <v>418</v>
      </c>
      <c r="B37" s="1418" t="s">
        <v>405</v>
      </c>
      <c r="C37" s="1432">
        <v>2026</v>
      </c>
      <c r="D37" s="1432" t="s">
        <v>432</v>
      </c>
      <c r="E37" s="1419">
        <v>244.00689119999998</v>
      </c>
    </row>
    <row r="38" spans="1:5">
      <c r="A38" s="1418" t="s">
        <v>418</v>
      </c>
      <c r="B38" s="1418" t="s">
        <v>406</v>
      </c>
      <c r="C38" s="1432">
        <v>2026</v>
      </c>
      <c r="D38" s="1432" t="s">
        <v>432</v>
      </c>
      <c r="E38" s="1419">
        <v>285.46795229999998</v>
      </c>
    </row>
    <row r="40" spans="1:5">
      <c r="A40" s="1434" t="s">
        <v>464</v>
      </c>
    </row>
    <row r="59" spans="1:5">
      <c r="A59" s="1420"/>
      <c r="B59" s="1420"/>
      <c r="C59" s="1420"/>
      <c r="D59" s="1420"/>
      <c r="E59" s="1420"/>
    </row>
    <row r="60" spans="1:5">
      <c r="B60" s="1420"/>
      <c r="C60" s="1420"/>
      <c r="D60" s="1420"/>
      <c r="E60" s="1420"/>
    </row>
  </sheetData>
  <phoneticPr fontId="44" type="noConversion"/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6">
    <tabColor rgb="FF92D050"/>
  </sheetPr>
  <dimension ref="A1:E9"/>
  <sheetViews>
    <sheetView zoomScale="140" zoomScaleNormal="140" workbookViewId="0"/>
  </sheetViews>
  <sheetFormatPr baseColWidth="10" defaultRowHeight="14.15"/>
  <cols>
    <col min="1" max="1" width="21.53515625" customWidth="1"/>
    <col min="2" max="2" width="105.53515625" bestFit="1" customWidth="1"/>
    <col min="3" max="3" width="12.3828125" customWidth="1"/>
    <col min="5" max="5" width="12.3046875" customWidth="1"/>
  </cols>
  <sheetData>
    <row r="1" spans="1:5" ht="18">
      <c r="A1" s="1404" t="s">
        <v>696</v>
      </c>
      <c r="B1" s="1403"/>
      <c r="D1" s="1403"/>
      <c r="E1" s="1403"/>
    </row>
    <row r="2" spans="1:5">
      <c r="A2" s="1442" t="s">
        <v>474</v>
      </c>
      <c r="B2" s="1441" t="s">
        <v>466</v>
      </c>
    </row>
    <row r="3" spans="1:5" ht="22.75">
      <c r="A3" s="1439" t="s">
        <v>467</v>
      </c>
      <c r="B3" s="1440" t="s">
        <v>470</v>
      </c>
    </row>
    <row r="4" spans="1:5" ht="25.75">
      <c r="A4" s="1438" t="s">
        <v>467</v>
      </c>
      <c r="B4" s="1440" t="s">
        <v>471</v>
      </c>
    </row>
    <row r="5" spans="1:5" ht="25.75">
      <c r="A5" s="1437" t="s">
        <v>469</v>
      </c>
      <c r="B5" s="1440" t="s">
        <v>472</v>
      </c>
    </row>
    <row r="6" spans="1:5" ht="25.75">
      <c r="A6" s="1437" t="s">
        <v>469</v>
      </c>
      <c r="B6" s="1440" t="s">
        <v>473</v>
      </c>
    </row>
    <row r="7" spans="1:5" ht="22.5" customHeight="1">
      <c r="A7" s="1454" t="s">
        <v>468</v>
      </c>
      <c r="B7" s="1456"/>
    </row>
    <row r="9" spans="1:5">
      <c r="A9" s="1434" t="s">
        <v>475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8">
    <tabColor rgb="FF92D050"/>
  </sheetPr>
  <dimension ref="A1:I12"/>
  <sheetViews>
    <sheetView zoomScale="140" zoomScaleNormal="140" workbookViewId="0"/>
  </sheetViews>
  <sheetFormatPr baseColWidth="10" defaultRowHeight="14.15"/>
  <cols>
    <col min="1" max="1" width="18.15234375" customWidth="1"/>
    <col min="2" max="2" width="11.69140625" customWidth="1"/>
    <col min="3" max="3" width="14.15234375" customWidth="1"/>
    <col min="4" max="4" width="10.84375" customWidth="1"/>
    <col min="5" max="5" width="17.3828125" customWidth="1"/>
    <col min="9" max="9" width="17.3828125" bestFit="1" customWidth="1"/>
  </cols>
  <sheetData>
    <row r="1" spans="1:9" ht="18">
      <c r="A1" s="1404" t="s">
        <v>697</v>
      </c>
      <c r="B1" s="1403"/>
      <c r="C1" s="1403"/>
      <c r="D1" s="1403"/>
      <c r="E1" s="1403"/>
      <c r="F1" s="1403"/>
      <c r="G1" s="1403"/>
      <c r="H1" s="1403"/>
      <c r="I1" s="1403"/>
    </row>
    <row r="2" spans="1:9">
      <c r="A2" s="1469" t="s">
        <v>487</v>
      </c>
      <c r="B2" s="1470"/>
      <c r="C2" s="1470"/>
      <c r="D2" s="1470"/>
      <c r="E2" s="1470"/>
      <c r="F2" s="1471" t="s">
        <v>489</v>
      </c>
      <c r="G2" s="1470"/>
      <c r="H2" s="1470"/>
      <c r="I2" s="1472"/>
    </row>
    <row r="3" spans="1:9">
      <c r="A3" s="1473" t="s">
        <v>476</v>
      </c>
      <c r="B3" s="1436" t="s">
        <v>477</v>
      </c>
      <c r="C3" s="1436" t="s">
        <v>478</v>
      </c>
      <c r="D3" s="1436" t="s">
        <v>479</v>
      </c>
      <c r="E3" s="1436" t="s">
        <v>480</v>
      </c>
      <c r="F3" s="1449" t="s">
        <v>485</v>
      </c>
      <c r="G3" s="1436" t="s">
        <v>484</v>
      </c>
      <c r="H3" s="1447" t="s">
        <v>488</v>
      </c>
      <c r="I3" s="1474" t="s">
        <v>486</v>
      </c>
    </row>
    <row r="4" spans="1:9">
      <c r="A4" s="1475" t="s">
        <v>481</v>
      </c>
      <c r="B4" s="1443">
        <v>0.88</v>
      </c>
      <c r="C4" s="1443">
        <v>13.7</v>
      </c>
      <c r="D4" s="1443">
        <v>121</v>
      </c>
      <c r="E4" s="1450">
        <v>3</v>
      </c>
      <c r="F4" s="1448">
        <v>0.54</v>
      </c>
      <c r="G4" s="1435">
        <v>0.47</v>
      </c>
      <c r="H4" s="1435">
        <v>0.56999999999999995</v>
      </c>
      <c r="I4" s="1437">
        <v>0.52</v>
      </c>
    </row>
    <row r="5" spans="1:9">
      <c r="A5" s="1475" t="s">
        <v>482</v>
      </c>
      <c r="B5" s="1443">
        <v>0.88</v>
      </c>
      <c r="C5" s="1443">
        <v>13</v>
      </c>
      <c r="D5" s="1443">
        <v>440</v>
      </c>
      <c r="E5" s="1444">
        <v>23.7</v>
      </c>
      <c r="F5" s="1448">
        <v>0.49</v>
      </c>
      <c r="G5" s="1435">
        <v>0.51</v>
      </c>
      <c r="H5" s="1435">
        <v>0.48</v>
      </c>
      <c r="I5" s="1437">
        <v>0.67</v>
      </c>
    </row>
    <row r="6" spans="1:9">
      <c r="A6" s="1475" t="s">
        <v>485</v>
      </c>
      <c r="B6" s="1443">
        <v>0.88</v>
      </c>
      <c r="C6" s="1443">
        <v>13.8</v>
      </c>
      <c r="D6" s="1443">
        <v>207</v>
      </c>
      <c r="E6" s="1446">
        <v>13.3</v>
      </c>
      <c r="F6" s="1451" t="s">
        <v>491</v>
      </c>
      <c r="G6" s="1452"/>
      <c r="H6" s="1452"/>
      <c r="I6" s="1476"/>
    </row>
    <row r="7" spans="1:9">
      <c r="A7" s="1475" t="s">
        <v>484</v>
      </c>
      <c r="B7" s="1443">
        <v>0.88</v>
      </c>
      <c r="C7" s="1443">
        <v>13</v>
      </c>
      <c r="D7" s="1443">
        <v>260</v>
      </c>
      <c r="E7" s="1445">
        <v>13.4</v>
      </c>
      <c r="F7" s="1453" t="s">
        <v>492</v>
      </c>
      <c r="G7" s="1452"/>
      <c r="H7" s="1452"/>
      <c r="I7" s="1476"/>
    </row>
    <row r="8" spans="1:9">
      <c r="A8" s="1475" t="s">
        <v>483</v>
      </c>
      <c r="B8" s="1443">
        <v>0.88</v>
      </c>
      <c r="C8" s="1443">
        <v>14</v>
      </c>
      <c r="D8" s="1443">
        <v>326</v>
      </c>
      <c r="E8" s="1445">
        <v>13</v>
      </c>
      <c r="F8" s="1453" t="s">
        <v>490</v>
      </c>
      <c r="G8" s="1452"/>
      <c r="H8" s="1452"/>
      <c r="I8" s="1476"/>
    </row>
    <row r="9" spans="1:9">
      <c r="A9" s="1477" t="s">
        <v>486</v>
      </c>
      <c r="B9" s="1478">
        <v>0.88</v>
      </c>
      <c r="C9" s="1478">
        <v>15.8</v>
      </c>
      <c r="D9" s="1478">
        <v>356</v>
      </c>
      <c r="E9" s="1479">
        <v>17.399999999999999</v>
      </c>
      <c r="F9" s="1480" t="s">
        <v>493</v>
      </c>
      <c r="G9" s="1481"/>
      <c r="H9" s="1481"/>
      <c r="I9" s="1482"/>
    </row>
    <row r="10" spans="1:9">
      <c r="A10" s="1454" t="s">
        <v>494</v>
      </c>
      <c r="B10" s="1443"/>
      <c r="C10" s="1443"/>
      <c r="D10" s="1443"/>
      <c r="E10" s="1443"/>
      <c r="G10" s="1443"/>
      <c r="H10" s="1443"/>
      <c r="I10" s="1443"/>
    </row>
    <row r="11" spans="1:9">
      <c r="A11" s="1455"/>
      <c r="B11" s="1443"/>
      <c r="C11" s="1443"/>
      <c r="D11" s="1443"/>
      <c r="E11" s="1443"/>
      <c r="G11" s="1443"/>
      <c r="H11" s="1443"/>
      <c r="I11" s="1443"/>
    </row>
    <row r="12" spans="1:9">
      <c r="A12" s="1448" t="s">
        <v>495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2">
    <tabColor theme="0" tint="-0.499984740745262"/>
  </sheetPr>
  <dimension ref="A2:AT36"/>
  <sheetViews>
    <sheetView zoomScaleNormal="100" zoomScaleSheetLayoutView="100" workbookViewId="0">
      <selection activeCell="O36" sqref="O36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6" customWidth="1"/>
    <col min="11" max="16" width="7.69140625" style="6" customWidth="1"/>
    <col min="17" max="16384" width="11.3828125" style="6"/>
  </cols>
  <sheetData>
    <row r="2" spans="1:34" ht="12.45">
      <c r="A2" s="728" t="s">
        <v>213</v>
      </c>
      <c r="B2" s="63"/>
      <c r="C2" s="40"/>
      <c r="D2" s="41"/>
      <c r="E2" s="41"/>
      <c r="F2" s="41"/>
      <c r="G2" s="41"/>
      <c r="H2" s="41"/>
      <c r="I2" s="42"/>
      <c r="J2" s="848"/>
      <c r="K2" s="848"/>
      <c r="L2" s="848"/>
      <c r="M2" s="848"/>
      <c r="N2" s="534"/>
    </row>
    <row r="3" spans="1:34">
      <c r="A3" s="65"/>
      <c r="B3" s="65"/>
      <c r="C3" s="40"/>
      <c r="D3" s="41"/>
      <c r="E3" s="41"/>
      <c r="F3" s="41"/>
      <c r="G3" s="41"/>
      <c r="H3" s="41"/>
      <c r="I3" s="41"/>
      <c r="K3" s="41"/>
      <c r="L3" s="41"/>
      <c r="M3" s="41"/>
      <c r="N3" s="41"/>
      <c r="O3" s="66"/>
    </row>
    <row r="4" spans="1:34" ht="14.15">
      <c r="A4" s="1526" t="s">
        <v>151</v>
      </c>
      <c r="B4" s="1527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34" ht="10.75" thickBot="1">
      <c r="C5" s="6" t="s">
        <v>40</v>
      </c>
    </row>
    <row r="6" spans="1:34" ht="24.65" customHeight="1">
      <c r="A6" s="1501" t="s">
        <v>43</v>
      </c>
      <c r="B6" s="1532"/>
      <c r="C6" s="1513" t="s">
        <v>358</v>
      </c>
      <c r="D6" s="1514"/>
      <c r="E6" s="1514"/>
      <c r="F6" s="1514"/>
      <c r="G6" s="1514"/>
      <c r="H6" s="1515"/>
      <c r="I6" s="207" t="s">
        <v>0</v>
      </c>
      <c r="J6" s="849" t="s">
        <v>1</v>
      </c>
      <c r="K6" s="1510" t="s">
        <v>215</v>
      </c>
      <c r="L6" s="1537"/>
      <c r="M6" s="1537"/>
      <c r="N6" s="1537"/>
      <c r="O6" s="1537"/>
      <c r="P6" s="1538"/>
    </row>
    <row r="7" spans="1:34" ht="10.95" customHeight="1">
      <c r="A7" s="1533"/>
      <c r="B7" s="1534"/>
      <c r="C7" s="1539"/>
      <c r="D7" s="1528"/>
      <c r="E7" s="1528"/>
      <c r="F7" s="1528"/>
      <c r="G7" s="1528"/>
      <c r="H7" s="1529"/>
      <c r="I7" s="851" t="s">
        <v>3</v>
      </c>
      <c r="J7" s="76" t="s">
        <v>4</v>
      </c>
      <c r="K7" s="13"/>
      <c r="L7" s="14"/>
      <c r="M7" s="16"/>
      <c r="N7" s="1519" t="s">
        <v>298</v>
      </c>
      <c r="O7" s="1520"/>
      <c r="P7" s="1524"/>
    </row>
    <row r="8" spans="1:34" ht="12" customHeight="1">
      <c r="A8" s="1533"/>
      <c r="B8" s="1534"/>
      <c r="C8" s="215"/>
      <c r="D8" s="18"/>
      <c r="E8" s="28"/>
      <c r="F8" s="1519" t="s">
        <v>296</v>
      </c>
      <c r="G8" s="1520"/>
      <c r="H8" s="1521"/>
      <c r="I8" s="851" t="s">
        <v>8</v>
      </c>
      <c r="J8" s="76" t="s">
        <v>8</v>
      </c>
      <c r="K8" s="18"/>
      <c r="L8" s="215"/>
      <c r="M8" s="216"/>
      <c r="N8" s="1522"/>
      <c r="O8" s="1523"/>
      <c r="P8" s="1525"/>
      <c r="Q8" s="41"/>
      <c r="R8" s="41"/>
      <c r="S8" s="41"/>
      <c r="T8" s="42"/>
      <c r="U8" s="42"/>
      <c r="V8" s="43"/>
      <c r="W8" s="41"/>
      <c r="X8" s="41"/>
      <c r="Y8" s="41"/>
      <c r="Z8" s="41"/>
      <c r="AA8" s="41"/>
      <c r="AB8" s="41"/>
      <c r="AC8" s="41"/>
      <c r="AD8" s="41"/>
      <c r="AE8" s="42"/>
      <c r="AF8" s="41"/>
      <c r="AG8" s="41"/>
      <c r="AH8" s="64"/>
    </row>
    <row r="9" spans="1:34" ht="12" customHeight="1">
      <c r="A9" s="1533"/>
      <c r="B9" s="1534"/>
      <c r="C9" s="215"/>
      <c r="D9" s="18"/>
      <c r="E9" s="28"/>
      <c r="F9" s="1522"/>
      <c r="G9" s="1523"/>
      <c r="H9" s="1506"/>
      <c r="I9" s="851" t="s">
        <v>20</v>
      </c>
      <c r="J9" s="76" t="s">
        <v>20</v>
      </c>
      <c r="K9" s="18"/>
      <c r="L9" s="215"/>
      <c r="M9" s="216"/>
      <c r="N9" s="13"/>
      <c r="O9" s="14"/>
      <c r="P9" s="536"/>
    </row>
    <row r="10" spans="1:34" ht="12" customHeight="1">
      <c r="A10" s="1533"/>
      <c r="B10" s="1534"/>
      <c r="C10" s="542" t="s">
        <v>19</v>
      </c>
      <c r="D10" s="25" t="s">
        <v>17</v>
      </c>
      <c r="E10" s="852" t="s">
        <v>18</v>
      </c>
      <c r="F10" s="13"/>
      <c r="G10" s="14"/>
      <c r="H10" s="14"/>
      <c r="I10" s="851" t="s">
        <v>33</v>
      </c>
      <c r="J10" s="76" t="s">
        <v>33</v>
      </c>
      <c r="K10" s="17" t="s">
        <v>19</v>
      </c>
      <c r="L10" s="31" t="s">
        <v>17</v>
      </c>
      <c r="M10" s="25" t="s">
        <v>18</v>
      </c>
      <c r="N10" s="17" t="s">
        <v>19</v>
      </c>
      <c r="O10" s="31" t="s">
        <v>17</v>
      </c>
      <c r="P10" s="533" t="s">
        <v>18</v>
      </c>
    </row>
    <row r="11" spans="1:34" ht="12" customHeight="1">
      <c r="A11" s="1533"/>
      <c r="B11" s="1534"/>
      <c r="C11" s="542" t="s">
        <v>29</v>
      </c>
      <c r="D11" s="25" t="s">
        <v>28</v>
      </c>
      <c r="E11" s="852" t="s">
        <v>28</v>
      </c>
      <c r="F11" s="25" t="s">
        <v>30</v>
      </c>
      <c r="G11" s="31" t="s">
        <v>31</v>
      </c>
      <c r="H11" s="31" t="s">
        <v>32</v>
      </c>
      <c r="I11" s="851" t="s">
        <v>39</v>
      </c>
      <c r="J11" s="76" t="s">
        <v>39</v>
      </c>
      <c r="K11" s="17" t="s">
        <v>29</v>
      </c>
      <c r="L11" s="31" t="s">
        <v>28</v>
      </c>
      <c r="M11" s="25" t="s">
        <v>34</v>
      </c>
      <c r="N11" s="17" t="s">
        <v>29</v>
      </c>
      <c r="O11" s="31" t="s">
        <v>28</v>
      </c>
      <c r="P11" s="533" t="s">
        <v>34</v>
      </c>
    </row>
    <row r="12" spans="1:34" ht="11.15" customHeight="1">
      <c r="A12" s="1535"/>
      <c r="B12" s="1536"/>
      <c r="C12" s="853"/>
      <c r="D12" s="32"/>
      <c r="E12" s="854"/>
      <c r="F12" s="32"/>
      <c r="G12" s="34"/>
      <c r="H12" s="215"/>
      <c r="I12" s="855"/>
      <c r="J12" s="8"/>
      <c r="K12" s="216"/>
      <c r="L12" s="215"/>
      <c r="M12" s="18"/>
      <c r="N12" s="216"/>
      <c r="O12" s="34"/>
      <c r="P12" s="537"/>
    </row>
    <row r="13" spans="1:34" ht="15" customHeight="1">
      <c r="A13" s="592" t="s">
        <v>58</v>
      </c>
      <c r="B13" s="595"/>
      <c r="C13" s="1078">
        <v>0</v>
      </c>
      <c r="D13" s="1076">
        <v>0</v>
      </c>
      <c r="E13" s="1077">
        <v>0</v>
      </c>
      <c r="F13" s="1076">
        <v>0</v>
      </c>
      <c r="G13" s="1076">
        <v>0</v>
      </c>
      <c r="H13" s="1077">
        <v>0</v>
      </c>
      <c r="I13" s="1067">
        <v>0</v>
      </c>
      <c r="J13" s="1067">
        <v>0</v>
      </c>
      <c r="K13" s="1080">
        <v>0</v>
      </c>
      <c r="L13" s="1076">
        <v>0</v>
      </c>
      <c r="M13" s="1077">
        <v>0</v>
      </c>
      <c r="N13" s="1080">
        <v>0</v>
      </c>
      <c r="O13" s="1076">
        <v>0</v>
      </c>
      <c r="P13" s="1084">
        <v>0</v>
      </c>
    </row>
    <row r="14" spans="1:34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34" ht="15" customHeight="1">
      <c r="A15" s="592" t="s">
        <v>52</v>
      </c>
      <c r="B15" s="595"/>
      <c r="C15" s="1069">
        <v>0</v>
      </c>
      <c r="D15" s="5">
        <v>0</v>
      </c>
      <c r="E15" s="396">
        <v>0</v>
      </c>
      <c r="F15" s="5">
        <v>0</v>
      </c>
      <c r="G15" s="5">
        <v>0</v>
      </c>
      <c r="H15" s="396">
        <v>0</v>
      </c>
      <c r="I15" s="396">
        <v>0</v>
      </c>
      <c r="J15" s="396">
        <v>0</v>
      </c>
      <c r="K15" s="1081">
        <v>0</v>
      </c>
      <c r="L15" s="5">
        <v>0</v>
      </c>
      <c r="M15" s="396">
        <v>0</v>
      </c>
      <c r="N15" s="1081">
        <v>0</v>
      </c>
      <c r="O15" s="5">
        <v>0</v>
      </c>
      <c r="P15" s="1038">
        <v>0</v>
      </c>
    </row>
    <row r="16" spans="1:34" ht="15" customHeight="1">
      <c r="A16" s="592" t="s">
        <v>48</v>
      </c>
      <c r="B16" s="596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46" ht="15" customHeight="1">
      <c r="A17" s="592" t="s">
        <v>53</v>
      </c>
      <c r="B17" s="596"/>
      <c r="C17" s="1069">
        <v>0</v>
      </c>
      <c r="D17" s="5">
        <v>0</v>
      </c>
      <c r="E17" s="396">
        <v>0</v>
      </c>
      <c r="F17" s="5">
        <v>0</v>
      </c>
      <c r="G17" s="5">
        <v>0</v>
      </c>
      <c r="H17" s="396">
        <v>0</v>
      </c>
      <c r="I17" s="396">
        <v>0</v>
      </c>
      <c r="J17" s="396">
        <v>0</v>
      </c>
      <c r="K17" s="1081">
        <v>0</v>
      </c>
      <c r="L17" s="5">
        <v>0</v>
      </c>
      <c r="M17" s="396">
        <v>0</v>
      </c>
      <c r="N17" s="1081">
        <v>0</v>
      </c>
      <c r="O17" s="5">
        <v>0</v>
      </c>
      <c r="P17" s="1038">
        <v>0</v>
      </c>
    </row>
    <row r="18" spans="1:46" ht="15" customHeight="1">
      <c r="A18" s="592" t="s">
        <v>50</v>
      </c>
      <c r="B18" s="595"/>
      <c r="C18" s="1069">
        <v>96</v>
      </c>
      <c r="D18" s="5">
        <v>75</v>
      </c>
      <c r="E18" s="396">
        <v>21</v>
      </c>
      <c r="F18" s="5">
        <v>18</v>
      </c>
      <c r="G18" s="5">
        <v>36</v>
      </c>
      <c r="H18" s="732">
        <v>39</v>
      </c>
      <c r="I18" s="396">
        <v>36</v>
      </c>
      <c r="J18" s="396">
        <v>3</v>
      </c>
      <c r="K18" s="1081">
        <v>21</v>
      </c>
      <c r="L18" s="5">
        <v>18</v>
      </c>
      <c r="M18" s="396">
        <v>3</v>
      </c>
      <c r="N18" s="1081">
        <v>15</v>
      </c>
      <c r="O18" s="5">
        <v>12</v>
      </c>
      <c r="P18" s="1038">
        <v>3</v>
      </c>
      <c r="Q18" s="311"/>
      <c r="R18" s="311"/>
      <c r="S18" s="311"/>
      <c r="T18" s="311"/>
      <c r="U18" s="311"/>
      <c r="V18" s="8"/>
      <c r="W18" s="112"/>
      <c r="X18" s="71"/>
      <c r="Y18" s="113"/>
      <c r="Z18" s="71"/>
      <c r="AA18" s="71"/>
      <c r="AB18" s="71"/>
      <c r="AC18" s="76"/>
      <c r="AD18" s="76"/>
      <c r="AE18" s="114"/>
      <c r="AF18" s="29"/>
      <c r="AG18" s="115"/>
      <c r="AH18" s="29"/>
      <c r="AI18" s="29"/>
      <c r="AJ18" s="115"/>
      <c r="AK18" s="114"/>
      <c r="AL18" s="115"/>
      <c r="AM18" s="115"/>
      <c r="AN18" s="115"/>
      <c r="AO18" s="115"/>
      <c r="AP18" s="115"/>
      <c r="AQ18" s="115"/>
      <c r="AR18" s="115"/>
    </row>
    <row r="19" spans="1:46" ht="15" customHeight="1">
      <c r="A19" s="592" t="s">
        <v>54</v>
      </c>
      <c r="B19" s="595"/>
      <c r="C19" s="1069">
        <v>531</v>
      </c>
      <c r="D19" s="5">
        <v>411</v>
      </c>
      <c r="E19" s="396">
        <v>120</v>
      </c>
      <c r="F19" s="5">
        <v>162</v>
      </c>
      <c r="G19" s="5">
        <v>186</v>
      </c>
      <c r="H19" s="396">
        <v>183</v>
      </c>
      <c r="I19" s="396">
        <v>216</v>
      </c>
      <c r="J19" s="396">
        <v>33</v>
      </c>
      <c r="K19" s="1081">
        <v>177</v>
      </c>
      <c r="L19" s="5">
        <v>138</v>
      </c>
      <c r="M19" s="396">
        <v>39</v>
      </c>
      <c r="N19" s="1081">
        <v>159</v>
      </c>
      <c r="O19" s="5">
        <v>120</v>
      </c>
      <c r="P19" s="1038">
        <v>39</v>
      </c>
      <c r="V19" s="8"/>
      <c r="W19" s="8"/>
      <c r="X19" s="8"/>
      <c r="Y19" s="9"/>
      <c r="Z19" s="8"/>
      <c r="AA19" s="8"/>
      <c r="AB19" s="8"/>
      <c r="AC19" s="116"/>
      <c r="AD19" s="116"/>
      <c r="AE19" s="8"/>
      <c r="AF19" s="29"/>
      <c r="AG19" s="115"/>
      <c r="AH19" s="21"/>
      <c r="AI19" s="40"/>
      <c r="AJ19" s="114"/>
      <c r="AK19" s="8"/>
      <c r="AL19" s="29"/>
      <c r="AM19" s="115"/>
      <c r="AN19" s="46"/>
      <c r="AO19" s="21"/>
      <c r="AP19" s="40"/>
      <c r="AQ19" s="41"/>
      <c r="AR19" s="40"/>
    </row>
    <row r="20" spans="1:46" ht="15" customHeight="1">
      <c r="A20" s="592" t="s">
        <v>44</v>
      </c>
      <c r="B20" s="595"/>
      <c r="C20" s="1069">
        <v>192</v>
      </c>
      <c r="D20" s="5">
        <v>153</v>
      </c>
      <c r="E20" s="396">
        <v>36</v>
      </c>
      <c r="F20" s="5">
        <v>39</v>
      </c>
      <c r="G20" s="5">
        <v>72</v>
      </c>
      <c r="H20" s="396">
        <v>78</v>
      </c>
      <c r="I20" s="396">
        <v>78</v>
      </c>
      <c r="J20" s="396">
        <v>6</v>
      </c>
      <c r="K20" s="1081">
        <v>69</v>
      </c>
      <c r="L20" s="5">
        <v>51</v>
      </c>
      <c r="M20" s="396">
        <v>18</v>
      </c>
      <c r="N20" s="1081">
        <v>66</v>
      </c>
      <c r="O20" s="5">
        <v>51</v>
      </c>
      <c r="P20" s="1038">
        <v>15</v>
      </c>
      <c r="V20" s="8"/>
      <c r="W20" s="8"/>
      <c r="X20" s="21"/>
      <c r="Y20" s="117"/>
      <c r="Z20" s="21"/>
      <c r="AA20" s="21"/>
      <c r="AB20" s="21"/>
      <c r="AC20" s="116"/>
      <c r="AD20" s="116"/>
      <c r="AE20" s="118"/>
      <c r="AF20" s="118"/>
      <c r="AG20" s="119"/>
      <c r="AH20" s="21"/>
      <c r="AI20" s="21"/>
      <c r="AJ20" s="115"/>
      <c r="AK20" s="118"/>
      <c r="AL20" s="118"/>
      <c r="AM20" s="119"/>
      <c r="AN20" s="76"/>
      <c r="AO20" s="21"/>
      <c r="AP20" s="40"/>
      <c r="AQ20" s="41"/>
      <c r="AR20" s="40"/>
    </row>
    <row r="21" spans="1:46" ht="15" customHeight="1">
      <c r="A21" s="592" t="s">
        <v>45</v>
      </c>
      <c r="B21" s="595"/>
      <c r="C21" s="1069">
        <v>51</v>
      </c>
      <c r="D21" s="5">
        <v>39</v>
      </c>
      <c r="E21" s="396">
        <v>12</v>
      </c>
      <c r="F21" s="5">
        <v>3</v>
      </c>
      <c r="G21" s="5">
        <v>21</v>
      </c>
      <c r="H21" s="396">
        <v>27</v>
      </c>
      <c r="I21" s="396">
        <v>24</v>
      </c>
      <c r="J21" s="396">
        <v>0</v>
      </c>
      <c r="K21" s="1081">
        <v>36</v>
      </c>
      <c r="L21" s="5">
        <v>27</v>
      </c>
      <c r="M21" s="396">
        <v>9</v>
      </c>
      <c r="N21" s="1081">
        <v>36</v>
      </c>
      <c r="O21" s="5">
        <v>27</v>
      </c>
      <c r="P21" s="1038">
        <v>9</v>
      </c>
      <c r="V21" s="8"/>
      <c r="W21" s="8"/>
      <c r="X21" s="8"/>
      <c r="Y21" s="9"/>
      <c r="Z21" s="21"/>
      <c r="AA21" s="29"/>
      <c r="AB21" s="29"/>
      <c r="AC21" s="116"/>
      <c r="AD21" s="116"/>
      <c r="AE21" s="8"/>
      <c r="AF21" s="8"/>
      <c r="AG21" s="9"/>
      <c r="AH21" s="8"/>
      <c r="AI21" s="8"/>
      <c r="AJ21" s="9"/>
      <c r="AK21" s="8"/>
      <c r="AL21" s="8"/>
      <c r="AM21" s="9"/>
      <c r="AN21" s="76"/>
      <c r="AO21" s="118"/>
      <c r="AP21" s="118"/>
      <c r="AQ21" s="119"/>
      <c r="AR21" s="75"/>
    </row>
    <row r="22" spans="1:46" ht="15" customHeight="1">
      <c r="A22" s="592" t="s">
        <v>55</v>
      </c>
      <c r="B22" s="597"/>
      <c r="C22" s="1069">
        <v>3</v>
      </c>
      <c r="D22" s="5">
        <v>3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  <c r="V22" s="120"/>
      <c r="W22" s="76"/>
      <c r="X22" s="76"/>
      <c r="Y22" s="121"/>
      <c r="Z22" s="8"/>
      <c r="AA22" s="75"/>
      <c r="AB22" s="75"/>
      <c r="AC22" s="116"/>
      <c r="AD22" s="116"/>
      <c r="AE22" s="76"/>
      <c r="AF22" s="76"/>
      <c r="AG22" s="121"/>
      <c r="AH22" s="76"/>
      <c r="AI22" s="29"/>
      <c r="AJ22" s="121"/>
      <c r="AK22" s="76"/>
      <c r="AL22" s="76"/>
      <c r="AM22" s="121"/>
      <c r="AN22" s="76"/>
      <c r="AO22" s="76"/>
      <c r="AP22" s="76"/>
      <c r="AQ22" s="121"/>
      <c r="AR22" s="75"/>
    </row>
    <row r="23" spans="1:4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  <c r="V23" s="8"/>
      <c r="W23" s="76"/>
      <c r="X23" s="76"/>
      <c r="Y23" s="121"/>
      <c r="Z23" s="76"/>
      <c r="AA23" s="76"/>
      <c r="AB23" s="76"/>
      <c r="AC23" s="116"/>
      <c r="AD23" s="116"/>
      <c r="AE23" s="76"/>
      <c r="AF23" s="76"/>
      <c r="AG23" s="121"/>
      <c r="AH23" s="76"/>
      <c r="AI23" s="76"/>
      <c r="AJ23" s="121"/>
      <c r="AK23" s="76"/>
      <c r="AL23" s="76"/>
      <c r="AM23" s="121"/>
      <c r="AN23" s="76"/>
      <c r="AO23" s="76"/>
      <c r="AP23" s="76"/>
      <c r="AQ23" s="121"/>
      <c r="AR23" s="75"/>
    </row>
    <row r="24" spans="1:46" ht="15" customHeight="1">
      <c r="A24" s="592" t="s">
        <v>47</v>
      </c>
      <c r="B24" s="595"/>
      <c r="C24" s="1069">
        <v>0</v>
      </c>
      <c r="D24" s="5">
        <v>0</v>
      </c>
      <c r="E24" s="396">
        <v>0</v>
      </c>
      <c r="F24" s="5">
        <v>0</v>
      </c>
      <c r="G24" s="5">
        <v>0</v>
      </c>
      <c r="H24" s="396">
        <v>0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  <c r="V24" s="8"/>
      <c r="W24" s="8"/>
      <c r="X24" s="8"/>
      <c r="Y24" s="9"/>
      <c r="Z24" s="8"/>
      <c r="AA24" s="8"/>
      <c r="AB24" s="8"/>
      <c r="AC24" s="122"/>
      <c r="AD24" s="122"/>
      <c r="AE24" s="8"/>
      <c r="AF24" s="8"/>
      <c r="AG24" s="9"/>
      <c r="AH24" s="8"/>
      <c r="AI24" s="8"/>
      <c r="AJ24" s="9"/>
      <c r="AK24" s="8"/>
      <c r="AL24" s="8"/>
      <c r="AM24" s="9"/>
      <c r="AN24" s="46"/>
      <c r="AO24" s="8"/>
      <c r="AP24" s="8"/>
      <c r="AQ24" s="9"/>
      <c r="AR24" s="75"/>
    </row>
    <row r="25" spans="1:46" ht="15" customHeight="1">
      <c r="A25" s="592" t="s">
        <v>51</v>
      </c>
      <c r="B25" s="595"/>
      <c r="C25" s="1069">
        <v>0</v>
      </c>
      <c r="D25" s="5">
        <v>0</v>
      </c>
      <c r="E25" s="396">
        <v>0</v>
      </c>
      <c r="F25" s="5">
        <v>0</v>
      </c>
      <c r="G25" s="5">
        <v>0</v>
      </c>
      <c r="H25" s="396">
        <v>0</v>
      </c>
      <c r="I25" s="396">
        <v>0</v>
      </c>
      <c r="J25" s="396">
        <v>0</v>
      </c>
      <c r="K25" s="1081">
        <v>0</v>
      </c>
      <c r="L25" s="5">
        <v>0</v>
      </c>
      <c r="M25" s="396">
        <v>0</v>
      </c>
      <c r="N25" s="1081">
        <v>0</v>
      </c>
      <c r="O25" s="5">
        <v>0</v>
      </c>
      <c r="P25" s="1038">
        <v>0</v>
      </c>
    </row>
    <row r="26" spans="1:46" ht="15" customHeight="1">
      <c r="A26" s="592" t="s">
        <v>56</v>
      </c>
      <c r="B26" s="595"/>
      <c r="C26" s="1069">
        <v>18</v>
      </c>
      <c r="D26" s="5">
        <v>15</v>
      </c>
      <c r="E26" s="396">
        <v>3</v>
      </c>
      <c r="F26" s="5">
        <v>6</v>
      </c>
      <c r="G26" s="5">
        <v>6</v>
      </c>
      <c r="H26" s="396">
        <v>6</v>
      </c>
      <c r="I26" s="396">
        <v>6</v>
      </c>
      <c r="J26" s="396">
        <v>0</v>
      </c>
      <c r="K26" s="1081">
        <v>6</v>
      </c>
      <c r="L26" s="5">
        <v>6</v>
      </c>
      <c r="M26" s="396">
        <v>0</v>
      </c>
      <c r="N26" s="1081">
        <v>6</v>
      </c>
      <c r="O26" s="5">
        <v>6</v>
      </c>
      <c r="P26" s="1038">
        <v>0</v>
      </c>
    </row>
    <row r="27" spans="1:46" s="70" customFormat="1" ht="15" customHeight="1">
      <c r="A27" s="592" t="s">
        <v>57</v>
      </c>
      <c r="B27" s="597"/>
      <c r="C27" s="1069">
        <v>15</v>
      </c>
      <c r="D27" s="5">
        <v>9</v>
      </c>
      <c r="E27" s="396">
        <v>6</v>
      </c>
      <c r="F27" s="5">
        <v>0</v>
      </c>
      <c r="G27" s="5">
        <v>6</v>
      </c>
      <c r="H27" s="396">
        <v>6</v>
      </c>
      <c r="I27" s="396">
        <v>3</v>
      </c>
      <c r="J27" s="396">
        <v>3</v>
      </c>
      <c r="K27" s="1081">
        <v>3</v>
      </c>
      <c r="L27" s="5">
        <v>3</v>
      </c>
      <c r="M27" s="396">
        <v>0</v>
      </c>
      <c r="N27" s="1081">
        <v>3</v>
      </c>
      <c r="O27" s="5">
        <v>3</v>
      </c>
      <c r="P27" s="1038">
        <v>0</v>
      </c>
    </row>
    <row r="28" spans="1:46" ht="15" customHeight="1">
      <c r="A28" s="592" t="s">
        <v>59</v>
      </c>
      <c r="B28" s="597"/>
      <c r="C28" s="1069">
        <v>3</v>
      </c>
      <c r="D28" s="5">
        <v>3</v>
      </c>
      <c r="E28" s="396">
        <v>0</v>
      </c>
      <c r="F28" s="5">
        <v>0</v>
      </c>
      <c r="G28" s="5">
        <v>3</v>
      </c>
      <c r="H28" s="396">
        <v>0</v>
      </c>
      <c r="I28" s="1037">
        <v>3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46" s="70" customFormat="1" ht="4.2" customHeight="1">
      <c r="A29" s="329"/>
      <c r="B29" s="596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46" ht="21" customHeight="1" thickBot="1">
      <c r="A30" s="593" t="s">
        <v>60</v>
      </c>
      <c r="B30" s="598"/>
      <c r="C30" s="1068">
        <v>909</v>
      </c>
      <c r="D30" s="580">
        <v>711</v>
      </c>
      <c r="E30" s="1065">
        <v>198</v>
      </c>
      <c r="F30" s="580">
        <v>231</v>
      </c>
      <c r="G30" s="580">
        <v>336</v>
      </c>
      <c r="H30" s="1065">
        <v>342</v>
      </c>
      <c r="I30" s="1066">
        <v>363</v>
      </c>
      <c r="J30" s="1066">
        <v>48</v>
      </c>
      <c r="K30" s="580">
        <v>312</v>
      </c>
      <c r="L30" s="580">
        <v>243</v>
      </c>
      <c r="M30" s="1065">
        <v>72</v>
      </c>
      <c r="N30" s="580">
        <v>285</v>
      </c>
      <c r="O30" s="580">
        <v>219</v>
      </c>
      <c r="P30" s="1039">
        <v>66</v>
      </c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70"/>
      <c r="AQ30" s="70"/>
      <c r="AR30" s="70"/>
      <c r="AS30" s="70"/>
      <c r="AT30" s="70"/>
    </row>
    <row r="31" spans="1:46" s="70" customFormat="1" ht="3.65" customHeight="1">
      <c r="A31" s="71"/>
      <c r="B31" s="71"/>
      <c r="P31" s="82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82"/>
      <c r="AL31" s="82"/>
      <c r="AM31" s="82"/>
      <c r="AN31" s="82"/>
      <c r="AO31" s="82"/>
    </row>
    <row r="32" spans="1:46" ht="10.95" customHeight="1">
      <c r="A32" s="70" t="s">
        <v>297</v>
      </c>
      <c r="B32" s="70"/>
      <c r="F32" s="308"/>
      <c r="G32" s="308"/>
      <c r="H32" s="308"/>
      <c r="I32" s="310"/>
      <c r="O32" s="70"/>
      <c r="P32" s="82"/>
      <c r="Q32" s="309"/>
      <c r="R32" s="309"/>
      <c r="S32" s="309"/>
      <c r="T32" s="325"/>
      <c r="U32" s="309"/>
      <c r="V32" s="309"/>
      <c r="W32" s="309"/>
      <c r="X32" s="309"/>
      <c r="Y32" s="309"/>
      <c r="Z32" s="309"/>
      <c r="AA32" s="309"/>
      <c r="AB32" s="309"/>
      <c r="AC32" s="309"/>
      <c r="AD32" s="325"/>
      <c r="AE32" s="325"/>
      <c r="AF32" s="325"/>
      <c r="AG32" s="309"/>
      <c r="AH32" s="325"/>
      <c r="AI32" s="325"/>
      <c r="AJ32" s="325"/>
      <c r="AK32" s="82"/>
      <c r="AL32" s="82"/>
      <c r="AM32" s="82"/>
      <c r="AN32" s="82"/>
      <c r="AO32" s="82"/>
      <c r="AP32" s="70"/>
      <c r="AQ32" s="70"/>
      <c r="AR32" s="70"/>
      <c r="AS32" s="70"/>
      <c r="AT32" s="70"/>
    </row>
    <row r="35" spans="1:16" ht="10.75" thickBot="1">
      <c r="A35" s="593" t="s">
        <v>60</v>
      </c>
      <c r="B35" s="598"/>
      <c r="C35" s="1068">
        <v>909</v>
      </c>
      <c r="D35" s="580">
        <v>708</v>
      </c>
      <c r="E35" s="1065">
        <v>198</v>
      </c>
      <c r="F35" s="580">
        <v>228</v>
      </c>
      <c r="G35" s="580">
        <v>330</v>
      </c>
      <c r="H35" s="1065">
        <v>339</v>
      </c>
      <c r="I35" s="580">
        <v>366</v>
      </c>
      <c r="J35" s="1066">
        <v>45</v>
      </c>
      <c r="K35" s="1068">
        <v>312</v>
      </c>
      <c r="L35" s="580">
        <v>243</v>
      </c>
      <c r="M35" s="1065">
        <v>69</v>
      </c>
      <c r="N35" s="1068">
        <v>285</v>
      </c>
      <c r="O35" s="580">
        <v>219</v>
      </c>
      <c r="P35" s="1039">
        <v>66</v>
      </c>
    </row>
    <row r="36" spans="1:16" ht="10.75" thickBot="1">
      <c r="A36" s="593" t="s">
        <v>384</v>
      </c>
      <c r="B36" s="598"/>
      <c r="C36" s="1303">
        <f>C30-C35</f>
        <v>0</v>
      </c>
      <c r="D36" s="1293">
        <f t="shared" ref="D36:P36" si="0">D30-D35</f>
        <v>3</v>
      </c>
      <c r="E36" s="1302">
        <f t="shared" si="0"/>
        <v>0</v>
      </c>
      <c r="F36" s="1297">
        <f t="shared" si="0"/>
        <v>3</v>
      </c>
      <c r="G36" s="1297">
        <f t="shared" si="0"/>
        <v>6</v>
      </c>
      <c r="H36" s="1298">
        <f t="shared" si="0"/>
        <v>3</v>
      </c>
      <c r="I36" s="1295">
        <f t="shared" si="0"/>
        <v>-3</v>
      </c>
      <c r="J36" s="1334">
        <f t="shared" si="0"/>
        <v>3</v>
      </c>
      <c r="K36" s="1303">
        <f t="shared" si="0"/>
        <v>0</v>
      </c>
      <c r="L36" s="1304">
        <f t="shared" si="0"/>
        <v>0</v>
      </c>
      <c r="M36" s="1294">
        <f t="shared" si="0"/>
        <v>3</v>
      </c>
      <c r="N36" s="1303">
        <f t="shared" si="0"/>
        <v>0</v>
      </c>
      <c r="O36" s="1304">
        <f t="shared" si="0"/>
        <v>0</v>
      </c>
      <c r="P36" s="1342">
        <f t="shared" si="0"/>
        <v>0</v>
      </c>
    </row>
  </sheetData>
  <mergeCells count="6">
    <mergeCell ref="K6:P6"/>
    <mergeCell ref="A6:B12"/>
    <mergeCell ref="A4:P4"/>
    <mergeCell ref="N7:P8"/>
    <mergeCell ref="C6:H7"/>
    <mergeCell ref="F8:H9"/>
  </mergeCells>
  <printOptions horizontalCentered="1"/>
  <pageMargins left="0.39370078740157483" right="0.35433070866141736" top="0.62992125984251968" bottom="0.39370078740157483" header="0.39370078740157483" footer="0.51181102362204722"/>
  <pageSetup paperSize="9" orientation="landscape" r:id="rId1"/>
  <headerFooter alignWithMargins="0">
    <oddHeader>&amp;C&amp;"Arial,Standard"&amp;8- 3 - &amp;R&amp;8&amp;D</oddHeader>
    <oddFooter>&amp;R...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3">
    <tabColor theme="0" tint="-0.499984740745262"/>
  </sheetPr>
  <dimension ref="A1:AP38"/>
  <sheetViews>
    <sheetView zoomScaleNormal="100" zoomScaleSheetLayoutView="100" workbookViewId="0">
      <selection activeCell="O30" sqref="O30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6" customWidth="1"/>
    <col min="11" max="16" width="7.69140625" style="6" customWidth="1"/>
    <col min="17" max="16384" width="11.3828125" style="6"/>
  </cols>
  <sheetData>
    <row r="1" spans="1:42" ht="12.45">
      <c r="I1" s="84"/>
    </row>
    <row r="2" spans="1:42" ht="12.45">
      <c r="A2" s="728" t="s">
        <v>213</v>
      </c>
      <c r="B2" s="63"/>
      <c r="C2" s="40"/>
      <c r="D2" s="41"/>
      <c r="E2" s="41"/>
      <c r="F2" s="41"/>
      <c r="G2" s="41"/>
      <c r="H2" s="41"/>
      <c r="I2" s="42"/>
      <c r="N2" s="465"/>
      <c r="O2" s="41"/>
      <c r="P2" s="41"/>
      <c r="R2" s="64"/>
    </row>
    <row r="3" spans="1:42">
      <c r="A3" s="65"/>
      <c r="B3" s="65"/>
      <c r="C3" s="44"/>
      <c r="D3" s="44"/>
      <c r="E3" s="44"/>
      <c r="F3" s="44"/>
      <c r="G3" s="44"/>
      <c r="H3" s="44"/>
      <c r="I3" s="44"/>
      <c r="K3" s="409"/>
      <c r="L3" s="44"/>
      <c r="M3" s="44" t="s">
        <v>40</v>
      </c>
      <c r="N3" s="44"/>
    </row>
    <row r="4" spans="1:42" ht="14.15">
      <c r="A4" s="1526" t="s">
        <v>152</v>
      </c>
      <c r="B4" s="1527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42" ht="10.75" thickBot="1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1"/>
      <c r="L5" s="410"/>
      <c r="M5" s="410"/>
      <c r="N5" s="410"/>
    </row>
    <row r="6" spans="1:42" ht="24.65" customHeight="1">
      <c r="A6" s="1501" t="s">
        <v>43</v>
      </c>
      <c r="B6" s="1532"/>
      <c r="C6" s="1513" t="s">
        <v>358</v>
      </c>
      <c r="D6" s="1514" t="s">
        <v>115</v>
      </c>
      <c r="E6" s="1514" t="s">
        <v>115</v>
      </c>
      <c r="F6" s="1514" t="s">
        <v>115</v>
      </c>
      <c r="G6" s="1514" t="s">
        <v>115</v>
      </c>
      <c r="H6" s="1515" t="s">
        <v>115</v>
      </c>
      <c r="I6" s="207" t="s">
        <v>0</v>
      </c>
      <c r="J6" s="207" t="s">
        <v>1</v>
      </c>
      <c r="K6" s="1510" t="s">
        <v>216</v>
      </c>
      <c r="L6" s="1530"/>
      <c r="M6" s="1530"/>
      <c r="N6" s="1530"/>
      <c r="O6" s="1530"/>
      <c r="P6" s="1531"/>
    </row>
    <row r="7" spans="1:42" ht="10.95" customHeight="1">
      <c r="A7" s="1533"/>
      <c r="B7" s="1534"/>
      <c r="C7" s="1539"/>
      <c r="D7" s="1528"/>
      <c r="E7" s="1528"/>
      <c r="F7" s="1528"/>
      <c r="G7" s="1528"/>
      <c r="H7" s="1529"/>
      <c r="I7" s="19" t="s">
        <v>3</v>
      </c>
      <c r="J7" s="19" t="s">
        <v>4</v>
      </c>
      <c r="K7" s="412"/>
      <c r="L7" s="413"/>
      <c r="M7" s="414"/>
      <c r="N7" s="1519" t="s">
        <v>298</v>
      </c>
      <c r="O7" s="1520"/>
      <c r="P7" s="1524"/>
    </row>
    <row r="8" spans="1:42" ht="12" customHeight="1">
      <c r="A8" s="1533"/>
      <c r="B8" s="1534"/>
      <c r="C8" s="20"/>
      <c r="D8" s="19"/>
      <c r="E8" s="19"/>
      <c r="F8" s="1519" t="s">
        <v>296</v>
      </c>
      <c r="G8" s="1520"/>
      <c r="H8" s="1521"/>
      <c r="I8" s="19" t="s">
        <v>8</v>
      </c>
      <c r="J8" s="19" t="s">
        <v>8</v>
      </c>
      <c r="K8" s="15"/>
      <c r="L8" s="415"/>
      <c r="M8" s="19"/>
      <c r="N8" s="1522"/>
      <c r="O8" s="1523"/>
      <c r="P8" s="1525"/>
      <c r="T8" s="63"/>
      <c r="U8" s="40"/>
      <c r="V8" s="41"/>
      <c r="W8" s="41"/>
      <c r="X8" s="41"/>
      <c r="Y8" s="41"/>
      <c r="Z8" s="41"/>
      <c r="AA8" s="41"/>
      <c r="AB8" s="42"/>
      <c r="AC8" s="42"/>
      <c r="AD8" s="43"/>
      <c r="AE8" s="41"/>
      <c r="AF8" s="41"/>
      <c r="AG8" s="41"/>
      <c r="AH8" s="41"/>
      <c r="AI8" s="41"/>
      <c r="AJ8" s="41"/>
      <c r="AK8" s="41"/>
      <c r="AL8" s="41"/>
      <c r="AM8" s="42"/>
      <c r="AN8" s="41"/>
      <c r="AO8" s="41"/>
      <c r="AP8" s="64" t="s">
        <v>110</v>
      </c>
    </row>
    <row r="9" spans="1:42" ht="12" customHeight="1">
      <c r="A9" s="1533"/>
      <c r="B9" s="1534"/>
      <c r="C9" s="417"/>
      <c r="D9" s="208"/>
      <c r="E9" s="208"/>
      <c r="F9" s="1522"/>
      <c r="G9" s="1523"/>
      <c r="H9" s="1506"/>
      <c r="I9" s="19" t="s">
        <v>20</v>
      </c>
      <c r="J9" s="19" t="s">
        <v>20</v>
      </c>
      <c r="K9" s="263"/>
      <c r="L9" s="418"/>
      <c r="M9" s="208"/>
      <c r="N9" s="498"/>
      <c r="O9" s="297"/>
      <c r="P9" s="551"/>
    </row>
    <row r="10" spans="1:42" ht="12" customHeight="1">
      <c r="A10" s="1533"/>
      <c r="B10" s="1534"/>
      <c r="C10" s="20" t="s">
        <v>19</v>
      </c>
      <c r="D10" s="19" t="s">
        <v>17</v>
      </c>
      <c r="E10" s="19" t="s">
        <v>18</v>
      </c>
      <c r="F10" s="420"/>
      <c r="G10" s="421"/>
      <c r="H10" s="421"/>
      <c r="I10" s="19" t="s">
        <v>33</v>
      </c>
      <c r="J10" s="19" t="s">
        <v>33</v>
      </c>
      <c r="K10" s="422" t="s">
        <v>19</v>
      </c>
      <c r="L10" s="15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42" ht="12" customHeight="1">
      <c r="A11" s="1533"/>
      <c r="B11" s="1534"/>
      <c r="C11" s="20" t="s">
        <v>29</v>
      </c>
      <c r="D11" s="19" t="s">
        <v>28</v>
      </c>
      <c r="E11" s="19" t="s">
        <v>28</v>
      </c>
      <c r="F11" s="15" t="s">
        <v>30</v>
      </c>
      <c r="G11" s="424" t="s">
        <v>31</v>
      </c>
      <c r="H11" s="424" t="s">
        <v>32</v>
      </c>
      <c r="I11" s="19" t="s">
        <v>39</v>
      </c>
      <c r="J11" s="19" t="s">
        <v>39</v>
      </c>
      <c r="K11" s="422" t="s">
        <v>29</v>
      </c>
      <c r="L11" s="15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42" ht="10.95" customHeight="1">
      <c r="A12" s="1535"/>
      <c r="B12" s="1536"/>
      <c r="C12" s="417"/>
      <c r="D12" s="208"/>
      <c r="E12" s="425"/>
      <c r="F12" s="426"/>
      <c r="G12" s="427"/>
      <c r="H12" s="427"/>
      <c r="I12" s="425"/>
      <c r="J12" s="425"/>
      <c r="K12" s="263"/>
      <c r="L12" s="418"/>
      <c r="M12" s="425"/>
      <c r="N12" s="553"/>
      <c r="O12" s="427"/>
      <c r="P12" s="518"/>
    </row>
    <row r="13" spans="1:42" ht="15" customHeight="1">
      <c r="A13" s="592" t="s">
        <v>370</v>
      </c>
      <c r="B13" s="582"/>
      <c r="C13" s="1078">
        <v>81</v>
      </c>
      <c r="D13" s="1076">
        <v>78</v>
      </c>
      <c r="E13" s="1077">
        <v>3</v>
      </c>
      <c r="F13" s="1076">
        <v>30</v>
      </c>
      <c r="G13" s="1076">
        <v>30</v>
      </c>
      <c r="H13" s="1077">
        <v>21</v>
      </c>
      <c r="I13" s="1067">
        <v>36</v>
      </c>
      <c r="J13" s="1067">
        <v>6</v>
      </c>
      <c r="K13" s="1080">
        <v>24</v>
      </c>
      <c r="L13" s="1076">
        <v>24</v>
      </c>
      <c r="M13" s="1077">
        <v>0</v>
      </c>
      <c r="N13" s="1080">
        <v>24</v>
      </c>
      <c r="O13" s="1076">
        <v>24</v>
      </c>
      <c r="P13" s="1084">
        <v>0</v>
      </c>
    </row>
    <row r="14" spans="1:42" ht="15" customHeight="1">
      <c r="A14" s="592" t="s">
        <v>168</v>
      </c>
      <c r="B14" s="582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42" ht="15" customHeight="1">
      <c r="A15" s="592" t="s">
        <v>371</v>
      </c>
      <c r="B15" s="582"/>
      <c r="C15" s="1069">
        <v>66</v>
      </c>
      <c r="D15" s="5">
        <v>60</v>
      </c>
      <c r="E15" s="396">
        <v>6</v>
      </c>
      <c r="F15" s="5">
        <v>21</v>
      </c>
      <c r="G15" s="5">
        <v>21</v>
      </c>
      <c r="H15" s="396">
        <v>24</v>
      </c>
      <c r="I15" s="396">
        <v>27</v>
      </c>
      <c r="J15" s="396">
        <v>6</v>
      </c>
      <c r="K15" s="1081">
        <v>21</v>
      </c>
      <c r="L15" s="5">
        <v>21</v>
      </c>
      <c r="M15" s="396">
        <v>0</v>
      </c>
      <c r="N15" s="1081">
        <v>21</v>
      </c>
      <c r="O15" s="5">
        <v>18</v>
      </c>
      <c r="P15" s="1038">
        <v>0</v>
      </c>
    </row>
    <row r="16" spans="1:42" ht="15" customHeight="1">
      <c r="A16" s="592" t="s">
        <v>170</v>
      </c>
      <c r="B16" s="1088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1088"/>
      <c r="C17" s="1069">
        <v>36</v>
      </c>
      <c r="D17" s="5">
        <v>33</v>
      </c>
      <c r="E17" s="396">
        <v>3</v>
      </c>
      <c r="F17" s="5">
        <v>12</v>
      </c>
      <c r="G17" s="5">
        <v>9</v>
      </c>
      <c r="H17" s="396">
        <v>12</v>
      </c>
      <c r="I17" s="396">
        <v>12</v>
      </c>
      <c r="J17" s="396">
        <v>0</v>
      </c>
      <c r="K17" s="1081">
        <v>9</v>
      </c>
      <c r="L17" s="5">
        <v>9</v>
      </c>
      <c r="M17" s="396">
        <v>0</v>
      </c>
      <c r="N17" s="1081">
        <v>9</v>
      </c>
      <c r="O17" s="5">
        <v>9</v>
      </c>
      <c r="P17" s="1038">
        <v>0</v>
      </c>
    </row>
    <row r="18" spans="1:16" ht="15" customHeight="1">
      <c r="A18" s="592" t="s">
        <v>372</v>
      </c>
      <c r="B18" s="1090"/>
      <c r="C18" s="1069">
        <v>15</v>
      </c>
      <c r="D18" s="5">
        <v>15</v>
      </c>
      <c r="E18" s="396">
        <v>0</v>
      </c>
      <c r="F18" s="5">
        <v>6</v>
      </c>
      <c r="G18" s="5">
        <v>6</v>
      </c>
      <c r="H18" s="396">
        <v>3</v>
      </c>
      <c r="I18" s="396">
        <v>6</v>
      </c>
      <c r="J18" s="396">
        <v>3</v>
      </c>
      <c r="K18" s="1081">
        <v>3</v>
      </c>
      <c r="L18" s="5">
        <v>3</v>
      </c>
      <c r="M18" s="396">
        <v>0</v>
      </c>
      <c r="N18" s="1081">
        <v>3</v>
      </c>
      <c r="O18" s="5">
        <v>3</v>
      </c>
      <c r="P18" s="1038">
        <v>0</v>
      </c>
    </row>
    <row r="19" spans="1:16" ht="15" customHeight="1">
      <c r="A19" s="592" t="s">
        <v>373</v>
      </c>
      <c r="B19" s="1090"/>
      <c r="C19" s="1069">
        <v>18</v>
      </c>
      <c r="D19" s="5">
        <v>15</v>
      </c>
      <c r="E19" s="396">
        <v>3</v>
      </c>
      <c r="F19" s="5">
        <v>6</v>
      </c>
      <c r="G19" s="5">
        <v>9</v>
      </c>
      <c r="H19" s="396">
        <v>3</v>
      </c>
      <c r="I19" s="396">
        <v>9</v>
      </c>
      <c r="J19" s="396">
        <v>3</v>
      </c>
      <c r="K19" s="1081">
        <v>6</v>
      </c>
      <c r="L19" s="5">
        <v>3</v>
      </c>
      <c r="M19" s="396">
        <v>0</v>
      </c>
      <c r="N19" s="1081">
        <v>3</v>
      </c>
      <c r="O19" s="5">
        <v>3</v>
      </c>
      <c r="P19" s="1038">
        <v>0</v>
      </c>
    </row>
    <row r="20" spans="1:16" ht="15" customHeight="1">
      <c r="A20" s="592" t="s">
        <v>44</v>
      </c>
      <c r="B20" s="1090"/>
      <c r="C20" s="1069">
        <v>27</v>
      </c>
      <c r="D20" s="5">
        <v>21</v>
      </c>
      <c r="E20" s="396">
        <v>6</v>
      </c>
      <c r="F20" s="5">
        <v>9</v>
      </c>
      <c r="G20" s="5">
        <v>9</v>
      </c>
      <c r="H20" s="396">
        <v>9</v>
      </c>
      <c r="I20" s="396">
        <v>12</v>
      </c>
      <c r="J20" s="396">
        <v>3</v>
      </c>
      <c r="K20" s="1081">
        <v>12</v>
      </c>
      <c r="L20" s="5">
        <v>12</v>
      </c>
      <c r="M20" s="396">
        <v>0</v>
      </c>
      <c r="N20" s="1081">
        <v>12</v>
      </c>
      <c r="O20" s="5">
        <v>12</v>
      </c>
      <c r="P20" s="1038">
        <v>0</v>
      </c>
    </row>
    <row r="21" spans="1:16" ht="15" customHeight="1">
      <c r="A21" s="592" t="s">
        <v>374</v>
      </c>
      <c r="B21" s="1090"/>
      <c r="C21" s="1069">
        <v>3</v>
      </c>
      <c r="D21" s="5">
        <v>3</v>
      </c>
      <c r="E21" s="396">
        <v>0</v>
      </c>
      <c r="F21" s="5">
        <v>3</v>
      </c>
      <c r="G21" s="5">
        <v>0</v>
      </c>
      <c r="H21" s="396">
        <v>0</v>
      </c>
      <c r="I21" s="396">
        <v>3</v>
      </c>
      <c r="J21" s="396">
        <v>0</v>
      </c>
      <c r="K21" s="1081">
        <v>0</v>
      </c>
      <c r="L21" s="5">
        <v>0</v>
      </c>
      <c r="M21" s="396">
        <v>0</v>
      </c>
      <c r="N21" s="1081">
        <v>0</v>
      </c>
      <c r="O21" s="5">
        <v>0</v>
      </c>
      <c r="P21" s="1038">
        <v>0</v>
      </c>
    </row>
    <row r="22" spans="1:16" ht="15" customHeight="1">
      <c r="A22" s="592" t="s">
        <v>55</v>
      </c>
      <c r="B22" s="1091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1090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375</v>
      </c>
      <c r="B24" s="1090"/>
      <c r="C24" s="1069">
        <v>39</v>
      </c>
      <c r="D24" s="5">
        <v>27</v>
      </c>
      <c r="E24" s="396">
        <v>12</v>
      </c>
      <c r="F24" s="5">
        <v>12</v>
      </c>
      <c r="G24" s="5">
        <v>12</v>
      </c>
      <c r="H24" s="396">
        <v>15</v>
      </c>
      <c r="I24" s="258">
        <v>12</v>
      </c>
      <c r="J24" s="258">
        <v>6</v>
      </c>
      <c r="K24" s="1081">
        <v>15</v>
      </c>
      <c r="L24" s="5">
        <v>12</v>
      </c>
      <c r="M24" s="396">
        <v>0</v>
      </c>
      <c r="N24" s="1081">
        <v>15</v>
      </c>
      <c r="O24" s="5">
        <v>12</v>
      </c>
      <c r="P24" s="1038">
        <v>0</v>
      </c>
    </row>
    <row r="25" spans="1:16" ht="15" customHeight="1">
      <c r="A25" s="592" t="s">
        <v>299</v>
      </c>
      <c r="B25" s="1090"/>
      <c r="C25" s="1069">
        <v>27</v>
      </c>
      <c r="D25" s="5">
        <v>27</v>
      </c>
      <c r="E25" s="396">
        <v>0</v>
      </c>
      <c r="F25" s="5">
        <v>9</v>
      </c>
      <c r="G25" s="5">
        <v>9</v>
      </c>
      <c r="H25" s="396">
        <v>9</v>
      </c>
      <c r="I25" s="396">
        <v>12</v>
      </c>
      <c r="J25" s="396">
        <v>3</v>
      </c>
      <c r="K25" s="1081">
        <v>6</v>
      </c>
      <c r="L25" s="5">
        <v>6</v>
      </c>
      <c r="M25" s="396">
        <v>0</v>
      </c>
      <c r="N25" s="1081">
        <v>3</v>
      </c>
      <c r="O25" s="5">
        <v>3</v>
      </c>
      <c r="P25" s="1038">
        <v>0</v>
      </c>
    </row>
    <row r="26" spans="1:16" ht="15" customHeight="1">
      <c r="A26" s="592" t="s">
        <v>56</v>
      </c>
      <c r="B26" s="582"/>
      <c r="C26" s="1069">
        <v>111</v>
      </c>
      <c r="D26" s="5">
        <v>93</v>
      </c>
      <c r="E26" s="396">
        <v>18</v>
      </c>
      <c r="F26" s="5">
        <v>33</v>
      </c>
      <c r="G26" s="5">
        <v>36</v>
      </c>
      <c r="H26" s="396">
        <v>42</v>
      </c>
      <c r="I26" s="396">
        <v>36</v>
      </c>
      <c r="J26" s="396">
        <v>0</v>
      </c>
      <c r="K26" s="1081">
        <v>42</v>
      </c>
      <c r="L26" s="5">
        <v>36</v>
      </c>
      <c r="M26" s="396">
        <v>6</v>
      </c>
      <c r="N26" s="1081">
        <v>39</v>
      </c>
      <c r="O26" s="5">
        <v>36</v>
      </c>
      <c r="P26" s="1038">
        <v>6</v>
      </c>
    </row>
    <row r="27" spans="1:16" s="70" customFormat="1" ht="15" customHeight="1">
      <c r="A27" s="592" t="s">
        <v>57</v>
      </c>
      <c r="B27" s="587"/>
      <c r="C27" s="1069">
        <v>0</v>
      </c>
      <c r="D27" s="5">
        <v>0</v>
      </c>
      <c r="E27" s="396">
        <v>0</v>
      </c>
      <c r="F27" s="5">
        <v>0</v>
      </c>
      <c r="G27" s="5">
        <v>0</v>
      </c>
      <c r="H27" s="396">
        <v>0</v>
      </c>
      <c r="I27" s="396">
        <v>0</v>
      </c>
      <c r="J27" s="396">
        <v>0</v>
      </c>
      <c r="K27" s="1081">
        <v>0</v>
      </c>
      <c r="L27" s="5">
        <v>0</v>
      </c>
      <c r="M27" s="396">
        <v>0</v>
      </c>
      <c r="N27" s="1081">
        <v>0</v>
      </c>
      <c r="O27" s="5">
        <v>0</v>
      </c>
      <c r="P27" s="1038">
        <v>0</v>
      </c>
    </row>
    <row r="28" spans="1:16" s="7" customFormat="1" ht="15" customHeight="1">
      <c r="A28" s="592" t="s">
        <v>376</v>
      </c>
      <c r="B28" s="587"/>
      <c r="C28" s="1069">
        <v>9</v>
      </c>
      <c r="D28" s="5">
        <v>9</v>
      </c>
      <c r="E28" s="396">
        <v>0</v>
      </c>
      <c r="F28" s="5">
        <v>3</v>
      </c>
      <c r="G28" s="5">
        <v>3</v>
      </c>
      <c r="H28" s="396">
        <v>3</v>
      </c>
      <c r="I28" s="1037">
        <v>3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16" s="7" customFormat="1" ht="4.5" customHeight="1">
      <c r="A29" s="329"/>
      <c r="B29" s="1088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70" customFormat="1" ht="21" customHeight="1" thickBot="1">
      <c r="A30" s="593" t="s">
        <v>60</v>
      </c>
      <c r="B30" s="1089"/>
      <c r="C30" s="1068">
        <f>111+174+150+3</f>
        <v>438</v>
      </c>
      <c r="D30" s="580">
        <f>96+147+138+3</f>
        <v>384</v>
      </c>
      <c r="E30" s="1065">
        <f>15+27+9</f>
        <v>51</v>
      </c>
      <c r="F30" s="580">
        <f>39+57+54+3</f>
        <v>153</v>
      </c>
      <c r="G30" s="580">
        <f>39+54+51</f>
        <v>144</v>
      </c>
      <c r="H30" s="1065">
        <f>36+63+45</f>
        <v>144</v>
      </c>
      <c r="I30" s="1066">
        <f>42+60+63+3</f>
        <v>168</v>
      </c>
      <c r="J30" s="1066">
        <v>30</v>
      </c>
      <c r="K30" s="580">
        <f>27+66+45</f>
        <v>138</v>
      </c>
      <c r="L30" s="580">
        <f>24+57+45</f>
        <v>126</v>
      </c>
      <c r="M30" s="1065">
        <f>3+6+3</f>
        <v>12</v>
      </c>
      <c r="N30" s="580">
        <f>24+60+45</f>
        <v>129</v>
      </c>
      <c r="O30" s="580">
        <f>24+54+42</f>
        <v>120</v>
      </c>
      <c r="P30" s="1039">
        <f>3+6+3</f>
        <v>12</v>
      </c>
    </row>
    <row r="31" spans="1:16" s="70" customFormat="1" ht="3.6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3"/>
      <c r="N31" s="6"/>
    </row>
    <row r="32" spans="1:16" ht="10.95" customHeight="1">
      <c r="A32" s="70" t="s">
        <v>297</v>
      </c>
      <c r="B32" s="70"/>
    </row>
    <row r="33" spans="1:16" s="70" customFormat="1" ht="12" customHeight="1">
      <c r="A33" s="6" t="s">
        <v>355</v>
      </c>
      <c r="B33" s="6"/>
      <c r="E33" s="123"/>
      <c r="F33" s="123"/>
      <c r="G33" s="123"/>
      <c r="H33" s="80"/>
    </row>
    <row r="34" spans="1:16" ht="12" customHeight="1">
      <c r="A34" s="6" t="s">
        <v>356</v>
      </c>
    </row>
    <row r="37" spans="1:16" ht="10.75" thickBot="1">
      <c r="A37" s="593" t="s">
        <v>60</v>
      </c>
      <c r="B37" s="598"/>
      <c r="C37" s="1068">
        <v>432</v>
      </c>
      <c r="D37" s="580">
        <v>381</v>
      </c>
      <c r="E37" s="1065">
        <v>51</v>
      </c>
      <c r="F37" s="580">
        <v>144</v>
      </c>
      <c r="G37" s="580">
        <v>144</v>
      </c>
      <c r="H37" s="1065">
        <v>141</v>
      </c>
      <c r="I37" s="580">
        <v>168</v>
      </c>
      <c r="J37" s="1066">
        <v>30</v>
      </c>
      <c r="K37" s="1068">
        <v>138</v>
      </c>
      <c r="L37" s="580">
        <v>126</v>
      </c>
      <c r="M37" s="1065">
        <v>6</v>
      </c>
      <c r="N37" s="1068">
        <v>129</v>
      </c>
      <c r="O37" s="580">
        <v>120</v>
      </c>
      <c r="P37" s="1039">
        <v>6</v>
      </c>
    </row>
    <row r="38" spans="1:16" ht="10.75" thickBot="1">
      <c r="A38" s="593" t="s">
        <v>384</v>
      </c>
      <c r="B38" s="598"/>
      <c r="C38" s="1292">
        <f t="shared" ref="C38:P38" si="0">C30-C37</f>
        <v>6</v>
      </c>
      <c r="D38" s="1293">
        <f t="shared" si="0"/>
        <v>3</v>
      </c>
      <c r="E38" s="1302">
        <f t="shared" si="0"/>
        <v>0</v>
      </c>
      <c r="F38" s="1297">
        <f t="shared" si="0"/>
        <v>9</v>
      </c>
      <c r="G38" s="1305">
        <f t="shared" si="0"/>
        <v>0</v>
      </c>
      <c r="H38" s="1298">
        <f t="shared" si="0"/>
        <v>3</v>
      </c>
      <c r="I38" s="1304">
        <f t="shared" si="0"/>
        <v>0</v>
      </c>
      <c r="J38" s="1335">
        <f t="shared" si="0"/>
        <v>0</v>
      </c>
      <c r="K38" s="1303">
        <f t="shared" si="0"/>
        <v>0</v>
      </c>
      <c r="L38" s="1304">
        <f t="shared" si="0"/>
        <v>0</v>
      </c>
      <c r="M38" s="1294">
        <f t="shared" si="0"/>
        <v>6</v>
      </c>
      <c r="N38" s="1303">
        <f t="shared" si="0"/>
        <v>0</v>
      </c>
      <c r="O38" s="1304">
        <f t="shared" si="0"/>
        <v>0</v>
      </c>
      <c r="P38" s="1341">
        <f t="shared" si="0"/>
        <v>6</v>
      </c>
    </row>
  </sheetData>
  <mergeCells count="6">
    <mergeCell ref="C6:H7"/>
    <mergeCell ref="K6:P6"/>
    <mergeCell ref="A6:B12"/>
    <mergeCell ref="A4:P4"/>
    <mergeCell ref="F8:H9"/>
    <mergeCell ref="N7:P8"/>
  </mergeCells>
  <printOptions horizontalCentered="1"/>
  <pageMargins left="0.39370078740157483" right="0.19685039370078741" top="0.98425196850393704" bottom="0.43307086614173229" header="0.51181102362204722" footer="0.23622047244094491"/>
  <pageSetup paperSize="9" orientation="landscape" r:id="rId1"/>
  <headerFooter alignWithMargins="0">
    <oddHeader>&amp;C&amp;"Arial,Standard"&amp;8- 4 - &amp;R&amp;8&amp;D</oddHeader>
    <oddFooter>&amp;R
&amp;12...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>
    <tabColor theme="0" tint="-0.499984740745262"/>
  </sheetPr>
  <dimension ref="A2:BP389"/>
  <sheetViews>
    <sheetView topLeftCell="A163" zoomScaleNormal="100" zoomScaleSheetLayoutView="100" workbookViewId="0">
      <selection activeCell="F180" sqref="F180:F184"/>
    </sheetView>
  </sheetViews>
  <sheetFormatPr baseColWidth="10" defaultColWidth="11.3828125" defaultRowHeight="11.15" customHeight="1"/>
  <cols>
    <col min="1" max="1" width="5.69140625" style="366" customWidth="1"/>
    <col min="2" max="2" width="20.69140625" style="80" customWidth="1"/>
    <col min="3" max="8" width="7.69140625" style="80" customWidth="1"/>
    <col min="9" max="10" width="10.69140625" style="80" customWidth="1"/>
    <col min="11" max="14" width="7.69140625" style="80" customWidth="1"/>
    <col min="15" max="16" width="7.69140625" style="70" customWidth="1"/>
    <col min="17" max="16384" width="11.3828125" style="70"/>
  </cols>
  <sheetData>
    <row r="2" spans="1:26" s="90" customFormat="1" ht="12.45">
      <c r="A2" s="728" t="s">
        <v>213</v>
      </c>
      <c r="B2" s="87"/>
      <c r="C2" s="88"/>
      <c r="D2" s="88"/>
      <c r="E2" s="88"/>
      <c r="F2" s="88"/>
      <c r="G2" s="88"/>
      <c r="H2" s="88"/>
      <c r="I2" s="89" t="s">
        <v>116</v>
      </c>
      <c r="J2" s="89"/>
      <c r="K2" s="89"/>
      <c r="L2" s="89"/>
      <c r="M2" s="89"/>
      <c r="N2" s="534"/>
    </row>
    <row r="3" spans="1:26" ht="11.15" customHeight="1">
      <c r="A3" s="340"/>
      <c r="B3" s="91"/>
      <c r="C3" s="92"/>
      <c r="D3" s="92"/>
      <c r="E3" s="92"/>
      <c r="F3" s="92"/>
      <c r="G3" s="92"/>
      <c r="H3" s="92"/>
      <c r="I3" s="92"/>
      <c r="K3" s="93"/>
      <c r="L3" s="92"/>
      <c r="M3" s="92"/>
      <c r="N3" s="92"/>
    </row>
    <row r="4" spans="1:26" ht="18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26" ht="18" customHeight="1">
      <c r="A5" s="1565" t="s">
        <v>153</v>
      </c>
      <c r="B5" s="1565"/>
      <c r="C5" s="1565"/>
      <c r="D5" s="1565"/>
      <c r="E5" s="1565"/>
      <c r="F5" s="1565"/>
      <c r="G5" s="1565"/>
      <c r="H5" s="1565"/>
      <c r="I5" s="1565"/>
      <c r="J5" s="1565"/>
      <c r="K5" s="1565"/>
      <c r="L5" s="1565"/>
      <c r="M5" s="1565"/>
      <c r="N5" s="1565"/>
      <c r="O5" s="1566"/>
      <c r="P5" s="1566"/>
    </row>
    <row r="6" spans="1:26" ht="10.95" customHeight="1" thickBot="1">
      <c r="A6" s="341" t="s">
        <v>40</v>
      </c>
      <c r="B6" s="1563"/>
      <c r="C6" s="1563"/>
      <c r="D6" s="1563"/>
      <c r="E6" s="1563"/>
      <c r="F6" s="1563"/>
      <c r="G6" s="1563"/>
      <c r="H6" s="92"/>
      <c r="I6" s="92"/>
      <c r="J6" s="92"/>
      <c r="K6" s="92"/>
      <c r="L6" s="92"/>
      <c r="M6" s="92"/>
      <c r="N6" s="92"/>
    </row>
    <row r="7" spans="1:26" ht="24.65" customHeight="1">
      <c r="A7" s="1567" t="s">
        <v>43</v>
      </c>
      <c r="B7" s="342"/>
      <c r="C7" s="196" t="s">
        <v>358</v>
      </c>
      <c r="D7" s="195"/>
      <c r="E7" s="195"/>
      <c r="F7" s="195"/>
      <c r="G7" s="195"/>
      <c r="H7" s="195"/>
      <c r="I7" s="343" t="s">
        <v>0</v>
      </c>
      <c r="J7" s="344" t="s">
        <v>1</v>
      </c>
      <c r="K7" s="1574" t="s">
        <v>215</v>
      </c>
      <c r="L7" s="1537"/>
      <c r="M7" s="1537"/>
      <c r="N7" s="1537"/>
      <c r="O7" s="1537"/>
      <c r="P7" s="1538"/>
    </row>
    <row r="8" spans="1:26" ht="12" customHeight="1">
      <c r="A8" s="1568"/>
      <c r="B8" s="95"/>
      <c r="C8" s="96"/>
      <c r="D8" s="97"/>
      <c r="E8" s="98"/>
      <c r="F8" s="21" t="s">
        <v>165</v>
      </c>
      <c r="G8" s="345"/>
      <c r="H8" s="346"/>
      <c r="I8" s="347" t="s">
        <v>3</v>
      </c>
      <c r="J8" s="97" t="s">
        <v>4</v>
      </c>
      <c r="K8" s="101"/>
      <c r="L8" s="99"/>
      <c r="N8" s="100"/>
      <c r="O8" s="549" t="s">
        <v>2</v>
      </c>
      <c r="P8" s="544"/>
      <c r="Q8" s="41"/>
      <c r="R8" s="41"/>
      <c r="S8" s="41"/>
      <c r="T8" s="41"/>
      <c r="U8" s="41"/>
      <c r="V8" s="41"/>
      <c r="W8" s="42"/>
      <c r="X8" s="41"/>
      <c r="Y8" s="41"/>
      <c r="Z8" s="64"/>
    </row>
    <row r="9" spans="1:26" ht="12" customHeight="1">
      <c r="A9" s="1568"/>
      <c r="B9" s="103" t="s">
        <v>8</v>
      </c>
      <c r="C9" s="104"/>
      <c r="D9" s="348"/>
      <c r="E9" s="105"/>
      <c r="F9" s="349" t="s">
        <v>300</v>
      </c>
      <c r="G9" s="350"/>
      <c r="H9" s="351"/>
      <c r="I9" s="347" t="s">
        <v>8</v>
      </c>
      <c r="J9" s="97" t="s">
        <v>8</v>
      </c>
      <c r="K9" s="105"/>
      <c r="L9" s="106"/>
      <c r="N9" s="717"/>
      <c r="O9" s="375" t="s">
        <v>194</v>
      </c>
      <c r="P9" s="548"/>
    </row>
    <row r="10" spans="1:26" ht="12" customHeight="1">
      <c r="A10" s="1568"/>
      <c r="B10" s="103" t="s">
        <v>61</v>
      </c>
      <c r="C10" s="96" t="s">
        <v>19</v>
      </c>
      <c r="D10" s="97" t="s">
        <v>17</v>
      </c>
      <c r="E10" s="103" t="s">
        <v>18</v>
      </c>
      <c r="F10" s="352"/>
      <c r="G10" s="352"/>
      <c r="H10" s="352"/>
      <c r="I10" s="347" t="s">
        <v>20</v>
      </c>
      <c r="J10" s="97" t="s">
        <v>20</v>
      </c>
      <c r="K10" s="96" t="s">
        <v>19</v>
      </c>
      <c r="L10" s="108" t="s">
        <v>17</v>
      </c>
      <c r="M10" s="102" t="s">
        <v>18</v>
      </c>
      <c r="N10" s="96" t="s">
        <v>19</v>
      </c>
      <c r="O10" s="108" t="s">
        <v>17</v>
      </c>
      <c r="P10" s="210" t="s">
        <v>18</v>
      </c>
    </row>
    <row r="11" spans="1:26" ht="12" customHeight="1">
      <c r="A11" s="1568"/>
      <c r="B11" s="103" t="s">
        <v>62</v>
      </c>
      <c r="C11" s="96" t="s">
        <v>29</v>
      </c>
      <c r="D11" s="97" t="s">
        <v>28</v>
      </c>
      <c r="E11" s="103" t="s">
        <v>28</v>
      </c>
      <c r="F11" s="108" t="s">
        <v>30</v>
      </c>
      <c r="G11" s="108" t="s">
        <v>31</v>
      </c>
      <c r="H11" s="108" t="s">
        <v>32</v>
      </c>
      <c r="I11" s="347" t="s">
        <v>33</v>
      </c>
      <c r="J11" s="97" t="s">
        <v>33</v>
      </c>
      <c r="K11" s="96" t="s">
        <v>29</v>
      </c>
      <c r="L11" s="108" t="s">
        <v>28</v>
      </c>
      <c r="M11" s="102" t="s">
        <v>34</v>
      </c>
      <c r="N11" s="96" t="s">
        <v>29</v>
      </c>
      <c r="O11" s="108" t="s">
        <v>28</v>
      </c>
      <c r="P11" s="210" t="s">
        <v>34</v>
      </c>
    </row>
    <row r="12" spans="1:26" s="82" customFormat="1" ht="12" customHeight="1">
      <c r="A12" s="1569"/>
      <c r="B12" s="353"/>
      <c r="C12" s="714"/>
      <c r="D12" s="715"/>
      <c r="E12" s="550"/>
      <c r="F12" s="716"/>
      <c r="G12" s="717"/>
      <c r="H12" s="716"/>
      <c r="I12" s="349" t="s">
        <v>39</v>
      </c>
      <c r="J12" s="510" t="s">
        <v>39</v>
      </c>
      <c r="K12" s="550"/>
      <c r="L12" s="547"/>
      <c r="M12" s="718"/>
      <c r="N12" s="550"/>
      <c r="O12" s="547"/>
      <c r="P12" s="548"/>
    </row>
    <row r="13" spans="1:26" s="82" customFormat="1" ht="3.65" customHeight="1">
      <c r="A13" s="1053"/>
      <c r="B13" s="374"/>
      <c r="C13" s="326"/>
      <c r="D13" s="91"/>
      <c r="E13" s="1092"/>
      <c r="F13" s="129"/>
      <c r="G13" s="129"/>
      <c r="H13" s="129"/>
      <c r="I13" s="347"/>
      <c r="J13" s="97"/>
      <c r="K13" s="134"/>
      <c r="L13" s="129"/>
      <c r="M13" s="129"/>
      <c r="N13" s="134"/>
      <c r="O13" s="129"/>
      <c r="P13" s="1093"/>
    </row>
    <row r="14" spans="1:26" s="54" customFormat="1" ht="10.5" customHeight="1">
      <c r="A14" s="1540" t="s">
        <v>167</v>
      </c>
      <c r="B14" s="359" t="s">
        <v>301</v>
      </c>
      <c r="C14" s="568">
        <f t="shared" ref="C14:P14" si="0">SUM(C16:C20)</f>
        <v>15</v>
      </c>
      <c r="D14" s="570">
        <f t="shared" si="0"/>
        <v>9</v>
      </c>
      <c r="E14" s="559">
        <f t="shared" si="0"/>
        <v>9</v>
      </c>
      <c r="F14" s="568">
        <f t="shared" si="0"/>
        <v>3</v>
      </c>
      <c r="G14" s="570">
        <f t="shared" si="0"/>
        <v>9</v>
      </c>
      <c r="H14" s="559">
        <f t="shared" si="0"/>
        <v>6</v>
      </c>
      <c r="I14" s="679">
        <f t="shared" si="0"/>
        <v>9</v>
      </c>
      <c r="J14" s="679">
        <f t="shared" si="0"/>
        <v>6</v>
      </c>
      <c r="K14" s="568">
        <f t="shared" si="0"/>
        <v>6</v>
      </c>
      <c r="L14" s="570">
        <f t="shared" si="0"/>
        <v>3</v>
      </c>
      <c r="M14" s="559">
        <f t="shared" si="0"/>
        <v>3</v>
      </c>
      <c r="N14" s="568">
        <f t="shared" si="0"/>
        <v>3</v>
      </c>
      <c r="O14" s="570">
        <f t="shared" si="0"/>
        <v>3</v>
      </c>
      <c r="P14" s="569">
        <f t="shared" si="0"/>
        <v>0</v>
      </c>
    </row>
    <row r="15" spans="1:26" ht="4" customHeight="1">
      <c r="A15" s="1540"/>
      <c r="B15" s="107"/>
      <c r="C15" s="1041"/>
      <c r="D15" s="680"/>
      <c r="E15" s="681"/>
      <c r="F15" s="680"/>
      <c r="G15" s="680"/>
      <c r="H15" s="681"/>
      <c r="I15" s="681"/>
      <c r="J15" s="687"/>
      <c r="K15" s="1041"/>
      <c r="L15" s="680"/>
      <c r="M15" s="680"/>
      <c r="N15" s="1102"/>
      <c r="O15" s="71"/>
      <c r="P15" s="682"/>
    </row>
    <row r="16" spans="1:26" ht="11.15" customHeight="1">
      <c r="A16" s="1540"/>
      <c r="B16" s="355" t="s">
        <v>97</v>
      </c>
      <c r="C16" s="684">
        <v>6</v>
      </c>
      <c r="D16" s="555">
        <v>6</v>
      </c>
      <c r="E16" s="556">
        <v>3</v>
      </c>
      <c r="F16" s="684">
        <v>3</v>
      </c>
      <c r="G16" s="555">
        <v>3</v>
      </c>
      <c r="H16" s="556">
        <v>3</v>
      </c>
      <c r="I16" s="556">
        <v>6</v>
      </c>
      <c r="J16" s="678">
        <v>0</v>
      </c>
      <c r="K16" s="1040">
        <v>3</v>
      </c>
      <c r="L16" s="555">
        <v>0</v>
      </c>
      <c r="M16" s="405">
        <v>3</v>
      </c>
      <c r="N16" s="1040">
        <v>0</v>
      </c>
      <c r="O16" s="555">
        <v>0</v>
      </c>
      <c r="P16" s="540">
        <v>0</v>
      </c>
    </row>
    <row r="17" spans="1:36" ht="10.5" customHeight="1">
      <c r="A17" s="1540"/>
      <c r="B17" s="356" t="s">
        <v>98</v>
      </c>
      <c r="C17" s="684">
        <v>0</v>
      </c>
      <c r="D17" s="555">
        <v>0</v>
      </c>
      <c r="E17" s="556">
        <v>0</v>
      </c>
      <c r="F17" s="555">
        <v>0</v>
      </c>
      <c r="G17" s="555">
        <v>0</v>
      </c>
      <c r="H17" s="556">
        <v>0</v>
      </c>
      <c r="I17" s="405">
        <v>0</v>
      </c>
      <c r="J17" s="678">
        <v>3</v>
      </c>
      <c r="K17" s="684">
        <v>0</v>
      </c>
      <c r="L17" s="555">
        <v>0</v>
      </c>
      <c r="M17" s="555">
        <v>0</v>
      </c>
      <c r="N17" s="1040">
        <v>0</v>
      </c>
      <c r="O17" s="555">
        <v>0</v>
      </c>
      <c r="P17" s="688">
        <v>0</v>
      </c>
    </row>
    <row r="18" spans="1:36" ht="11.15" customHeight="1">
      <c r="A18" s="1540"/>
      <c r="B18" s="355" t="s">
        <v>99</v>
      </c>
      <c r="C18" s="684">
        <v>9</v>
      </c>
      <c r="D18" s="555">
        <v>3</v>
      </c>
      <c r="E18" s="556">
        <v>6</v>
      </c>
      <c r="F18" s="555">
        <v>0</v>
      </c>
      <c r="G18" s="555">
        <v>6</v>
      </c>
      <c r="H18" s="556">
        <v>3</v>
      </c>
      <c r="I18" s="556">
        <v>3</v>
      </c>
      <c r="J18" s="678">
        <v>3</v>
      </c>
      <c r="K18" s="684">
        <v>3</v>
      </c>
      <c r="L18" s="555">
        <v>3</v>
      </c>
      <c r="M18" s="555">
        <v>0</v>
      </c>
      <c r="N18" s="1040">
        <v>3</v>
      </c>
      <c r="O18" s="555">
        <v>3</v>
      </c>
      <c r="P18" s="688">
        <v>0</v>
      </c>
    </row>
    <row r="19" spans="1:36" ht="10.95" customHeight="1">
      <c r="A19" s="1540"/>
      <c r="B19" s="355" t="s">
        <v>100</v>
      </c>
      <c r="C19" s="684">
        <v>0</v>
      </c>
      <c r="D19" s="555">
        <v>0</v>
      </c>
      <c r="E19" s="556">
        <v>0</v>
      </c>
      <c r="F19" s="555">
        <v>0</v>
      </c>
      <c r="G19" s="555">
        <v>0</v>
      </c>
      <c r="H19" s="556">
        <v>0</v>
      </c>
      <c r="I19" s="405">
        <v>0</v>
      </c>
      <c r="J19" s="678">
        <v>0</v>
      </c>
      <c r="K19" s="684">
        <v>0</v>
      </c>
      <c r="L19" s="555">
        <v>0</v>
      </c>
      <c r="M19" s="555">
        <v>0</v>
      </c>
      <c r="N19" s="1040">
        <v>0</v>
      </c>
      <c r="O19" s="555">
        <v>0</v>
      </c>
      <c r="P19" s="688">
        <v>0</v>
      </c>
      <c r="Q19" s="113"/>
      <c r="R19" s="71"/>
      <c r="S19" s="71"/>
      <c r="T19" s="71"/>
      <c r="U19" s="76"/>
      <c r="V19" s="76"/>
      <c r="W19" s="114"/>
      <c r="X19" s="29"/>
      <c r="Y19" s="115"/>
      <c r="Z19" s="29"/>
      <c r="AA19" s="29"/>
      <c r="AB19" s="115"/>
      <c r="AC19" s="114"/>
      <c r="AD19" s="115"/>
      <c r="AE19" s="115"/>
      <c r="AF19" s="115"/>
      <c r="AG19" s="115"/>
      <c r="AH19" s="115"/>
      <c r="AI19" s="115"/>
      <c r="AJ19" s="115"/>
    </row>
    <row r="20" spans="1:36" s="538" customFormat="1" ht="11.15" customHeight="1">
      <c r="A20" s="1561"/>
      <c r="B20" s="963" t="s">
        <v>101</v>
      </c>
      <c r="C20" s="1272">
        <v>0</v>
      </c>
      <c r="D20" s="1043">
        <v>0</v>
      </c>
      <c r="E20" s="1044">
        <v>0</v>
      </c>
      <c r="F20" s="1043">
        <v>0</v>
      </c>
      <c r="G20" s="1043">
        <v>0</v>
      </c>
      <c r="H20" s="1044">
        <v>0</v>
      </c>
      <c r="I20" s="1086">
        <v>0</v>
      </c>
      <c r="J20" s="1042">
        <v>0</v>
      </c>
      <c r="K20" s="1272">
        <v>0</v>
      </c>
      <c r="L20" s="1043">
        <v>0</v>
      </c>
      <c r="M20" s="1043">
        <v>0</v>
      </c>
      <c r="N20" s="1345">
        <v>0</v>
      </c>
      <c r="O20" s="1043">
        <v>0</v>
      </c>
      <c r="P20" s="1045">
        <v>0</v>
      </c>
      <c r="Q20" s="847"/>
      <c r="R20" s="517"/>
      <c r="S20" s="517"/>
      <c r="T20" s="517"/>
      <c r="U20" s="961"/>
      <c r="V20" s="961"/>
      <c r="W20" s="964"/>
      <c r="X20" s="964"/>
      <c r="Y20" s="965"/>
      <c r="Z20" s="517"/>
      <c r="AA20" s="517"/>
      <c r="AB20" s="966"/>
      <c r="AC20" s="964"/>
      <c r="AD20" s="964"/>
      <c r="AE20" s="965"/>
      <c r="AF20" s="967"/>
      <c r="AG20" s="517"/>
      <c r="AH20" s="27"/>
      <c r="AI20" s="968"/>
      <c r="AJ20" s="27"/>
    </row>
    <row r="21" spans="1:36" ht="4" customHeight="1">
      <c r="A21" s="354"/>
      <c r="B21" s="107"/>
      <c r="C21" s="1041"/>
      <c r="D21" s="680"/>
      <c r="E21" s="681"/>
      <c r="F21" s="680"/>
      <c r="G21" s="680"/>
      <c r="H21" s="681"/>
      <c r="I21" s="681"/>
      <c r="J21" s="687"/>
      <c r="K21" s="1041"/>
      <c r="L21" s="680"/>
      <c r="M21" s="680"/>
      <c r="N21" s="1102"/>
      <c r="O21" s="680"/>
      <c r="P21" s="1096"/>
      <c r="Q21" s="9"/>
      <c r="R21" s="21"/>
      <c r="S21" s="29"/>
      <c r="T21" s="29"/>
      <c r="U21" s="116"/>
      <c r="V21" s="116"/>
      <c r="W21" s="8"/>
      <c r="X21" s="8"/>
      <c r="Y21" s="9"/>
      <c r="Z21" s="8"/>
      <c r="AA21" s="8"/>
      <c r="AB21" s="9"/>
      <c r="AC21" s="8"/>
      <c r="AD21" s="8"/>
      <c r="AE21" s="9"/>
      <c r="AF21" s="76"/>
      <c r="AG21" s="118"/>
      <c r="AH21" s="118"/>
      <c r="AI21" s="119"/>
      <c r="AJ21" s="75"/>
    </row>
    <row r="22" spans="1:36" s="11" customFormat="1" ht="11.15" customHeight="1">
      <c r="A22" s="1540" t="s">
        <v>168</v>
      </c>
      <c r="B22" s="359" t="s">
        <v>301</v>
      </c>
      <c r="C22" s="568">
        <f>SUM(C24:C28)</f>
        <v>0</v>
      </c>
      <c r="D22" s="570">
        <f t="shared" ref="D22:N22" si="1">SUM(D24:D28)</f>
        <v>0</v>
      </c>
      <c r="E22" s="559">
        <f t="shared" si="1"/>
        <v>0</v>
      </c>
      <c r="F22" s="568">
        <f t="shared" si="1"/>
        <v>0</v>
      </c>
      <c r="G22" s="570">
        <f t="shared" si="1"/>
        <v>0</v>
      </c>
      <c r="H22" s="559">
        <f t="shared" si="1"/>
        <v>0</v>
      </c>
      <c r="I22" s="679">
        <f t="shared" si="1"/>
        <v>0</v>
      </c>
      <c r="J22" s="679">
        <f t="shared" si="1"/>
        <v>0</v>
      </c>
      <c r="K22" s="568">
        <f t="shared" si="1"/>
        <v>0</v>
      </c>
      <c r="L22" s="570">
        <f t="shared" si="1"/>
        <v>0</v>
      </c>
      <c r="M22" s="559">
        <f t="shared" si="1"/>
        <v>0</v>
      </c>
      <c r="N22" s="568">
        <f t="shared" si="1"/>
        <v>0</v>
      </c>
      <c r="O22" s="570">
        <f>SUM(O24:O28)</f>
        <v>0</v>
      </c>
      <c r="P22" s="569">
        <f>SUM(P24:P28)</f>
        <v>0</v>
      </c>
      <c r="Q22" s="121"/>
      <c r="R22" s="8"/>
      <c r="S22" s="75"/>
      <c r="T22" s="75"/>
      <c r="U22" s="116"/>
      <c r="V22" s="116"/>
      <c r="W22" s="76"/>
      <c r="X22" s="76"/>
      <c r="Y22" s="121"/>
      <c r="Z22" s="76"/>
      <c r="AA22" s="29"/>
      <c r="AB22" s="121"/>
      <c r="AC22" s="76"/>
      <c r="AD22" s="76"/>
      <c r="AE22" s="121"/>
      <c r="AF22" s="76"/>
      <c r="AG22" s="76"/>
      <c r="AH22" s="76"/>
      <c r="AI22" s="121"/>
      <c r="AJ22" s="75"/>
    </row>
    <row r="23" spans="1:36" ht="4" customHeight="1">
      <c r="A23" s="1540"/>
      <c r="B23" s="107"/>
      <c r="C23" s="1041"/>
      <c r="D23" s="680"/>
      <c r="E23" s="681"/>
      <c r="F23" s="680"/>
      <c r="G23" s="680"/>
      <c r="H23" s="681"/>
      <c r="I23" s="681"/>
      <c r="J23" s="687"/>
      <c r="K23" s="1041"/>
      <c r="L23" s="680"/>
      <c r="M23" s="680"/>
      <c r="N23" s="1102"/>
      <c r="O23" s="71"/>
      <c r="P23" s="682"/>
      <c r="Q23" s="121"/>
      <c r="R23" s="76"/>
      <c r="S23" s="76"/>
      <c r="T23" s="76"/>
      <c r="U23" s="116"/>
      <c r="V23" s="116"/>
      <c r="W23" s="76"/>
      <c r="X23" s="76"/>
      <c r="Y23" s="121"/>
      <c r="Z23" s="76"/>
      <c r="AA23" s="76"/>
      <c r="AB23" s="121"/>
      <c r="AC23" s="76"/>
      <c r="AD23" s="76"/>
      <c r="AE23" s="121"/>
      <c r="AF23" s="76"/>
      <c r="AG23" s="76"/>
      <c r="AH23" s="76"/>
      <c r="AI23" s="121"/>
      <c r="AJ23" s="75"/>
    </row>
    <row r="24" spans="1:36" ht="10.5" customHeight="1">
      <c r="A24" s="1540"/>
      <c r="B24" s="355" t="s">
        <v>97</v>
      </c>
      <c r="C24" s="702">
        <v>0</v>
      </c>
      <c r="D24" s="555">
        <v>0</v>
      </c>
      <c r="E24" s="556">
        <v>0</v>
      </c>
      <c r="F24" s="684">
        <v>0</v>
      </c>
      <c r="G24" s="555">
        <v>0</v>
      </c>
      <c r="H24" s="556">
        <v>0</v>
      </c>
      <c r="I24" s="556">
        <v>0</v>
      </c>
      <c r="J24" s="678">
        <v>0</v>
      </c>
      <c r="K24" s="1040">
        <v>0</v>
      </c>
      <c r="L24" s="555">
        <v>0</v>
      </c>
      <c r="M24" s="405">
        <v>0</v>
      </c>
      <c r="N24" s="568">
        <v>0</v>
      </c>
      <c r="O24" s="555">
        <v>0</v>
      </c>
      <c r="P24" s="540">
        <v>0</v>
      </c>
      <c r="Q24" s="9"/>
      <c r="R24" s="8"/>
      <c r="S24" s="8"/>
      <c r="T24" s="8"/>
      <c r="U24" s="122"/>
      <c r="V24" s="122"/>
      <c r="W24" s="8"/>
      <c r="X24" s="8"/>
      <c r="Y24" s="9"/>
      <c r="Z24" s="8"/>
      <c r="AA24" s="8"/>
      <c r="AB24" s="9"/>
      <c r="AC24" s="8"/>
      <c r="AD24" s="8"/>
      <c r="AE24" s="9"/>
      <c r="AF24" s="46"/>
      <c r="AG24" s="8"/>
      <c r="AH24" s="8"/>
      <c r="AI24" s="9"/>
      <c r="AJ24" s="75"/>
    </row>
    <row r="25" spans="1:36" ht="10.5" customHeight="1">
      <c r="A25" s="1540"/>
      <c r="B25" s="355" t="s">
        <v>98</v>
      </c>
      <c r="C25" s="702">
        <v>0</v>
      </c>
      <c r="D25" s="555">
        <v>0</v>
      </c>
      <c r="E25" s="556">
        <v>0</v>
      </c>
      <c r="F25" s="555">
        <v>0</v>
      </c>
      <c r="G25" s="555">
        <v>0</v>
      </c>
      <c r="H25" s="556">
        <v>0</v>
      </c>
      <c r="I25" s="405">
        <v>0</v>
      </c>
      <c r="J25" s="678">
        <v>0</v>
      </c>
      <c r="K25" s="684">
        <v>0</v>
      </c>
      <c r="L25" s="555">
        <v>0</v>
      </c>
      <c r="M25" s="555">
        <v>0</v>
      </c>
      <c r="N25" s="568">
        <v>0</v>
      </c>
      <c r="O25" s="555">
        <v>0</v>
      </c>
      <c r="P25" s="688">
        <v>0</v>
      </c>
    </row>
    <row r="26" spans="1:36" ht="10.5" customHeight="1">
      <c r="A26" s="1540"/>
      <c r="B26" s="355" t="s">
        <v>99</v>
      </c>
      <c r="C26" s="702">
        <v>0</v>
      </c>
      <c r="D26" s="555">
        <v>0</v>
      </c>
      <c r="E26" s="556">
        <v>0</v>
      </c>
      <c r="F26" s="555">
        <v>0</v>
      </c>
      <c r="G26" s="555">
        <v>0</v>
      </c>
      <c r="H26" s="556">
        <v>0</v>
      </c>
      <c r="I26" s="556">
        <v>0</v>
      </c>
      <c r="J26" s="678">
        <v>0</v>
      </c>
      <c r="K26" s="684">
        <v>0</v>
      </c>
      <c r="L26" s="555">
        <v>0</v>
      </c>
      <c r="M26" s="555">
        <v>0</v>
      </c>
      <c r="N26" s="568">
        <v>0</v>
      </c>
      <c r="O26" s="555">
        <v>0</v>
      </c>
      <c r="P26" s="688">
        <v>0</v>
      </c>
    </row>
    <row r="27" spans="1:36" ht="10.5" customHeight="1">
      <c r="A27" s="1540"/>
      <c r="B27" s="358" t="s">
        <v>100</v>
      </c>
      <c r="C27" s="702">
        <v>0</v>
      </c>
      <c r="D27" s="555">
        <v>0</v>
      </c>
      <c r="E27" s="556">
        <v>0</v>
      </c>
      <c r="F27" s="555">
        <v>0</v>
      </c>
      <c r="G27" s="555">
        <v>0</v>
      </c>
      <c r="H27" s="556">
        <v>0</v>
      </c>
      <c r="I27" s="405">
        <v>0</v>
      </c>
      <c r="J27" s="678">
        <v>0</v>
      </c>
      <c r="K27" s="684">
        <v>0</v>
      </c>
      <c r="L27" s="555">
        <v>0</v>
      </c>
      <c r="M27" s="555">
        <v>0</v>
      </c>
      <c r="N27" s="568">
        <v>0</v>
      </c>
      <c r="O27" s="555">
        <v>0</v>
      </c>
      <c r="P27" s="688">
        <v>0</v>
      </c>
    </row>
    <row r="28" spans="1:36" s="538" customFormat="1" ht="10.5" customHeight="1">
      <c r="A28" s="1561"/>
      <c r="B28" s="969" t="s">
        <v>101</v>
      </c>
      <c r="C28" s="1046">
        <v>0</v>
      </c>
      <c r="D28" s="1043">
        <v>0</v>
      </c>
      <c r="E28" s="1044">
        <v>0</v>
      </c>
      <c r="F28" s="1043">
        <v>0</v>
      </c>
      <c r="G28" s="1043">
        <v>0</v>
      </c>
      <c r="H28" s="1044">
        <v>0</v>
      </c>
      <c r="I28" s="1086">
        <v>0</v>
      </c>
      <c r="J28" s="1042">
        <v>0</v>
      </c>
      <c r="K28" s="1272">
        <v>0</v>
      </c>
      <c r="L28" s="1043">
        <v>0</v>
      </c>
      <c r="M28" s="1043">
        <v>0</v>
      </c>
      <c r="N28" s="1103">
        <v>0</v>
      </c>
      <c r="O28" s="1043">
        <v>0</v>
      </c>
      <c r="P28" s="1045">
        <v>0</v>
      </c>
    </row>
    <row r="29" spans="1:36" ht="4" customHeight="1">
      <c r="A29" s="354"/>
      <c r="B29" s="107"/>
      <c r="C29" s="1041"/>
      <c r="D29" s="680"/>
      <c r="E29" s="681"/>
      <c r="F29" s="686"/>
      <c r="G29" s="680"/>
      <c r="H29" s="681"/>
      <c r="I29" s="681"/>
      <c r="J29" s="687"/>
      <c r="K29" s="1041"/>
      <c r="L29" s="680"/>
      <c r="M29" s="680"/>
      <c r="N29" s="1102"/>
      <c r="O29" s="585"/>
      <c r="P29" s="682"/>
    </row>
    <row r="30" spans="1:36" s="11" customFormat="1" ht="11.15" customHeight="1">
      <c r="A30" s="1540" t="s">
        <v>169</v>
      </c>
      <c r="B30" s="359" t="s">
        <v>301</v>
      </c>
      <c r="C30" s="568">
        <f t="shared" ref="C30:P30" si="2">SUM(C32:C36)</f>
        <v>63</v>
      </c>
      <c r="D30" s="570">
        <f t="shared" si="2"/>
        <v>30</v>
      </c>
      <c r="E30" s="559">
        <f t="shared" si="2"/>
        <v>30</v>
      </c>
      <c r="F30" s="568">
        <f t="shared" si="2"/>
        <v>12</v>
      </c>
      <c r="G30" s="570">
        <f t="shared" si="2"/>
        <v>15</v>
      </c>
      <c r="H30" s="559">
        <f t="shared" si="2"/>
        <v>30</v>
      </c>
      <c r="I30" s="679">
        <f t="shared" si="2"/>
        <v>24</v>
      </c>
      <c r="J30" s="679">
        <f t="shared" si="2"/>
        <v>9</v>
      </c>
      <c r="K30" s="568">
        <f t="shared" si="2"/>
        <v>30</v>
      </c>
      <c r="L30" s="570">
        <f t="shared" si="2"/>
        <v>27</v>
      </c>
      <c r="M30" s="559">
        <f t="shared" si="2"/>
        <v>0</v>
      </c>
      <c r="N30" s="568">
        <f t="shared" si="2"/>
        <v>18</v>
      </c>
      <c r="O30" s="570">
        <f t="shared" si="2"/>
        <v>18</v>
      </c>
      <c r="P30" s="569">
        <f t="shared" si="2"/>
        <v>0</v>
      </c>
    </row>
    <row r="31" spans="1:36" ht="3.65" customHeight="1">
      <c r="A31" s="1540"/>
      <c r="B31" s="107"/>
      <c r="C31" s="1041"/>
      <c r="D31" s="680"/>
      <c r="E31" s="681"/>
      <c r="F31" s="680"/>
      <c r="G31" s="680"/>
      <c r="H31" s="681"/>
      <c r="I31" s="681"/>
      <c r="J31" s="687"/>
      <c r="K31" s="1041"/>
      <c r="L31" s="680"/>
      <c r="M31" s="680"/>
      <c r="N31" s="1102"/>
      <c r="O31" s="71"/>
      <c r="P31" s="682"/>
    </row>
    <row r="32" spans="1:36" ht="10.5" customHeight="1">
      <c r="A32" s="1540"/>
      <c r="B32" s="358" t="s">
        <v>97</v>
      </c>
      <c r="C32" s="684">
        <v>6</v>
      </c>
      <c r="D32" s="555">
        <v>0</v>
      </c>
      <c r="E32" s="556">
        <v>3</v>
      </c>
      <c r="F32" s="684">
        <v>0</v>
      </c>
      <c r="G32" s="555">
        <v>0</v>
      </c>
      <c r="H32" s="556">
        <v>3</v>
      </c>
      <c r="I32" s="556">
        <v>3</v>
      </c>
      <c r="J32" s="678">
        <v>0</v>
      </c>
      <c r="K32" s="1040">
        <v>3</v>
      </c>
      <c r="L32" s="555">
        <v>0</v>
      </c>
      <c r="M32" s="405">
        <v>0</v>
      </c>
      <c r="N32" s="1040">
        <v>0</v>
      </c>
      <c r="O32" s="555">
        <v>0</v>
      </c>
      <c r="P32" s="540">
        <v>0</v>
      </c>
    </row>
    <row r="33" spans="1:16" ht="10.5" customHeight="1">
      <c r="A33" s="1540"/>
      <c r="B33" s="355" t="s">
        <v>98</v>
      </c>
      <c r="C33" s="684">
        <v>12</v>
      </c>
      <c r="D33" s="555">
        <v>0</v>
      </c>
      <c r="E33" s="556">
        <v>12</v>
      </c>
      <c r="F33" s="555">
        <v>3</v>
      </c>
      <c r="G33" s="555">
        <v>0</v>
      </c>
      <c r="H33" s="556">
        <v>6</v>
      </c>
      <c r="I33" s="405">
        <v>3</v>
      </c>
      <c r="J33" s="678">
        <v>3</v>
      </c>
      <c r="K33" s="684">
        <v>3</v>
      </c>
      <c r="L33" s="555">
        <v>3</v>
      </c>
      <c r="M33" s="555">
        <v>0</v>
      </c>
      <c r="N33" s="1040">
        <v>3</v>
      </c>
      <c r="O33" s="555">
        <v>3</v>
      </c>
      <c r="P33" s="688">
        <v>0</v>
      </c>
    </row>
    <row r="34" spans="1:16" ht="10.5" customHeight="1">
      <c r="A34" s="1540"/>
      <c r="B34" s="358" t="s">
        <v>99</v>
      </c>
      <c r="C34" s="684">
        <v>9</v>
      </c>
      <c r="D34" s="555">
        <v>6</v>
      </c>
      <c r="E34" s="556">
        <v>3</v>
      </c>
      <c r="F34" s="555">
        <v>3</v>
      </c>
      <c r="G34" s="555">
        <v>3</v>
      </c>
      <c r="H34" s="556">
        <v>3</v>
      </c>
      <c r="I34" s="556">
        <v>6</v>
      </c>
      <c r="J34" s="678">
        <v>3</v>
      </c>
      <c r="K34" s="684">
        <v>3</v>
      </c>
      <c r="L34" s="555">
        <v>3</v>
      </c>
      <c r="M34" s="555">
        <v>0</v>
      </c>
      <c r="N34" s="1040">
        <v>3</v>
      </c>
      <c r="O34" s="555">
        <v>3</v>
      </c>
      <c r="P34" s="688">
        <v>0</v>
      </c>
    </row>
    <row r="35" spans="1:16" ht="10.5" customHeight="1">
      <c r="A35" s="1540"/>
      <c r="B35" s="355" t="s">
        <v>100</v>
      </c>
      <c r="C35" s="684">
        <v>24</v>
      </c>
      <c r="D35" s="555">
        <v>18</v>
      </c>
      <c r="E35" s="556">
        <v>6</v>
      </c>
      <c r="F35" s="555">
        <v>6</v>
      </c>
      <c r="G35" s="555">
        <v>6</v>
      </c>
      <c r="H35" s="556">
        <v>12</v>
      </c>
      <c r="I35" s="405">
        <v>6</v>
      </c>
      <c r="J35" s="678">
        <v>3</v>
      </c>
      <c r="K35" s="684">
        <v>15</v>
      </c>
      <c r="L35" s="555">
        <v>15</v>
      </c>
      <c r="M35" s="555">
        <v>0</v>
      </c>
      <c r="N35" s="1040">
        <v>9</v>
      </c>
      <c r="O35" s="555">
        <v>9</v>
      </c>
      <c r="P35" s="688">
        <v>0</v>
      </c>
    </row>
    <row r="36" spans="1:16" s="538" customFormat="1" ht="10.5" customHeight="1">
      <c r="A36" s="1561"/>
      <c r="B36" s="963" t="s">
        <v>101</v>
      </c>
      <c r="C36" s="1272">
        <v>12</v>
      </c>
      <c r="D36" s="1043">
        <v>6</v>
      </c>
      <c r="E36" s="1044">
        <v>6</v>
      </c>
      <c r="F36" s="1043">
        <v>0</v>
      </c>
      <c r="G36" s="1043">
        <v>6</v>
      </c>
      <c r="H36" s="1044">
        <v>6</v>
      </c>
      <c r="I36" s="1086">
        <v>6</v>
      </c>
      <c r="J36" s="1042">
        <v>0</v>
      </c>
      <c r="K36" s="1272">
        <v>6</v>
      </c>
      <c r="L36" s="1043">
        <v>6</v>
      </c>
      <c r="M36" s="1043">
        <v>0</v>
      </c>
      <c r="N36" s="1345">
        <v>3</v>
      </c>
      <c r="O36" s="1043">
        <v>3</v>
      </c>
      <c r="P36" s="1045">
        <v>0</v>
      </c>
    </row>
    <row r="37" spans="1:16" ht="4" customHeight="1">
      <c r="A37" s="354"/>
      <c r="B37" s="107"/>
      <c r="C37" s="1041"/>
      <c r="D37" s="680"/>
      <c r="E37" s="681"/>
      <c r="F37" s="680"/>
      <c r="G37" s="680"/>
      <c r="H37" s="681"/>
      <c r="I37" s="681"/>
      <c r="J37" s="678"/>
      <c r="K37" s="1041"/>
      <c r="L37" s="680"/>
      <c r="M37" s="680"/>
      <c r="N37" s="1102"/>
      <c r="O37" s="585"/>
      <c r="P37" s="682"/>
    </row>
    <row r="38" spans="1:16" s="11" customFormat="1" ht="11.15" customHeight="1">
      <c r="A38" s="1540" t="s">
        <v>170</v>
      </c>
      <c r="B38" s="359" t="s">
        <v>301</v>
      </c>
      <c r="C38" s="568">
        <f t="shared" ref="C38:P38" si="3">SUM(C40:C44)</f>
        <v>0</v>
      </c>
      <c r="D38" s="570">
        <f t="shared" si="3"/>
        <v>0</v>
      </c>
      <c r="E38" s="559">
        <f t="shared" si="3"/>
        <v>0</v>
      </c>
      <c r="F38" s="568">
        <f t="shared" si="3"/>
        <v>0</v>
      </c>
      <c r="G38" s="570">
        <f t="shared" si="3"/>
        <v>0</v>
      </c>
      <c r="H38" s="559">
        <f t="shared" si="3"/>
        <v>0</v>
      </c>
      <c r="I38" s="679">
        <f t="shared" si="3"/>
        <v>0</v>
      </c>
      <c r="J38" s="679">
        <f t="shared" si="3"/>
        <v>0</v>
      </c>
      <c r="K38" s="568">
        <f t="shared" si="3"/>
        <v>0</v>
      </c>
      <c r="L38" s="570">
        <f t="shared" si="3"/>
        <v>0</v>
      </c>
      <c r="M38" s="559">
        <f t="shared" si="3"/>
        <v>0</v>
      </c>
      <c r="N38" s="568">
        <f t="shared" si="3"/>
        <v>0</v>
      </c>
      <c r="O38" s="570">
        <f t="shared" si="3"/>
        <v>0</v>
      </c>
      <c r="P38" s="569">
        <f t="shared" si="3"/>
        <v>0</v>
      </c>
    </row>
    <row r="39" spans="1:16" ht="4" customHeight="1">
      <c r="A39" s="1540"/>
      <c r="B39" s="107"/>
      <c r="C39" s="1041"/>
      <c r="D39" s="680"/>
      <c r="E39" s="681"/>
      <c r="F39" s="680"/>
      <c r="G39" s="680"/>
      <c r="H39" s="681"/>
      <c r="I39" s="681"/>
      <c r="J39" s="687"/>
      <c r="K39" s="1041"/>
      <c r="L39" s="680"/>
      <c r="M39" s="680"/>
      <c r="N39" s="1102"/>
      <c r="O39" s="71"/>
      <c r="P39" s="682"/>
    </row>
    <row r="40" spans="1:16" ht="10.5" customHeight="1">
      <c r="A40" s="1540"/>
      <c r="B40" s="355" t="s">
        <v>97</v>
      </c>
      <c r="C40" s="684">
        <v>0</v>
      </c>
      <c r="D40" s="555">
        <v>0</v>
      </c>
      <c r="E40" s="556">
        <v>0</v>
      </c>
      <c r="F40" s="684">
        <v>0</v>
      </c>
      <c r="G40" s="555">
        <v>0</v>
      </c>
      <c r="H40" s="556">
        <v>0</v>
      </c>
      <c r="I40" s="556">
        <v>0</v>
      </c>
      <c r="J40" s="678">
        <v>0</v>
      </c>
      <c r="K40" s="1040">
        <v>0</v>
      </c>
      <c r="L40" s="555">
        <v>0</v>
      </c>
      <c r="M40" s="405">
        <v>0</v>
      </c>
      <c r="N40" s="568">
        <v>0</v>
      </c>
      <c r="O40" s="555">
        <v>0</v>
      </c>
      <c r="P40" s="540">
        <v>0</v>
      </c>
    </row>
    <row r="41" spans="1:16" ht="10.5" customHeight="1">
      <c r="A41" s="1540"/>
      <c r="B41" s="355" t="s">
        <v>98</v>
      </c>
      <c r="C41" s="684">
        <v>0</v>
      </c>
      <c r="D41" s="555">
        <v>0</v>
      </c>
      <c r="E41" s="556">
        <v>0</v>
      </c>
      <c r="F41" s="555">
        <v>0</v>
      </c>
      <c r="G41" s="555">
        <v>0</v>
      </c>
      <c r="H41" s="556">
        <v>0</v>
      </c>
      <c r="I41" s="405">
        <v>0</v>
      </c>
      <c r="J41" s="678">
        <v>0</v>
      </c>
      <c r="K41" s="684">
        <v>0</v>
      </c>
      <c r="L41" s="555">
        <v>0</v>
      </c>
      <c r="M41" s="555">
        <v>0</v>
      </c>
      <c r="N41" s="568">
        <v>0</v>
      </c>
      <c r="O41" s="555">
        <v>0</v>
      </c>
      <c r="P41" s="688">
        <v>0</v>
      </c>
    </row>
    <row r="42" spans="1:16" ht="10.5" customHeight="1">
      <c r="A42" s="1540"/>
      <c r="B42" s="355" t="s">
        <v>99</v>
      </c>
      <c r="C42" s="684">
        <v>0</v>
      </c>
      <c r="D42" s="555">
        <v>0</v>
      </c>
      <c r="E42" s="556">
        <v>0</v>
      </c>
      <c r="F42" s="555">
        <v>0</v>
      </c>
      <c r="G42" s="555">
        <v>0</v>
      </c>
      <c r="H42" s="556">
        <v>0</v>
      </c>
      <c r="I42" s="556">
        <v>0</v>
      </c>
      <c r="J42" s="678">
        <v>0</v>
      </c>
      <c r="K42" s="684">
        <v>0</v>
      </c>
      <c r="L42" s="555">
        <v>0</v>
      </c>
      <c r="M42" s="555">
        <v>0</v>
      </c>
      <c r="N42" s="568">
        <v>0</v>
      </c>
      <c r="O42" s="555">
        <v>0</v>
      </c>
      <c r="P42" s="688">
        <v>0</v>
      </c>
    </row>
    <row r="43" spans="1:16" ht="10.5" customHeight="1">
      <c r="A43" s="1540"/>
      <c r="B43" s="355" t="s">
        <v>100</v>
      </c>
      <c r="C43" s="684">
        <v>0</v>
      </c>
      <c r="D43" s="555">
        <v>0</v>
      </c>
      <c r="E43" s="556">
        <v>0</v>
      </c>
      <c r="F43" s="555">
        <v>0</v>
      </c>
      <c r="G43" s="555">
        <v>0</v>
      </c>
      <c r="H43" s="556">
        <v>0</v>
      </c>
      <c r="I43" s="405">
        <v>0</v>
      </c>
      <c r="J43" s="678">
        <v>0</v>
      </c>
      <c r="K43" s="684">
        <v>0</v>
      </c>
      <c r="L43" s="555">
        <v>0</v>
      </c>
      <c r="M43" s="555">
        <v>0</v>
      </c>
      <c r="N43" s="568">
        <v>0</v>
      </c>
      <c r="O43" s="555">
        <v>0</v>
      </c>
      <c r="P43" s="688">
        <v>0</v>
      </c>
    </row>
    <row r="44" spans="1:16" s="538" customFormat="1" ht="10.5" customHeight="1">
      <c r="A44" s="1561"/>
      <c r="B44" s="963" t="s">
        <v>101</v>
      </c>
      <c r="C44" s="1272">
        <v>0</v>
      </c>
      <c r="D44" s="1043">
        <v>0</v>
      </c>
      <c r="E44" s="1044">
        <v>0</v>
      </c>
      <c r="F44" s="1043">
        <v>0</v>
      </c>
      <c r="G44" s="1043">
        <v>0</v>
      </c>
      <c r="H44" s="1044">
        <v>0</v>
      </c>
      <c r="I44" s="1086">
        <v>0</v>
      </c>
      <c r="J44" s="1042">
        <v>0</v>
      </c>
      <c r="K44" s="1272">
        <v>0</v>
      </c>
      <c r="L44" s="1043">
        <v>0</v>
      </c>
      <c r="M44" s="1043">
        <v>0</v>
      </c>
      <c r="N44" s="1103">
        <v>0</v>
      </c>
      <c r="O44" s="1043">
        <v>0</v>
      </c>
      <c r="P44" s="1045">
        <v>0</v>
      </c>
    </row>
    <row r="45" spans="1:16" ht="4" customHeight="1">
      <c r="A45" s="354"/>
      <c r="B45" s="107"/>
      <c r="C45" s="1041"/>
      <c r="D45" s="680"/>
      <c r="E45" s="681"/>
      <c r="F45" s="680"/>
      <c r="G45" s="680"/>
      <c r="H45" s="681"/>
      <c r="I45" s="681"/>
      <c r="J45" s="687"/>
      <c r="K45" s="1041"/>
      <c r="L45" s="680"/>
      <c r="M45" s="680"/>
      <c r="N45" s="1102"/>
      <c r="O45" s="585"/>
      <c r="P45" s="682"/>
    </row>
    <row r="46" spans="1:16" s="11" customFormat="1" ht="11.15" customHeight="1">
      <c r="A46" s="1540" t="s">
        <v>53</v>
      </c>
      <c r="B46" s="359" t="s">
        <v>301</v>
      </c>
      <c r="C46" s="568">
        <f t="shared" ref="C46:P46" si="4">SUM(C48:C52)</f>
        <v>18</v>
      </c>
      <c r="D46" s="570">
        <f t="shared" si="4"/>
        <v>9</v>
      </c>
      <c r="E46" s="559">
        <f t="shared" si="4"/>
        <v>9</v>
      </c>
      <c r="F46" s="568">
        <f t="shared" si="4"/>
        <v>3</v>
      </c>
      <c r="G46" s="570">
        <f t="shared" si="4"/>
        <v>6</v>
      </c>
      <c r="H46" s="559">
        <f t="shared" si="4"/>
        <v>3</v>
      </c>
      <c r="I46" s="679">
        <f t="shared" si="4"/>
        <v>9</v>
      </c>
      <c r="J46" s="679">
        <f t="shared" si="4"/>
        <v>3</v>
      </c>
      <c r="K46" s="568">
        <f t="shared" si="4"/>
        <v>3</v>
      </c>
      <c r="L46" s="403">
        <f t="shared" si="4"/>
        <v>0</v>
      </c>
      <c r="M46" s="405">
        <f t="shared" si="4"/>
        <v>0</v>
      </c>
      <c r="N46" s="568">
        <f t="shared" si="4"/>
        <v>3</v>
      </c>
      <c r="O46" s="403">
        <f t="shared" si="4"/>
        <v>0</v>
      </c>
      <c r="P46" s="540">
        <f t="shared" si="4"/>
        <v>0</v>
      </c>
    </row>
    <row r="47" spans="1:16" ht="4" customHeight="1">
      <c r="A47" s="1540"/>
      <c r="B47" s="107"/>
      <c r="C47" s="1041"/>
      <c r="D47" s="680"/>
      <c r="E47" s="681"/>
      <c r="F47" s="680"/>
      <c r="G47" s="680"/>
      <c r="H47" s="681"/>
      <c r="I47" s="681"/>
      <c r="J47" s="687"/>
      <c r="K47" s="1041"/>
      <c r="L47" s="680"/>
      <c r="M47" s="680"/>
      <c r="N47" s="1102"/>
      <c r="O47" s="71"/>
      <c r="P47" s="682"/>
    </row>
    <row r="48" spans="1:16" ht="10.5" customHeight="1">
      <c r="A48" s="1540"/>
      <c r="B48" s="355" t="s">
        <v>97</v>
      </c>
      <c r="C48" s="684">
        <v>3</v>
      </c>
      <c r="D48" s="555">
        <v>0</v>
      </c>
      <c r="E48" s="556">
        <v>3</v>
      </c>
      <c r="F48" s="684">
        <v>0</v>
      </c>
      <c r="G48" s="555">
        <v>0</v>
      </c>
      <c r="H48" s="556">
        <v>0</v>
      </c>
      <c r="I48" s="556">
        <v>3</v>
      </c>
      <c r="J48" s="678">
        <v>0</v>
      </c>
      <c r="K48" s="1040">
        <v>0</v>
      </c>
      <c r="L48" s="555">
        <v>0</v>
      </c>
      <c r="M48" s="405">
        <v>0</v>
      </c>
      <c r="N48" s="1040">
        <v>0</v>
      </c>
      <c r="O48" s="555">
        <v>0</v>
      </c>
      <c r="P48" s="540">
        <v>0</v>
      </c>
    </row>
    <row r="49" spans="1:16" ht="10.5" customHeight="1">
      <c r="A49" s="1540"/>
      <c r="B49" s="355" t="s">
        <v>98</v>
      </c>
      <c r="C49" s="684">
        <v>3</v>
      </c>
      <c r="D49" s="555">
        <v>0</v>
      </c>
      <c r="E49" s="556">
        <v>0</v>
      </c>
      <c r="F49" s="555">
        <v>0</v>
      </c>
      <c r="G49" s="555">
        <v>0</v>
      </c>
      <c r="H49" s="556">
        <v>0</v>
      </c>
      <c r="I49" s="405">
        <v>0</v>
      </c>
      <c r="J49" s="678">
        <v>0</v>
      </c>
      <c r="K49" s="684">
        <v>0</v>
      </c>
      <c r="L49" s="555">
        <v>0</v>
      </c>
      <c r="M49" s="555">
        <v>0</v>
      </c>
      <c r="N49" s="1040">
        <v>0</v>
      </c>
      <c r="O49" s="555">
        <v>0</v>
      </c>
      <c r="P49" s="688">
        <v>0</v>
      </c>
    </row>
    <row r="50" spans="1:16" ht="10.5" customHeight="1">
      <c r="A50" s="1540"/>
      <c r="B50" s="355" t="s">
        <v>99</v>
      </c>
      <c r="C50" s="684">
        <v>3</v>
      </c>
      <c r="D50" s="555">
        <v>3</v>
      </c>
      <c r="E50" s="556">
        <v>3</v>
      </c>
      <c r="F50" s="555">
        <v>0</v>
      </c>
      <c r="G50" s="555">
        <v>3</v>
      </c>
      <c r="H50" s="556">
        <v>0</v>
      </c>
      <c r="I50" s="556">
        <v>0</v>
      </c>
      <c r="J50" s="678">
        <v>3</v>
      </c>
      <c r="K50" s="684">
        <v>0</v>
      </c>
      <c r="L50" s="555">
        <v>0</v>
      </c>
      <c r="M50" s="555">
        <v>0</v>
      </c>
      <c r="N50" s="1040">
        <v>0</v>
      </c>
      <c r="O50" s="555">
        <v>0</v>
      </c>
      <c r="P50" s="688">
        <v>0</v>
      </c>
    </row>
    <row r="51" spans="1:16" ht="10.5" customHeight="1">
      <c r="A51" s="1540"/>
      <c r="B51" s="355" t="s">
        <v>100</v>
      </c>
      <c r="C51" s="684">
        <v>3</v>
      </c>
      <c r="D51" s="555">
        <v>0</v>
      </c>
      <c r="E51" s="556">
        <v>0</v>
      </c>
      <c r="F51" s="555">
        <v>0</v>
      </c>
      <c r="G51" s="555">
        <v>0</v>
      </c>
      <c r="H51" s="556">
        <v>0</v>
      </c>
      <c r="I51" s="405">
        <v>0</v>
      </c>
      <c r="J51" s="678">
        <v>0</v>
      </c>
      <c r="K51" s="684">
        <v>0</v>
      </c>
      <c r="L51" s="555">
        <v>0</v>
      </c>
      <c r="M51" s="555">
        <v>0</v>
      </c>
      <c r="N51" s="1040">
        <v>0</v>
      </c>
      <c r="O51" s="555">
        <v>0</v>
      </c>
      <c r="P51" s="688">
        <v>0</v>
      </c>
    </row>
    <row r="52" spans="1:16" ht="10.5" customHeight="1">
      <c r="A52" s="1540"/>
      <c r="B52" s="355" t="s">
        <v>101</v>
      </c>
      <c r="C52" s="684">
        <v>6</v>
      </c>
      <c r="D52" s="555">
        <v>6</v>
      </c>
      <c r="E52" s="556">
        <v>3</v>
      </c>
      <c r="F52" s="555">
        <v>3</v>
      </c>
      <c r="G52" s="555">
        <v>3</v>
      </c>
      <c r="H52" s="556">
        <v>3</v>
      </c>
      <c r="I52" s="405">
        <v>6</v>
      </c>
      <c r="J52" s="678">
        <v>0</v>
      </c>
      <c r="K52" s="684">
        <v>3</v>
      </c>
      <c r="L52" s="555">
        <v>0</v>
      </c>
      <c r="M52" s="555">
        <v>0</v>
      </c>
      <c r="N52" s="1040">
        <v>3</v>
      </c>
      <c r="O52" s="555">
        <v>0</v>
      </c>
      <c r="P52" s="688">
        <v>0</v>
      </c>
    </row>
    <row r="53" spans="1:16" ht="4" customHeight="1" thickBot="1">
      <c r="A53" s="360"/>
      <c r="B53" s="666"/>
      <c r="C53" s="1094"/>
      <c r="D53" s="197"/>
      <c r="E53" s="362"/>
      <c r="F53" s="197"/>
      <c r="G53" s="197"/>
      <c r="H53" s="362"/>
      <c r="I53" s="362"/>
      <c r="J53" s="198"/>
      <c r="K53" s="1095"/>
      <c r="L53" s="197"/>
      <c r="M53" s="199"/>
      <c r="N53" s="1104"/>
      <c r="O53" s="305"/>
      <c r="P53" s="306"/>
    </row>
    <row r="54" spans="1:16" ht="11.15" customHeight="1">
      <c r="A54" s="109"/>
      <c r="B54" s="340"/>
      <c r="C54" s="110"/>
      <c r="D54" s="110"/>
      <c r="E54" s="77"/>
      <c r="F54" s="110"/>
      <c r="G54" s="110"/>
      <c r="H54" s="110"/>
      <c r="I54" s="110"/>
      <c r="J54" s="110"/>
      <c r="K54" s="110"/>
      <c r="L54" s="110"/>
      <c r="M54" s="77"/>
      <c r="N54" s="109"/>
    </row>
    <row r="55" spans="1:16" s="90" customFormat="1" ht="11.15" customHeight="1">
      <c r="A55" s="363"/>
      <c r="B55" s="364" t="s">
        <v>154</v>
      </c>
      <c r="C55" s="87"/>
      <c r="D55" s="87"/>
      <c r="E55" s="88"/>
      <c r="F55" s="87"/>
      <c r="G55" s="87"/>
      <c r="H55" s="87"/>
      <c r="I55" s="89" t="s">
        <v>150</v>
      </c>
      <c r="J55" s="365"/>
      <c r="L55" s="87"/>
      <c r="M55" s="88"/>
      <c r="N55" s="328"/>
    </row>
    <row r="56" spans="1:16" ht="11.15" customHeight="1">
      <c r="B56" s="357"/>
      <c r="C56" s="91"/>
      <c r="D56" s="91"/>
      <c r="E56" s="92"/>
      <c r="F56" s="91"/>
      <c r="G56" s="91"/>
      <c r="H56" s="91"/>
      <c r="I56" s="91"/>
      <c r="K56" s="89"/>
      <c r="L56" s="91"/>
      <c r="M56" s="92"/>
      <c r="N56" s="109"/>
    </row>
    <row r="57" spans="1:16" ht="11.15" customHeight="1" thickBot="1">
      <c r="A57" s="367"/>
      <c r="B57" s="92"/>
      <c r="C57" s="110"/>
      <c r="D57" s="110"/>
      <c r="E57" s="77"/>
      <c r="F57" s="110"/>
      <c r="G57" s="110"/>
      <c r="H57" s="110"/>
      <c r="I57" s="110"/>
      <c r="J57" s="110"/>
      <c r="K57" s="110"/>
      <c r="L57" s="110"/>
      <c r="M57" s="77"/>
      <c r="N57" s="110"/>
    </row>
    <row r="58" spans="1:16" s="125" customFormat="1" ht="13.2" customHeight="1">
      <c r="A58" s="1567" t="s">
        <v>43</v>
      </c>
      <c r="B58" s="1577"/>
      <c r="C58" s="1547" t="s">
        <v>358</v>
      </c>
      <c r="D58" s="1548"/>
      <c r="E58" s="1548"/>
      <c r="F58" s="1548"/>
      <c r="G58" s="1548"/>
      <c r="H58" s="1575"/>
      <c r="I58" s="1553" t="s">
        <v>0</v>
      </c>
      <c r="J58" s="1553" t="s">
        <v>1</v>
      </c>
      <c r="K58" s="1547" t="s">
        <v>215</v>
      </c>
      <c r="L58" s="1548"/>
      <c r="M58" s="1548"/>
      <c r="N58" s="1548"/>
      <c r="O58" s="1548"/>
      <c r="P58" s="1549"/>
    </row>
    <row r="59" spans="1:16" s="125" customFormat="1" ht="13.2" customHeight="1">
      <c r="A59" s="1570"/>
      <c r="B59" s="1578"/>
      <c r="C59" s="1550"/>
      <c r="D59" s="1551"/>
      <c r="E59" s="1551"/>
      <c r="F59" s="1551"/>
      <c r="G59" s="1551"/>
      <c r="H59" s="1576"/>
      <c r="I59" s="1554"/>
      <c r="J59" s="1554"/>
      <c r="K59" s="1562"/>
      <c r="L59" s="1563"/>
      <c r="M59" s="1563"/>
      <c r="N59" s="1563"/>
      <c r="O59" s="1563"/>
      <c r="P59" s="1564"/>
    </row>
    <row r="60" spans="1:16" s="125" customFormat="1" ht="12" customHeight="1">
      <c r="A60" s="1568"/>
      <c r="B60" s="95"/>
      <c r="C60" s="96"/>
      <c r="D60" s="97"/>
      <c r="E60" s="98"/>
      <c r="F60" s="21" t="s">
        <v>165</v>
      </c>
      <c r="G60" s="345"/>
      <c r="H60" s="346"/>
      <c r="I60" s="347" t="s">
        <v>3</v>
      </c>
      <c r="J60" s="97" t="s">
        <v>4</v>
      </c>
      <c r="K60" s="101"/>
      <c r="L60" s="99"/>
      <c r="M60" s="376"/>
      <c r="N60" s="100"/>
      <c r="O60" s="549" t="s">
        <v>2</v>
      </c>
      <c r="P60" s="544"/>
    </row>
    <row r="61" spans="1:16" s="125" customFormat="1" ht="12" customHeight="1">
      <c r="A61" s="1568"/>
      <c r="B61" s="103" t="s">
        <v>8</v>
      </c>
      <c r="C61" s="104"/>
      <c r="D61" s="348"/>
      <c r="E61" s="105"/>
      <c r="F61" s="349" t="s">
        <v>300</v>
      </c>
      <c r="G61" s="350"/>
      <c r="H61" s="351"/>
      <c r="I61" s="347" t="s">
        <v>8</v>
      </c>
      <c r="J61" s="97" t="s">
        <v>8</v>
      </c>
      <c r="K61" s="105"/>
      <c r="L61" s="106"/>
      <c r="M61" s="80"/>
      <c r="N61" s="717"/>
      <c r="O61" s="375" t="s">
        <v>194</v>
      </c>
      <c r="P61" s="548"/>
    </row>
    <row r="62" spans="1:16" s="125" customFormat="1" ht="12" customHeight="1">
      <c r="A62" s="1568"/>
      <c r="B62" s="103" t="s">
        <v>61</v>
      </c>
      <c r="C62" s="96" t="s">
        <v>19</v>
      </c>
      <c r="D62" s="97" t="s">
        <v>17</v>
      </c>
      <c r="E62" s="103" t="s">
        <v>18</v>
      </c>
      <c r="F62" s="352"/>
      <c r="G62" s="352"/>
      <c r="H62" s="352"/>
      <c r="I62" s="347" t="s">
        <v>20</v>
      </c>
      <c r="J62" s="97" t="s">
        <v>20</v>
      </c>
      <c r="K62" s="96" t="s">
        <v>19</v>
      </c>
      <c r="L62" s="108" t="s">
        <v>17</v>
      </c>
      <c r="M62" s="102" t="s">
        <v>18</v>
      </c>
      <c r="N62" s="1105" t="s">
        <v>19</v>
      </c>
      <c r="O62" s="549" t="s">
        <v>17</v>
      </c>
      <c r="P62" s="210" t="s">
        <v>18</v>
      </c>
    </row>
    <row r="63" spans="1:16" s="125" customFormat="1" ht="12" customHeight="1">
      <c r="A63" s="1568"/>
      <c r="B63" s="103" t="s">
        <v>62</v>
      </c>
      <c r="C63" s="96" t="s">
        <v>29</v>
      </c>
      <c r="D63" s="97" t="s">
        <v>28</v>
      </c>
      <c r="E63" s="103" t="s">
        <v>28</v>
      </c>
      <c r="F63" s="108" t="s">
        <v>30</v>
      </c>
      <c r="G63" s="108" t="s">
        <v>31</v>
      </c>
      <c r="H63" s="108" t="s">
        <v>32</v>
      </c>
      <c r="I63" s="347" t="s">
        <v>33</v>
      </c>
      <c r="J63" s="97" t="s">
        <v>33</v>
      </c>
      <c r="K63" s="96" t="s">
        <v>29</v>
      </c>
      <c r="L63" s="108" t="s">
        <v>28</v>
      </c>
      <c r="M63" s="102" t="s">
        <v>34</v>
      </c>
      <c r="N63" s="1215" t="s">
        <v>29</v>
      </c>
      <c r="O63" s="103" t="s">
        <v>28</v>
      </c>
      <c r="P63" s="210" t="s">
        <v>34</v>
      </c>
    </row>
    <row r="64" spans="1:16" s="125" customFormat="1" ht="12" customHeight="1">
      <c r="A64" s="1569"/>
      <c r="B64" s="353"/>
      <c r="C64" s="714"/>
      <c r="D64" s="715"/>
      <c r="E64" s="550"/>
      <c r="F64" s="716"/>
      <c r="G64" s="717"/>
      <c r="H64" s="716"/>
      <c r="I64" s="349" t="s">
        <v>39</v>
      </c>
      <c r="J64" s="510" t="s">
        <v>39</v>
      </c>
      <c r="K64" s="550"/>
      <c r="L64" s="547"/>
      <c r="M64" s="718"/>
      <c r="N64" s="1106"/>
      <c r="O64" s="717"/>
      <c r="P64" s="548"/>
    </row>
    <row r="65" spans="1:16" s="125" customFormat="1" ht="3.65" customHeight="1">
      <c r="A65" s="1053"/>
      <c r="B65" s="374"/>
      <c r="C65" s="326"/>
      <c r="D65" s="1098"/>
      <c r="E65" s="667"/>
      <c r="F65" s="133"/>
      <c r="G65" s="133"/>
      <c r="H65" s="382"/>
      <c r="I65" s="1101"/>
      <c r="J65" s="1101"/>
      <c r="K65" s="1099"/>
      <c r="L65" s="133"/>
      <c r="M65" s="382"/>
      <c r="N65" s="134"/>
      <c r="O65" s="133"/>
      <c r="P65" s="1100"/>
    </row>
    <row r="66" spans="1:16" ht="11.15" customHeight="1">
      <c r="A66" s="1540" t="s">
        <v>171</v>
      </c>
      <c r="B66" s="359" t="s">
        <v>301</v>
      </c>
      <c r="C66" s="568">
        <f t="shared" ref="C66:P66" si="5">SUM(C68:C72)</f>
        <v>18</v>
      </c>
      <c r="D66" s="570">
        <f t="shared" si="5"/>
        <v>9</v>
      </c>
      <c r="E66" s="559">
        <f t="shared" si="5"/>
        <v>9</v>
      </c>
      <c r="F66" s="568">
        <f t="shared" si="5"/>
        <v>0</v>
      </c>
      <c r="G66" s="570">
        <f t="shared" si="5"/>
        <v>9</v>
      </c>
      <c r="H66" s="559">
        <f t="shared" si="5"/>
        <v>9</v>
      </c>
      <c r="I66" s="679">
        <f t="shared" si="5"/>
        <v>6</v>
      </c>
      <c r="J66" s="679">
        <f t="shared" si="5"/>
        <v>3</v>
      </c>
      <c r="K66" s="568">
        <f t="shared" si="5"/>
        <v>9</v>
      </c>
      <c r="L66" s="570">
        <f t="shared" si="5"/>
        <v>3</v>
      </c>
      <c r="M66" s="559">
        <f t="shared" si="5"/>
        <v>3</v>
      </c>
      <c r="N66" s="568">
        <f t="shared" si="5"/>
        <v>6</v>
      </c>
      <c r="O66" s="570">
        <f t="shared" si="5"/>
        <v>3</v>
      </c>
      <c r="P66" s="569">
        <f t="shared" si="5"/>
        <v>3</v>
      </c>
    </row>
    <row r="67" spans="1:16" ht="5.15" customHeight="1">
      <c r="A67" s="1540"/>
      <c r="B67" s="107"/>
      <c r="C67" s="1041"/>
      <c r="D67" s="680"/>
      <c r="E67" s="681"/>
      <c r="F67" s="680"/>
      <c r="G67" s="680"/>
      <c r="H67" s="681"/>
      <c r="I67" s="681"/>
      <c r="J67" s="687"/>
      <c r="K67" s="1041"/>
      <c r="L67" s="680"/>
      <c r="M67" s="680"/>
      <c r="N67" s="1102"/>
      <c r="O67" s="71"/>
      <c r="P67" s="682"/>
    </row>
    <row r="68" spans="1:16" ht="11.15" customHeight="1">
      <c r="A68" s="1540"/>
      <c r="B68" s="355" t="s">
        <v>97</v>
      </c>
      <c r="C68" s="684">
        <v>0</v>
      </c>
      <c r="D68" s="555">
        <v>0</v>
      </c>
      <c r="E68" s="556">
        <v>0</v>
      </c>
      <c r="F68" s="684">
        <v>0</v>
      </c>
      <c r="G68" s="555">
        <v>0</v>
      </c>
      <c r="H68" s="556">
        <v>0</v>
      </c>
      <c r="I68" s="556">
        <v>0</v>
      </c>
      <c r="J68" s="678">
        <v>0</v>
      </c>
      <c r="K68" s="1040">
        <v>0</v>
      </c>
      <c r="L68" s="555">
        <v>0</v>
      </c>
      <c r="M68" s="405">
        <v>0</v>
      </c>
      <c r="N68" s="1040">
        <v>0</v>
      </c>
      <c r="O68" s="555">
        <v>0</v>
      </c>
      <c r="P68" s="540">
        <v>0</v>
      </c>
    </row>
    <row r="69" spans="1:16" ht="11.15" customHeight="1">
      <c r="A69" s="1540"/>
      <c r="B69" s="355" t="s">
        <v>98</v>
      </c>
      <c r="C69" s="684">
        <v>0</v>
      </c>
      <c r="D69" s="555">
        <v>0</v>
      </c>
      <c r="E69" s="556">
        <v>0</v>
      </c>
      <c r="F69" s="555">
        <v>0</v>
      </c>
      <c r="G69" s="555">
        <v>0</v>
      </c>
      <c r="H69" s="556">
        <v>0</v>
      </c>
      <c r="I69" s="405">
        <v>0</v>
      </c>
      <c r="J69" s="678">
        <v>0</v>
      </c>
      <c r="K69" s="684">
        <v>0</v>
      </c>
      <c r="L69" s="555">
        <v>0</v>
      </c>
      <c r="M69" s="555">
        <v>0</v>
      </c>
      <c r="N69" s="1040">
        <v>0</v>
      </c>
      <c r="O69" s="555">
        <v>0</v>
      </c>
      <c r="P69" s="688">
        <v>0</v>
      </c>
    </row>
    <row r="70" spans="1:16" ht="11.15" customHeight="1">
      <c r="A70" s="1540"/>
      <c r="B70" s="355" t="s">
        <v>99</v>
      </c>
      <c r="C70" s="684">
        <v>6</v>
      </c>
      <c r="D70" s="555">
        <v>3</v>
      </c>
      <c r="E70" s="556">
        <v>3</v>
      </c>
      <c r="F70" s="555">
        <v>0</v>
      </c>
      <c r="G70" s="555">
        <v>3</v>
      </c>
      <c r="H70" s="556">
        <v>3</v>
      </c>
      <c r="I70" s="556">
        <v>3</v>
      </c>
      <c r="J70" s="678">
        <v>3</v>
      </c>
      <c r="K70" s="684">
        <v>3</v>
      </c>
      <c r="L70" s="555">
        <v>3</v>
      </c>
      <c r="M70" s="555">
        <v>0</v>
      </c>
      <c r="N70" s="1040">
        <v>3</v>
      </c>
      <c r="O70" s="555">
        <v>3</v>
      </c>
      <c r="P70" s="688">
        <v>0</v>
      </c>
    </row>
    <row r="71" spans="1:16" ht="11.15" customHeight="1">
      <c r="A71" s="1540"/>
      <c r="B71" s="355" t="s">
        <v>100</v>
      </c>
      <c r="C71" s="684">
        <v>0</v>
      </c>
      <c r="D71" s="555">
        <v>0</v>
      </c>
      <c r="E71" s="556">
        <v>0</v>
      </c>
      <c r="F71" s="555">
        <v>0</v>
      </c>
      <c r="G71" s="555">
        <v>0</v>
      </c>
      <c r="H71" s="556">
        <v>0</v>
      </c>
      <c r="I71" s="405">
        <v>0</v>
      </c>
      <c r="J71" s="678">
        <v>0</v>
      </c>
      <c r="K71" s="684">
        <v>3</v>
      </c>
      <c r="L71" s="555">
        <v>0</v>
      </c>
      <c r="M71" s="555">
        <v>0</v>
      </c>
      <c r="N71" s="1040">
        <v>0</v>
      </c>
      <c r="O71" s="555">
        <v>0</v>
      </c>
      <c r="P71" s="688">
        <v>0</v>
      </c>
    </row>
    <row r="72" spans="1:16" s="538" customFormat="1" ht="11.15" customHeight="1">
      <c r="A72" s="1561"/>
      <c r="B72" s="963" t="s">
        <v>101</v>
      </c>
      <c r="C72" s="1272">
        <v>12</v>
      </c>
      <c r="D72" s="1043">
        <v>6</v>
      </c>
      <c r="E72" s="1044">
        <v>6</v>
      </c>
      <c r="F72" s="1043">
        <v>0</v>
      </c>
      <c r="G72" s="1043">
        <v>6</v>
      </c>
      <c r="H72" s="1044">
        <v>6</v>
      </c>
      <c r="I72" s="1086">
        <v>3</v>
      </c>
      <c r="J72" s="1042">
        <v>0</v>
      </c>
      <c r="K72" s="1272">
        <v>3</v>
      </c>
      <c r="L72" s="1043">
        <v>0</v>
      </c>
      <c r="M72" s="1043">
        <v>3</v>
      </c>
      <c r="N72" s="1345">
        <v>3</v>
      </c>
      <c r="O72" s="1043">
        <v>0</v>
      </c>
      <c r="P72" s="1045">
        <v>3</v>
      </c>
    </row>
    <row r="73" spans="1:16" s="82" customFormat="1" ht="5.15" customHeight="1">
      <c r="A73" s="354"/>
      <c r="B73" s="370"/>
      <c r="C73" s="1041"/>
      <c r="D73" s="680"/>
      <c r="E73" s="681"/>
      <c r="F73" s="680"/>
      <c r="G73" s="680"/>
      <c r="H73" s="681"/>
      <c r="I73" s="681"/>
      <c r="J73" s="687"/>
      <c r="K73" s="1041"/>
      <c r="L73" s="680"/>
      <c r="M73" s="680"/>
      <c r="N73" s="1102"/>
      <c r="O73" s="680"/>
      <c r="P73" s="1096"/>
    </row>
    <row r="74" spans="1:16" s="54" customFormat="1" ht="11.15" customHeight="1">
      <c r="A74" s="1540" t="s">
        <v>54</v>
      </c>
      <c r="B74" s="359" t="s">
        <v>301</v>
      </c>
      <c r="C74" s="568">
        <f t="shared" ref="C74:P74" si="6">SUM(C76:C80)</f>
        <v>12</v>
      </c>
      <c r="D74" s="570">
        <f>SUM(D76:D80)</f>
        <v>6</v>
      </c>
      <c r="E74" s="559">
        <f t="shared" si="6"/>
        <v>6</v>
      </c>
      <c r="F74" s="568">
        <f t="shared" si="6"/>
        <v>3</v>
      </c>
      <c r="G74" s="570">
        <f t="shared" si="6"/>
        <v>6</v>
      </c>
      <c r="H74" s="559">
        <f t="shared" si="6"/>
        <v>0</v>
      </c>
      <c r="I74" s="679">
        <f t="shared" si="6"/>
        <v>6</v>
      </c>
      <c r="J74" s="679">
        <f t="shared" si="6"/>
        <v>0</v>
      </c>
      <c r="K74" s="568">
        <f t="shared" si="6"/>
        <v>3</v>
      </c>
      <c r="L74" s="570">
        <f t="shared" si="6"/>
        <v>3</v>
      </c>
      <c r="M74" s="559">
        <f t="shared" si="6"/>
        <v>0</v>
      </c>
      <c r="N74" s="568">
        <f t="shared" si="6"/>
        <v>3</v>
      </c>
      <c r="O74" s="570">
        <f t="shared" si="6"/>
        <v>3</v>
      </c>
      <c r="P74" s="569">
        <f t="shared" si="6"/>
        <v>0</v>
      </c>
    </row>
    <row r="75" spans="1:16" ht="5.15" customHeight="1">
      <c r="A75" s="1540"/>
      <c r="B75" s="107"/>
      <c r="C75" s="1041"/>
      <c r="D75" s="680"/>
      <c r="E75" s="681"/>
      <c r="F75" s="680"/>
      <c r="G75" s="680"/>
      <c r="H75" s="681"/>
      <c r="I75" s="681"/>
      <c r="J75" s="687"/>
      <c r="K75" s="1041"/>
      <c r="L75" s="680"/>
      <c r="M75" s="680"/>
      <c r="N75" s="1346"/>
      <c r="O75" s="71"/>
      <c r="P75" s="682"/>
    </row>
    <row r="76" spans="1:16" ht="11.15" customHeight="1">
      <c r="A76" s="1540"/>
      <c r="B76" s="355" t="s">
        <v>97</v>
      </c>
      <c r="C76" s="684">
        <v>0</v>
      </c>
      <c r="D76" s="555">
        <v>0</v>
      </c>
      <c r="E76" s="556">
        <v>0</v>
      </c>
      <c r="F76" s="684">
        <v>0</v>
      </c>
      <c r="G76" s="555">
        <v>0</v>
      </c>
      <c r="H76" s="556">
        <v>0</v>
      </c>
      <c r="I76" s="556">
        <v>0</v>
      </c>
      <c r="J76" s="678">
        <v>0</v>
      </c>
      <c r="K76" s="1040">
        <v>0</v>
      </c>
      <c r="L76" s="555">
        <v>0</v>
      </c>
      <c r="M76" s="405">
        <v>0</v>
      </c>
      <c r="N76" s="1040">
        <v>0</v>
      </c>
      <c r="O76" s="555">
        <v>0</v>
      </c>
      <c r="P76" s="540">
        <v>0</v>
      </c>
    </row>
    <row r="77" spans="1:16" ht="11.15" customHeight="1">
      <c r="A77" s="1540"/>
      <c r="B77" s="355" t="s">
        <v>98</v>
      </c>
      <c r="C77" s="684">
        <v>0</v>
      </c>
      <c r="D77" s="555">
        <v>0</v>
      </c>
      <c r="E77" s="556">
        <v>0</v>
      </c>
      <c r="F77" s="555">
        <v>0</v>
      </c>
      <c r="G77" s="555">
        <v>0</v>
      </c>
      <c r="H77" s="556">
        <v>0</v>
      </c>
      <c r="I77" s="405">
        <v>0</v>
      </c>
      <c r="J77" s="678">
        <v>0</v>
      </c>
      <c r="K77" s="684">
        <v>0</v>
      </c>
      <c r="L77" s="555">
        <v>0</v>
      </c>
      <c r="M77" s="555">
        <v>0</v>
      </c>
      <c r="N77" s="1040">
        <v>0</v>
      </c>
      <c r="O77" s="555">
        <v>0</v>
      </c>
      <c r="P77" s="688">
        <v>0</v>
      </c>
    </row>
    <row r="78" spans="1:16" ht="11.15" customHeight="1">
      <c r="A78" s="1540"/>
      <c r="B78" s="355" t="s">
        <v>99</v>
      </c>
      <c r="C78" s="684">
        <v>3</v>
      </c>
      <c r="D78" s="555">
        <v>3</v>
      </c>
      <c r="E78" s="556">
        <v>0</v>
      </c>
      <c r="F78" s="555">
        <v>0</v>
      </c>
      <c r="G78" s="555">
        <v>0</v>
      </c>
      <c r="H78" s="556">
        <v>0</v>
      </c>
      <c r="I78" s="556">
        <v>0</v>
      </c>
      <c r="J78" s="678">
        <v>0</v>
      </c>
      <c r="K78" s="684">
        <v>0</v>
      </c>
      <c r="L78" s="555">
        <v>0</v>
      </c>
      <c r="M78" s="555">
        <v>0</v>
      </c>
      <c r="N78" s="1040">
        <v>0</v>
      </c>
      <c r="O78" s="555">
        <v>0</v>
      </c>
      <c r="P78" s="688">
        <v>0</v>
      </c>
    </row>
    <row r="79" spans="1:16" ht="11.15" customHeight="1">
      <c r="A79" s="1540"/>
      <c r="B79" s="355" t="s">
        <v>100</v>
      </c>
      <c r="C79" s="684">
        <v>0</v>
      </c>
      <c r="D79" s="555">
        <v>0</v>
      </c>
      <c r="E79" s="556">
        <v>0</v>
      </c>
      <c r="F79" s="555">
        <v>0</v>
      </c>
      <c r="G79" s="555">
        <v>0</v>
      </c>
      <c r="H79" s="556">
        <v>0</v>
      </c>
      <c r="I79" s="405">
        <v>0</v>
      </c>
      <c r="J79" s="678">
        <v>0</v>
      </c>
      <c r="K79" s="684">
        <v>0</v>
      </c>
      <c r="L79" s="555">
        <v>0</v>
      </c>
      <c r="M79" s="555">
        <v>0</v>
      </c>
      <c r="N79" s="1040">
        <v>0</v>
      </c>
      <c r="O79" s="555">
        <v>0</v>
      </c>
      <c r="P79" s="688">
        <v>0</v>
      </c>
    </row>
    <row r="80" spans="1:16" s="538" customFormat="1" ht="11.15" customHeight="1">
      <c r="A80" s="1561"/>
      <c r="B80" s="963" t="s">
        <v>101</v>
      </c>
      <c r="C80" s="1272">
        <v>9</v>
      </c>
      <c r="D80" s="1043">
        <v>3</v>
      </c>
      <c r="E80" s="1044">
        <v>6</v>
      </c>
      <c r="F80" s="1043">
        <v>3</v>
      </c>
      <c r="G80" s="1043">
        <v>6</v>
      </c>
      <c r="H80" s="1044">
        <v>0</v>
      </c>
      <c r="I80" s="1086">
        <v>6</v>
      </c>
      <c r="J80" s="1042">
        <v>0</v>
      </c>
      <c r="K80" s="1272">
        <v>3</v>
      </c>
      <c r="L80" s="1043">
        <v>3</v>
      </c>
      <c r="M80" s="1043">
        <v>0</v>
      </c>
      <c r="N80" s="1345">
        <v>3</v>
      </c>
      <c r="O80" s="1043">
        <v>3</v>
      </c>
      <c r="P80" s="1045">
        <v>0</v>
      </c>
    </row>
    <row r="81" spans="1:16" ht="5.15" customHeight="1">
      <c r="A81" s="354"/>
      <c r="B81" s="107"/>
      <c r="C81" s="1041"/>
      <c r="D81" s="680"/>
      <c r="E81" s="681"/>
      <c r="F81" s="686"/>
      <c r="G81" s="680"/>
      <c r="H81" s="681"/>
      <c r="I81" s="681"/>
      <c r="J81" s="687"/>
      <c r="K81" s="1041"/>
      <c r="L81" s="680"/>
      <c r="M81" s="680"/>
      <c r="N81" s="1102"/>
      <c r="O81" s="585"/>
      <c r="P81" s="682"/>
    </row>
    <row r="82" spans="1:16" s="11" customFormat="1" ht="11.15" customHeight="1">
      <c r="A82" s="1540" t="s">
        <v>172</v>
      </c>
      <c r="B82" s="359" t="s">
        <v>301</v>
      </c>
      <c r="C82" s="568">
        <f t="shared" ref="C82:P82" si="7">SUM(C84:C88)</f>
        <v>12</v>
      </c>
      <c r="D82" s="570">
        <f t="shared" si="7"/>
        <v>6</v>
      </c>
      <c r="E82" s="559">
        <f t="shared" si="7"/>
        <v>6</v>
      </c>
      <c r="F82" s="568">
        <f t="shared" si="7"/>
        <v>0</v>
      </c>
      <c r="G82" s="570">
        <f t="shared" si="7"/>
        <v>6</v>
      </c>
      <c r="H82" s="559">
        <f t="shared" si="7"/>
        <v>6</v>
      </c>
      <c r="I82" s="679">
        <f t="shared" si="7"/>
        <v>6</v>
      </c>
      <c r="J82" s="679">
        <f t="shared" si="7"/>
        <v>0</v>
      </c>
      <c r="K82" s="568">
        <f t="shared" si="7"/>
        <v>9</v>
      </c>
      <c r="L82" s="570">
        <f t="shared" si="7"/>
        <v>6</v>
      </c>
      <c r="M82" s="559">
        <f t="shared" si="7"/>
        <v>3</v>
      </c>
      <c r="N82" s="568">
        <f t="shared" si="7"/>
        <v>3</v>
      </c>
      <c r="O82" s="570">
        <f t="shared" si="7"/>
        <v>3</v>
      </c>
      <c r="P82" s="569">
        <f t="shared" si="7"/>
        <v>0</v>
      </c>
    </row>
    <row r="83" spans="1:16" ht="5.15" customHeight="1">
      <c r="A83" s="1540"/>
      <c r="B83" s="107"/>
      <c r="C83" s="1041"/>
      <c r="D83" s="680"/>
      <c r="E83" s="681"/>
      <c r="F83" s="680"/>
      <c r="G83" s="680"/>
      <c r="H83" s="681"/>
      <c r="I83" s="681"/>
      <c r="J83" s="687"/>
      <c r="K83" s="1041"/>
      <c r="L83" s="680"/>
      <c r="M83" s="680"/>
      <c r="N83" s="1102"/>
      <c r="O83" s="71"/>
      <c r="P83" s="682"/>
    </row>
    <row r="84" spans="1:16" ht="11.15" customHeight="1">
      <c r="A84" s="1540"/>
      <c r="B84" s="355" t="s">
        <v>97</v>
      </c>
      <c r="C84" s="684">
        <v>0</v>
      </c>
      <c r="D84" s="555">
        <v>0</v>
      </c>
      <c r="E84" s="556">
        <v>0</v>
      </c>
      <c r="F84" s="684">
        <v>0</v>
      </c>
      <c r="G84" s="555">
        <v>0</v>
      </c>
      <c r="H84" s="556">
        <v>0</v>
      </c>
      <c r="I84" s="556">
        <v>0</v>
      </c>
      <c r="J84" s="678">
        <v>0</v>
      </c>
      <c r="K84" s="1040">
        <v>0</v>
      </c>
      <c r="L84" s="555">
        <v>0</v>
      </c>
      <c r="M84" s="405">
        <v>0</v>
      </c>
      <c r="N84" s="1040">
        <v>0</v>
      </c>
      <c r="O84" s="555">
        <v>0</v>
      </c>
      <c r="P84" s="540">
        <v>0</v>
      </c>
    </row>
    <row r="85" spans="1:16" ht="11.15" customHeight="1">
      <c r="A85" s="1540"/>
      <c r="B85" s="355" t="s">
        <v>98</v>
      </c>
      <c r="C85" s="684">
        <v>0</v>
      </c>
      <c r="D85" s="555">
        <v>0</v>
      </c>
      <c r="E85" s="556">
        <v>0</v>
      </c>
      <c r="F85" s="555">
        <v>0</v>
      </c>
      <c r="G85" s="555">
        <v>0</v>
      </c>
      <c r="H85" s="556">
        <v>0</v>
      </c>
      <c r="I85" s="405">
        <v>0</v>
      </c>
      <c r="J85" s="678">
        <v>0</v>
      </c>
      <c r="K85" s="684">
        <v>0</v>
      </c>
      <c r="L85" s="555">
        <v>0</v>
      </c>
      <c r="M85" s="555">
        <v>0</v>
      </c>
      <c r="N85" s="1040">
        <v>0</v>
      </c>
      <c r="O85" s="555">
        <v>0</v>
      </c>
      <c r="P85" s="688">
        <v>0</v>
      </c>
    </row>
    <row r="86" spans="1:16" ht="11.15" customHeight="1">
      <c r="A86" s="1540"/>
      <c r="B86" s="355" t="s">
        <v>99</v>
      </c>
      <c r="C86" s="684">
        <v>9</v>
      </c>
      <c r="D86" s="555">
        <v>3</v>
      </c>
      <c r="E86" s="556">
        <v>6</v>
      </c>
      <c r="F86" s="555">
        <v>0</v>
      </c>
      <c r="G86" s="555">
        <v>3</v>
      </c>
      <c r="H86" s="556">
        <v>6</v>
      </c>
      <c r="I86" s="556">
        <v>3</v>
      </c>
      <c r="J86" s="678">
        <v>0</v>
      </c>
      <c r="K86" s="684">
        <v>6</v>
      </c>
      <c r="L86" s="555">
        <v>3</v>
      </c>
      <c r="M86" s="555">
        <v>3</v>
      </c>
      <c r="N86" s="1040">
        <v>0</v>
      </c>
      <c r="O86" s="555">
        <v>0</v>
      </c>
      <c r="P86" s="688">
        <v>0</v>
      </c>
    </row>
    <row r="87" spans="1:16" ht="11.15" customHeight="1">
      <c r="A87" s="1540"/>
      <c r="B87" s="355" t="s">
        <v>100</v>
      </c>
      <c r="C87" s="684">
        <v>0</v>
      </c>
      <c r="D87" s="555">
        <v>0</v>
      </c>
      <c r="E87" s="556">
        <v>0</v>
      </c>
      <c r="F87" s="555">
        <v>0</v>
      </c>
      <c r="G87" s="555">
        <v>0</v>
      </c>
      <c r="H87" s="556">
        <v>0</v>
      </c>
      <c r="I87" s="405">
        <v>0</v>
      </c>
      <c r="J87" s="678">
        <v>0</v>
      </c>
      <c r="K87" s="684">
        <v>0</v>
      </c>
      <c r="L87" s="555">
        <v>0</v>
      </c>
      <c r="M87" s="555">
        <v>0</v>
      </c>
      <c r="N87" s="1040">
        <v>0</v>
      </c>
      <c r="O87" s="555">
        <v>0</v>
      </c>
      <c r="P87" s="688">
        <v>0</v>
      </c>
    </row>
    <row r="88" spans="1:16" s="538" customFormat="1" ht="11.15" customHeight="1">
      <c r="A88" s="1561"/>
      <c r="B88" s="963" t="s">
        <v>101</v>
      </c>
      <c r="C88" s="1272">
        <v>3</v>
      </c>
      <c r="D88" s="1043">
        <v>3</v>
      </c>
      <c r="E88" s="1044">
        <v>0</v>
      </c>
      <c r="F88" s="1043">
        <v>0</v>
      </c>
      <c r="G88" s="1043">
        <v>3</v>
      </c>
      <c r="H88" s="1044">
        <v>0</v>
      </c>
      <c r="I88" s="1086">
        <v>3</v>
      </c>
      <c r="J88" s="1042">
        <v>0</v>
      </c>
      <c r="K88" s="1272">
        <v>3</v>
      </c>
      <c r="L88" s="1043">
        <v>3</v>
      </c>
      <c r="M88" s="1043">
        <v>0</v>
      </c>
      <c r="N88" s="1345">
        <v>3</v>
      </c>
      <c r="O88" s="1043">
        <v>3</v>
      </c>
      <c r="P88" s="1045">
        <v>0</v>
      </c>
    </row>
    <row r="89" spans="1:16" ht="5.15" customHeight="1">
      <c r="A89" s="354"/>
      <c r="B89" s="107"/>
      <c r="C89" s="1041"/>
      <c r="D89" s="680"/>
      <c r="E89" s="681"/>
      <c r="F89" s="680"/>
      <c r="G89" s="680"/>
      <c r="H89" s="681"/>
      <c r="I89" s="681"/>
      <c r="J89" s="678"/>
      <c r="K89" s="1041"/>
      <c r="L89" s="680"/>
      <c r="M89" s="680"/>
      <c r="N89" s="1102"/>
      <c r="O89" s="585"/>
      <c r="P89" s="682"/>
    </row>
    <row r="90" spans="1:16" s="11" customFormat="1" ht="11.15" customHeight="1">
      <c r="A90" s="1540" t="s">
        <v>173</v>
      </c>
      <c r="B90" s="359" t="s">
        <v>301</v>
      </c>
      <c r="C90" s="568">
        <f t="shared" ref="C90:P90" si="8">SUM(C92:C96)</f>
        <v>27</v>
      </c>
      <c r="D90" s="570">
        <f t="shared" si="8"/>
        <v>18</v>
      </c>
      <c r="E90" s="559">
        <f t="shared" si="8"/>
        <v>6</v>
      </c>
      <c r="F90" s="568">
        <f t="shared" si="8"/>
        <v>0</v>
      </c>
      <c r="G90" s="570">
        <f t="shared" si="8"/>
        <v>15</v>
      </c>
      <c r="H90" s="559">
        <f t="shared" si="8"/>
        <v>12</v>
      </c>
      <c r="I90" s="679">
        <f t="shared" si="8"/>
        <v>15</v>
      </c>
      <c r="J90" s="679">
        <f t="shared" si="8"/>
        <v>0</v>
      </c>
      <c r="K90" s="568">
        <f t="shared" si="8"/>
        <v>12</v>
      </c>
      <c r="L90" s="570">
        <f t="shared" si="8"/>
        <v>9</v>
      </c>
      <c r="M90" s="559">
        <f t="shared" si="8"/>
        <v>3</v>
      </c>
      <c r="N90" s="568">
        <f t="shared" si="8"/>
        <v>9</v>
      </c>
      <c r="O90" s="570">
        <f t="shared" si="8"/>
        <v>9</v>
      </c>
      <c r="P90" s="569">
        <f t="shared" si="8"/>
        <v>0</v>
      </c>
    </row>
    <row r="91" spans="1:16" ht="5.15" customHeight="1">
      <c r="A91" s="1540"/>
      <c r="B91" s="107"/>
      <c r="C91" s="1041"/>
      <c r="D91" s="680"/>
      <c r="E91" s="681"/>
      <c r="F91" s="680"/>
      <c r="G91" s="680"/>
      <c r="H91" s="681"/>
      <c r="I91" s="681"/>
      <c r="J91" s="687"/>
      <c r="K91" s="1041"/>
      <c r="L91" s="680"/>
      <c r="M91" s="680"/>
      <c r="N91" s="1102"/>
      <c r="O91" s="71"/>
      <c r="P91" s="682"/>
    </row>
    <row r="92" spans="1:16" ht="11.15" customHeight="1">
      <c r="A92" s="1540"/>
      <c r="B92" s="355" t="s">
        <v>97</v>
      </c>
      <c r="C92" s="684">
        <v>0</v>
      </c>
      <c r="D92" s="555">
        <v>0</v>
      </c>
      <c r="E92" s="556">
        <v>0</v>
      </c>
      <c r="F92" s="684">
        <v>0</v>
      </c>
      <c r="G92" s="555">
        <v>0</v>
      </c>
      <c r="H92" s="556">
        <v>0</v>
      </c>
      <c r="I92" s="556">
        <v>0</v>
      </c>
      <c r="J92" s="678">
        <v>0</v>
      </c>
      <c r="K92" s="1040">
        <v>0</v>
      </c>
      <c r="L92" s="555">
        <v>0</v>
      </c>
      <c r="M92" s="405">
        <v>0</v>
      </c>
      <c r="N92" s="1040">
        <v>0</v>
      </c>
      <c r="O92" s="555">
        <v>0</v>
      </c>
      <c r="P92" s="540">
        <v>0</v>
      </c>
    </row>
    <row r="93" spans="1:16" ht="11.15" customHeight="1">
      <c r="A93" s="1540"/>
      <c r="B93" s="355" t="s">
        <v>98</v>
      </c>
      <c r="C93" s="684">
        <v>0</v>
      </c>
      <c r="D93" s="555">
        <v>0</v>
      </c>
      <c r="E93" s="556">
        <v>0</v>
      </c>
      <c r="F93" s="555">
        <v>0</v>
      </c>
      <c r="G93" s="555">
        <v>0</v>
      </c>
      <c r="H93" s="556">
        <v>0</v>
      </c>
      <c r="I93" s="405">
        <v>0</v>
      </c>
      <c r="J93" s="678">
        <v>0</v>
      </c>
      <c r="K93" s="684">
        <v>0</v>
      </c>
      <c r="L93" s="555">
        <v>0</v>
      </c>
      <c r="M93" s="555">
        <v>0</v>
      </c>
      <c r="N93" s="1040">
        <v>0</v>
      </c>
      <c r="O93" s="555">
        <v>0</v>
      </c>
      <c r="P93" s="688">
        <v>0</v>
      </c>
    </row>
    <row r="94" spans="1:16" ht="11.15" customHeight="1">
      <c r="A94" s="1540"/>
      <c r="B94" s="355" t="s">
        <v>99</v>
      </c>
      <c r="C94" s="684">
        <v>15</v>
      </c>
      <c r="D94" s="555">
        <v>9</v>
      </c>
      <c r="E94" s="556">
        <v>6</v>
      </c>
      <c r="F94" s="555">
        <v>0</v>
      </c>
      <c r="G94" s="555">
        <v>9</v>
      </c>
      <c r="H94" s="556">
        <v>6</v>
      </c>
      <c r="I94" s="556">
        <v>9</v>
      </c>
      <c r="J94" s="678">
        <v>0</v>
      </c>
      <c r="K94" s="684">
        <v>6</v>
      </c>
      <c r="L94" s="555">
        <v>3</v>
      </c>
      <c r="M94" s="555">
        <v>3</v>
      </c>
      <c r="N94" s="1040">
        <v>3</v>
      </c>
      <c r="O94" s="555">
        <v>3</v>
      </c>
      <c r="P94" s="688">
        <v>0</v>
      </c>
    </row>
    <row r="95" spans="1:16" ht="11.15" customHeight="1">
      <c r="A95" s="1540"/>
      <c r="B95" s="355" t="s">
        <v>100</v>
      </c>
      <c r="C95" s="684">
        <v>6</v>
      </c>
      <c r="D95" s="555">
        <v>6</v>
      </c>
      <c r="E95" s="556">
        <v>0</v>
      </c>
      <c r="F95" s="555">
        <v>0</v>
      </c>
      <c r="G95" s="555">
        <v>3</v>
      </c>
      <c r="H95" s="556">
        <v>3</v>
      </c>
      <c r="I95" s="405">
        <v>3</v>
      </c>
      <c r="J95" s="678">
        <v>0</v>
      </c>
      <c r="K95" s="684">
        <v>6</v>
      </c>
      <c r="L95" s="555">
        <v>6</v>
      </c>
      <c r="M95" s="555">
        <v>0</v>
      </c>
      <c r="N95" s="1040">
        <v>6</v>
      </c>
      <c r="O95" s="555">
        <v>6</v>
      </c>
      <c r="P95" s="688">
        <v>0</v>
      </c>
    </row>
    <row r="96" spans="1:16" s="538" customFormat="1" ht="11.15" customHeight="1">
      <c r="A96" s="1561"/>
      <c r="B96" s="963" t="s">
        <v>101</v>
      </c>
      <c r="C96" s="1272">
        <v>6</v>
      </c>
      <c r="D96" s="1043">
        <v>3</v>
      </c>
      <c r="E96" s="1044">
        <v>0</v>
      </c>
      <c r="F96" s="1043">
        <v>0</v>
      </c>
      <c r="G96" s="1043">
        <v>3</v>
      </c>
      <c r="H96" s="1044">
        <v>3</v>
      </c>
      <c r="I96" s="1086">
        <v>3</v>
      </c>
      <c r="J96" s="1042">
        <v>0</v>
      </c>
      <c r="K96" s="1272">
        <v>0</v>
      </c>
      <c r="L96" s="1043">
        <v>0</v>
      </c>
      <c r="M96" s="1043">
        <v>0</v>
      </c>
      <c r="N96" s="1345">
        <v>0</v>
      </c>
      <c r="O96" s="1043">
        <v>0</v>
      </c>
      <c r="P96" s="1045">
        <v>0</v>
      </c>
    </row>
    <row r="97" spans="1:18" ht="5.15" customHeight="1">
      <c r="A97" s="1560" t="s">
        <v>174</v>
      </c>
      <c r="B97" s="107"/>
      <c r="C97" s="1041"/>
      <c r="D97" s="680"/>
      <c r="E97" s="681"/>
      <c r="F97" s="680"/>
      <c r="G97" s="680"/>
      <c r="H97" s="681"/>
      <c r="I97" s="681"/>
      <c r="J97" s="687"/>
      <c r="K97" s="1041"/>
      <c r="L97" s="680"/>
      <c r="M97" s="680"/>
      <c r="N97" s="1102"/>
      <c r="O97" s="585"/>
      <c r="P97" s="682"/>
    </row>
    <row r="98" spans="1:18" s="11" customFormat="1" ht="11.15" customHeight="1">
      <c r="A98" s="1540"/>
      <c r="B98" s="359" t="s">
        <v>301</v>
      </c>
      <c r="C98" s="568">
        <f t="shared" ref="C98:P98" si="9">SUM(C100:C104)</f>
        <v>0</v>
      </c>
      <c r="D98" s="570">
        <f t="shared" si="9"/>
        <v>0</v>
      </c>
      <c r="E98" s="559">
        <f t="shared" si="9"/>
        <v>0</v>
      </c>
      <c r="F98" s="568">
        <f t="shared" si="9"/>
        <v>0</v>
      </c>
      <c r="G98" s="570">
        <f t="shared" si="9"/>
        <v>0</v>
      </c>
      <c r="H98" s="559">
        <f t="shared" si="9"/>
        <v>0</v>
      </c>
      <c r="I98" s="679">
        <f t="shared" si="9"/>
        <v>0</v>
      </c>
      <c r="J98" s="679">
        <f t="shared" si="9"/>
        <v>0</v>
      </c>
      <c r="K98" s="568">
        <f t="shared" si="9"/>
        <v>0</v>
      </c>
      <c r="L98" s="570">
        <f t="shared" si="9"/>
        <v>0</v>
      </c>
      <c r="M98" s="559">
        <f t="shared" si="9"/>
        <v>0</v>
      </c>
      <c r="N98" s="568">
        <f t="shared" si="9"/>
        <v>0</v>
      </c>
      <c r="O98" s="570">
        <f t="shared" si="9"/>
        <v>0</v>
      </c>
      <c r="P98" s="569">
        <f t="shared" si="9"/>
        <v>0</v>
      </c>
    </row>
    <row r="99" spans="1:18" ht="5.15" customHeight="1">
      <c r="A99" s="1540"/>
      <c r="B99" s="107"/>
      <c r="C99" s="1041"/>
      <c r="D99" s="680"/>
      <c r="E99" s="681"/>
      <c r="F99" s="680"/>
      <c r="G99" s="680"/>
      <c r="H99" s="681"/>
      <c r="I99" s="681"/>
      <c r="J99" s="687"/>
      <c r="K99" s="1041"/>
      <c r="L99" s="680"/>
      <c r="M99" s="680"/>
      <c r="N99" s="1102"/>
      <c r="O99" s="71"/>
      <c r="P99" s="682"/>
    </row>
    <row r="100" spans="1:18" ht="11.15" customHeight="1">
      <c r="A100" s="1540"/>
      <c r="B100" s="355" t="s">
        <v>97</v>
      </c>
      <c r="C100" s="684">
        <v>0</v>
      </c>
      <c r="D100" s="555">
        <v>0</v>
      </c>
      <c r="E100" s="556">
        <v>0</v>
      </c>
      <c r="F100" s="684">
        <v>0</v>
      </c>
      <c r="G100" s="555">
        <v>0</v>
      </c>
      <c r="H100" s="556">
        <v>0</v>
      </c>
      <c r="I100" s="556">
        <v>0</v>
      </c>
      <c r="J100" s="678">
        <v>0</v>
      </c>
      <c r="K100" s="1040">
        <v>0</v>
      </c>
      <c r="L100" s="555">
        <v>0</v>
      </c>
      <c r="M100" s="405">
        <v>0</v>
      </c>
      <c r="N100" s="568">
        <v>0</v>
      </c>
      <c r="O100" s="555">
        <v>0</v>
      </c>
      <c r="P100" s="540">
        <v>0</v>
      </c>
    </row>
    <row r="101" spans="1:18" ht="11.15" customHeight="1">
      <c r="A101" s="1540"/>
      <c r="B101" s="355" t="s">
        <v>98</v>
      </c>
      <c r="C101" s="684">
        <v>0</v>
      </c>
      <c r="D101" s="555">
        <v>0</v>
      </c>
      <c r="E101" s="556">
        <v>0</v>
      </c>
      <c r="F101" s="555">
        <v>0</v>
      </c>
      <c r="G101" s="555">
        <v>0</v>
      </c>
      <c r="H101" s="556">
        <v>0</v>
      </c>
      <c r="I101" s="405">
        <v>0</v>
      </c>
      <c r="J101" s="678">
        <v>0</v>
      </c>
      <c r="K101" s="684">
        <v>0</v>
      </c>
      <c r="L101" s="555">
        <v>0</v>
      </c>
      <c r="M101" s="555">
        <v>0</v>
      </c>
      <c r="N101" s="568">
        <v>0</v>
      </c>
      <c r="O101" s="555">
        <v>0</v>
      </c>
      <c r="P101" s="688">
        <v>0</v>
      </c>
    </row>
    <row r="102" spans="1:18" ht="11.15" customHeight="1">
      <c r="A102" s="1540"/>
      <c r="B102" s="355" t="s">
        <v>99</v>
      </c>
      <c r="C102" s="684">
        <v>0</v>
      </c>
      <c r="D102" s="555">
        <v>0</v>
      </c>
      <c r="E102" s="556">
        <v>0</v>
      </c>
      <c r="F102" s="555">
        <v>0</v>
      </c>
      <c r="G102" s="555">
        <v>0</v>
      </c>
      <c r="H102" s="556">
        <v>0</v>
      </c>
      <c r="I102" s="556">
        <v>0</v>
      </c>
      <c r="J102" s="678">
        <v>0</v>
      </c>
      <c r="K102" s="684">
        <v>0</v>
      </c>
      <c r="L102" s="555">
        <v>0</v>
      </c>
      <c r="M102" s="555">
        <v>0</v>
      </c>
      <c r="N102" s="568">
        <v>0</v>
      </c>
      <c r="O102" s="555">
        <v>0</v>
      </c>
      <c r="P102" s="688">
        <v>0</v>
      </c>
    </row>
    <row r="103" spans="1:18" ht="11.15" customHeight="1">
      <c r="A103" s="1540"/>
      <c r="B103" s="355" t="s">
        <v>100</v>
      </c>
      <c r="C103" s="684">
        <v>0</v>
      </c>
      <c r="D103" s="555">
        <v>0</v>
      </c>
      <c r="E103" s="556">
        <v>0</v>
      </c>
      <c r="F103" s="555">
        <v>0</v>
      </c>
      <c r="G103" s="555">
        <v>0</v>
      </c>
      <c r="H103" s="556">
        <v>0</v>
      </c>
      <c r="I103" s="405">
        <v>0</v>
      </c>
      <c r="J103" s="678">
        <v>0</v>
      </c>
      <c r="K103" s="684">
        <v>0</v>
      </c>
      <c r="L103" s="555">
        <v>0</v>
      </c>
      <c r="M103" s="555">
        <v>0</v>
      </c>
      <c r="N103" s="568">
        <v>0</v>
      </c>
      <c r="O103" s="555">
        <v>0</v>
      </c>
      <c r="P103" s="688">
        <v>0</v>
      </c>
    </row>
    <row r="104" spans="1:18" ht="11.15" customHeight="1">
      <c r="A104" s="1540"/>
      <c r="B104" s="355" t="s">
        <v>101</v>
      </c>
      <c r="C104" s="684">
        <v>0</v>
      </c>
      <c r="D104" s="555">
        <v>0</v>
      </c>
      <c r="E104" s="556">
        <v>0</v>
      </c>
      <c r="F104" s="555">
        <v>0</v>
      </c>
      <c r="G104" s="555">
        <v>0</v>
      </c>
      <c r="H104" s="556">
        <v>0</v>
      </c>
      <c r="I104" s="405">
        <v>0</v>
      </c>
      <c r="J104" s="678">
        <v>0</v>
      </c>
      <c r="K104" s="684">
        <v>0</v>
      </c>
      <c r="L104" s="555">
        <v>0</v>
      </c>
      <c r="M104" s="555">
        <v>0</v>
      </c>
      <c r="N104" s="568">
        <v>0</v>
      </c>
      <c r="O104" s="555">
        <v>0</v>
      </c>
      <c r="P104" s="688">
        <v>0</v>
      </c>
      <c r="Q104" s="82"/>
      <c r="R104" s="82"/>
    </row>
    <row r="105" spans="1:18" ht="5.15" customHeight="1" thickBot="1">
      <c r="A105" s="360"/>
      <c r="B105" s="361"/>
      <c r="C105" s="1097"/>
      <c r="D105" s="200"/>
      <c r="E105" s="371"/>
      <c r="F105" s="372"/>
      <c r="G105" s="372"/>
      <c r="H105" s="373"/>
      <c r="I105" s="201"/>
      <c r="J105" s="201"/>
      <c r="K105" s="1097"/>
      <c r="L105" s="200"/>
      <c r="M105" s="200"/>
      <c r="N105" s="1097"/>
      <c r="O105" s="305"/>
      <c r="P105" s="306"/>
    </row>
    <row r="106" spans="1:18" ht="11.15" customHeight="1">
      <c r="A106" s="109"/>
      <c r="B106" s="34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</row>
    <row r="107" spans="1:18" s="90" customFormat="1" ht="11.15" customHeight="1">
      <c r="A107" s="365"/>
      <c r="B107" s="364" t="s">
        <v>154</v>
      </c>
      <c r="C107" s="87"/>
      <c r="D107" s="87"/>
      <c r="E107" s="88"/>
      <c r="F107" s="87"/>
      <c r="G107" s="87"/>
      <c r="H107" s="87"/>
      <c r="I107" s="127" t="s">
        <v>117</v>
      </c>
      <c r="J107" s="126"/>
      <c r="K107" s="127"/>
      <c r="L107" s="126"/>
      <c r="M107" s="128"/>
      <c r="N107" s="126"/>
    </row>
    <row r="108" spans="1:18" ht="11.15" customHeight="1">
      <c r="A108" s="80"/>
      <c r="B108" s="357"/>
      <c r="C108" s="91"/>
      <c r="D108" s="91"/>
      <c r="E108" s="92"/>
      <c r="F108" s="91"/>
      <c r="G108" s="91"/>
      <c r="H108" s="91"/>
      <c r="I108" s="91"/>
      <c r="J108" s="129"/>
      <c r="K108" s="127"/>
      <c r="L108" s="129"/>
      <c r="M108" s="79"/>
      <c r="N108" s="129"/>
    </row>
    <row r="109" spans="1:18" ht="11.15" customHeight="1" thickBot="1">
      <c r="A109" s="367"/>
      <c r="B109" s="92"/>
      <c r="C109" s="110"/>
      <c r="D109" s="110"/>
      <c r="E109" s="77"/>
      <c r="F109" s="110"/>
      <c r="G109" s="110"/>
      <c r="H109" s="110"/>
      <c r="I109" s="110"/>
      <c r="J109" s="110"/>
      <c r="K109" s="110"/>
      <c r="L109" s="110"/>
      <c r="M109" s="77"/>
      <c r="N109" s="110"/>
    </row>
    <row r="110" spans="1:18" s="125" customFormat="1" ht="15" customHeight="1">
      <c r="A110" s="1567" t="s">
        <v>43</v>
      </c>
      <c r="B110" s="368"/>
      <c r="C110" s="1541" t="str">
        <f>C7</f>
        <v>Auszubildende am 31.12.2015</v>
      </c>
      <c r="D110" s="1542"/>
      <c r="E110" s="1542"/>
      <c r="F110" s="1542"/>
      <c r="G110" s="1542"/>
      <c r="H110" s="1543"/>
      <c r="I110" s="1553" t="s">
        <v>0</v>
      </c>
      <c r="J110" s="1553" t="s">
        <v>1</v>
      </c>
      <c r="K110" s="1547" t="s">
        <v>216</v>
      </c>
      <c r="L110" s="1548"/>
      <c r="M110" s="1548"/>
      <c r="N110" s="1548"/>
      <c r="O110" s="1548"/>
      <c r="P110" s="1549"/>
    </row>
    <row r="111" spans="1:18" s="125" customFormat="1" ht="15" customHeight="1">
      <c r="A111" s="1570"/>
      <c r="B111" s="107"/>
      <c r="C111" s="1557"/>
      <c r="D111" s="1558"/>
      <c r="E111" s="1558"/>
      <c r="F111" s="1558"/>
      <c r="G111" s="1558"/>
      <c r="H111" s="1559"/>
      <c r="I111" s="1554"/>
      <c r="J111" s="1554"/>
      <c r="K111" s="1550"/>
      <c r="L111" s="1551"/>
      <c r="M111" s="1551"/>
      <c r="N111" s="1551"/>
      <c r="O111" s="1551"/>
      <c r="P111" s="1552"/>
    </row>
    <row r="112" spans="1:18" s="125" customFormat="1" ht="12" customHeight="1">
      <c r="A112" s="1568"/>
      <c r="B112" s="107"/>
      <c r="C112" s="96"/>
      <c r="D112" s="97"/>
      <c r="E112" s="98"/>
      <c r="F112" s="21" t="s">
        <v>165</v>
      </c>
      <c r="G112" s="345"/>
      <c r="H112" s="346"/>
      <c r="I112" s="103" t="s">
        <v>3</v>
      </c>
      <c r="J112" s="103" t="s">
        <v>4</v>
      </c>
      <c r="K112" s="209"/>
      <c r="L112" s="211"/>
      <c r="M112" s="209"/>
      <c r="N112" s="100"/>
      <c r="O112" s="549" t="s">
        <v>2</v>
      </c>
      <c r="P112" s="544"/>
    </row>
    <row r="113" spans="1:68" s="125" customFormat="1" ht="12" customHeight="1">
      <c r="A113" s="1568"/>
      <c r="B113" s="103" t="s">
        <v>8</v>
      </c>
      <c r="C113" s="104"/>
      <c r="D113" s="348"/>
      <c r="E113" s="105"/>
      <c r="F113" s="349" t="s">
        <v>300</v>
      </c>
      <c r="G113" s="350"/>
      <c r="H113" s="351"/>
      <c r="I113" s="103" t="s">
        <v>8</v>
      </c>
      <c r="J113" s="103" t="s">
        <v>8</v>
      </c>
      <c r="K113" s="105"/>
      <c r="L113" s="212"/>
      <c r="M113" s="105"/>
      <c r="N113" s="717"/>
      <c r="O113" s="375" t="s">
        <v>194</v>
      </c>
      <c r="P113" s="548"/>
    </row>
    <row r="114" spans="1:68" s="125" customFormat="1" ht="12" customHeight="1">
      <c r="A114" s="1568"/>
      <c r="B114" s="103" t="s">
        <v>61</v>
      </c>
      <c r="C114" s="96" t="s">
        <v>19</v>
      </c>
      <c r="D114" s="97" t="s">
        <v>17</v>
      </c>
      <c r="E114" s="103" t="s">
        <v>18</v>
      </c>
      <c r="F114" s="108"/>
      <c r="G114" s="108"/>
      <c r="H114" s="108"/>
      <c r="I114" s="103" t="s">
        <v>20</v>
      </c>
      <c r="J114" s="103" t="s">
        <v>20</v>
      </c>
      <c r="K114" s="96" t="s">
        <v>19</v>
      </c>
      <c r="L114" s="97" t="s">
        <v>17</v>
      </c>
      <c r="M114" s="103" t="s">
        <v>18</v>
      </c>
      <c r="N114" s="96" t="s">
        <v>19</v>
      </c>
      <c r="O114" s="502" t="s">
        <v>17</v>
      </c>
      <c r="P114" s="210" t="s">
        <v>18</v>
      </c>
    </row>
    <row r="115" spans="1:68" s="125" customFormat="1" ht="12" customHeight="1">
      <c r="A115" s="1568"/>
      <c r="B115" s="103" t="s">
        <v>62</v>
      </c>
      <c r="C115" s="96" t="s">
        <v>29</v>
      </c>
      <c r="D115" s="97" t="s">
        <v>28</v>
      </c>
      <c r="E115" s="103" t="s">
        <v>28</v>
      </c>
      <c r="F115" s="103" t="s">
        <v>30</v>
      </c>
      <c r="G115" s="103" t="s">
        <v>31</v>
      </c>
      <c r="H115" s="108" t="s">
        <v>32</v>
      </c>
      <c r="I115" s="103" t="s">
        <v>33</v>
      </c>
      <c r="J115" s="103" t="s">
        <v>33</v>
      </c>
      <c r="K115" s="96" t="s">
        <v>29</v>
      </c>
      <c r="L115" s="97" t="s">
        <v>28</v>
      </c>
      <c r="M115" s="103" t="s">
        <v>34</v>
      </c>
      <c r="N115" s="96" t="s">
        <v>29</v>
      </c>
      <c r="O115" s="502" t="s">
        <v>28</v>
      </c>
      <c r="P115" s="210" t="s">
        <v>34</v>
      </c>
    </row>
    <row r="116" spans="1:68" s="125" customFormat="1" ht="12" customHeight="1">
      <c r="A116" s="1569"/>
      <c r="B116" s="374"/>
      <c r="C116" s="104"/>
      <c r="D116" s="348"/>
      <c r="E116" s="105"/>
      <c r="F116" s="438"/>
      <c r="G116" s="438"/>
      <c r="I116" s="103" t="s">
        <v>39</v>
      </c>
      <c r="J116" s="103" t="s">
        <v>39</v>
      </c>
      <c r="K116" s="105"/>
      <c r="L116" s="212"/>
      <c r="M116" s="105"/>
      <c r="N116" s="96"/>
      <c r="O116" s="1110"/>
      <c r="P116" s="1111"/>
    </row>
    <row r="117" spans="1:68" s="11" customFormat="1" ht="5.15" customHeight="1">
      <c r="A117" s="354"/>
      <c r="B117" s="376"/>
      <c r="C117" s="1107"/>
      <c r="D117" s="124"/>
      <c r="E117" s="377"/>
      <c r="F117" s="124"/>
      <c r="G117" s="124"/>
      <c r="H117" s="377"/>
      <c r="I117" s="378"/>
      <c r="J117" s="124"/>
      <c r="K117" s="1107"/>
      <c r="L117" s="124"/>
      <c r="M117" s="124"/>
      <c r="N117" s="1108"/>
      <c r="O117" s="54"/>
      <c r="P117" s="545"/>
    </row>
    <row r="118" spans="1:68" ht="11.15" customHeight="1">
      <c r="A118" s="1540" t="s">
        <v>175</v>
      </c>
      <c r="B118" s="359" t="s">
        <v>301</v>
      </c>
      <c r="C118" s="568">
        <f t="shared" ref="C118:P118" si="10">SUM(C120:C124)</f>
        <v>0</v>
      </c>
      <c r="D118" s="570">
        <f t="shared" si="10"/>
        <v>0</v>
      </c>
      <c r="E118" s="559">
        <f t="shared" si="10"/>
        <v>0</v>
      </c>
      <c r="F118" s="568">
        <f t="shared" si="10"/>
        <v>0</v>
      </c>
      <c r="G118" s="570">
        <f t="shared" si="10"/>
        <v>0</v>
      </c>
      <c r="H118" s="559">
        <f t="shared" si="10"/>
        <v>0</v>
      </c>
      <c r="I118" s="679">
        <f t="shared" si="10"/>
        <v>0</v>
      </c>
      <c r="J118" s="679">
        <f t="shared" si="10"/>
        <v>0</v>
      </c>
      <c r="K118" s="568">
        <f t="shared" si="10"/>
        <v>3</v>
      </c>
      <c r="L118" s="570">
        <f t="shared" si="10"/>
        <v>3</v>
      </c>
      <c r="M118" s="559">
        <f t="shared" si="10"/>
        <v>0</v>
      </c>
      <c r="N118" s="568">
        <f t="shared" si="10"/>
        <v>3</v>
      </c>
      <c r="O118" s="570">
        <f t="shared" si="10"/>
        <v>3</v>
      </c>
      <c r="P118" s="569">
        <f t="shared" si="10"/>
        <v>0</v>
      </c>
    </row>
    <row r="119" spans="1:68" ht="5.15" customHeight="1">
      <c r="A119" s="1540"/>
      <c r="B119" s="107"/>
      <c r="C119" s="1041"/>
      <c r="D119" s="680"/>
      <c r="E119" s="681"/>
      <c r="F119" s="680"/>
      <c r="G119" s="680"/>
      <c r="H119" s="681"/>
      <c r="I119" s="681"/>
      <c r="J119" s="687"/>
      <c r="K119" s="1041"/>
      <c r="L119" s="680"/>
      <c r="M119" s="680"/>
      <c r="N119" s="1102"/>
      <c r="O119" s="71"/>
      <c r="P119" s="682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30"/>
      <c r="BC119" s="130"/>
      <c r="BD119" s="130"/>
      <c r="BE119" s="130"/>
      <c r="BF119" s="130"/>
      <c r="BG119" s="130"/>
      <c r="BH119" s="130"/>
      <c r="BI119" s="130"/>
      <c r="BJ119" s="130"/>
      <c r="BK119" s="130"/>
      <c r="BL119" s="130"/>
      <c r="BM119" s="130"/>
      <c r="BN119" s="130"/>
      <c r="BO119" s="130"/>
      <c r="BP119" s="130"/>
    </row>
    <row r="120" spans="1:68" ht="11.15" customHeight="1">
      <c r="A120" s="1540"/>
      <c r="B120" s="355" t="s">
        <v>97</v>
      </c>
      <c r="C120" s="684">
        <v>0</v>
      </c>
      <c r="D120" s="555">
        <v>0</v>
      </c>
      <c r="E120" s="556">
        <v>0</v>
      </c>
      <c r="F120" s="684">
        <v>0</v>
      </c>
      <c r="G120" s="555">
        <v>0</v>
      </c>
      <c r="H120" s="556">
        <v>0</v>
      </c>
      <c r="I120" s="556">
        <v>0</v>
      </c>
      <c r="J120" s="678">
        <v>0</v>
      </c>
      <c r="K120" s="1040">
        <v>0</v>
      </c>
      <c r="L120" s="555">
        <v>0</v>
      </c>
      <c r="M120" s="405">
        <v>0</v>
      </c>
      <c r="N120" s="1040">
        <v>0</v>
      </c>
      <c r="O120" s="555">
        <v>0</v>
      </c>
      <c r="P120" s="540">
        <v>0</v>
      </c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</row>
    <row r="121" spans="1:68" ht="11.15" customHeight="1">
      <c r="A121" s="1540"/>
      <c r="B121" s="355" t="s">
        <v>98</v>
      </c>
      <c r="C121" s="684">
        <v>0</v>
      </c>
      <c r="D121" s="555">
        <v>0</v>
      </c>
      <c r="E121" s="556">
        <v>0</v>
      </c>
      <c r="F121" s="555">
        <v>0</v>
      </c>
      <c r="G121" s="555">
        <v>0</v>
      </c>
      <c r="H121" s="556">
        <v>0</v>
      </c>
      <c r="I121" s="405">
        <v>0</v>
      </c>
      <c r="J121" s="678">
        <v>0</v>
      </c>
      <c r="K121" s="684">
        <v>0</v>
      </c>
      <c r="L121" s="555">
        <v>0</v>
      </c>
      <c r="M121" s="555">
        <v>0</v>
      </c>
      <c r="N121" s="1040">
        <v>0</v>
      </c>
      <c r="O121" s="555">
        <v>0</v>
      </c>
      <c r="P121" s="688">
        <v>0</v>
      </c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</row>
    <row r="122" spans="1:68" ht="11.15" customHeight="1">
      <c r="A122" s="1540"/>
      <c r="B122" s="355" t="s">
        <v>99</v>
      </c>
      <c r="C122" s="684">
        <v>0</v>
      </c>
      <c r="D122" s="555">
        <v>0</v>
      </c>
      <c r="E122" s="556">
        <v>0</v>
      </c>
      <c r="F122" s="555">
        <v>0</v>
      </c>
      <c r="G122" s="555">
        <v>0</v>
      </c>
      <c r="H122" s="556">
        <v>0</v>
      </c>
      <c r="I122" s="556">
        <v>0</v>
      </c>
      <c r="J122" s="678">
        <v>0</v>
      </c>
      <c r="K122" s="684">
        <v>0</v>
      </c>
      <c r="L122" s="555">
        <v>0</v>
      </c>
      <c r="M122" s="555">
        <v>0</v>
      </c>
      <c r="N122" s="1040">
        <v>0</v>
      </c>
      <c r="O122" s="555">
        <v>0</v>
      </c>
      <c r="P122" s="688">
        <v>0</v>
      </c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</row>
    <row r="123" spans="1:68" ht="11.15" customHeight="1">
      <c r="A123" s="1540"/>
      <c r="B123" s="355" t="s">
        <v>100</v>
      </c>
      <c r="C123" s="684">
        <v>0</v>
      </c>
      <c r="D123" s="555">
        <v>0</v>
      </c>
      <c r="E123" s="556">
        <v>0</v>
      </c>
      <c r="F123" s="555">
        <v>0</v>
      </c>
      <c r="G123" s="555">
        <v>0</v>
      </c>
      <c r="H123" s="556">
        <v>0</v>
      </c>
      <c r="I123" s="405">
        <v>0</v>
      </c>
      <c r="J123" s="678">
        <v>0</v>
      </c>
      <c r="K123" s="684">
        <v>0</v>
      </c>
      <c r="L123" s="555">
        <v>0</v>
      </c>
      <c r="M123" s="555">
        <v>0</v>
      </c>
      <c r="N123" s="1040">
        <v>0</v>
      </c>
      <c r="O123" s="555">
        <v>0</v>
      </c>
      <c r="P123" s="688">
        <v>0</v>
      </c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</row>
    <row r="124" spans="1:68" s="538" customFormat="1" ht="11.15" customHeight="1">
      <c r="A124" s="1561"/>
      <c r="B124" s="963" t="s">
        <v>101</v>
      </c>
      <c r="C124" s="1272">
        <v>0</v>
      </c>
      <c r="D124" s="1043">
        <v>0</v>
      </c>
      <c r="E124" s="1044">
        <v>0</v>
      </c>
      <c r="F124" s="1043">
        <v>0</v>
      </c>
      <c r="G124" s="1043">
        <v>0</v>
      </c>
      <c r="H124" s="1044">
        <v>0</v>
      </c>
      <c r="I124" s="1086">
        <v>0</v>
      </c>
      <c r="J124" s="1042">
        <v>0</v>
      </c>
      <c r="K124" s="1272">
        <v>3</v>
      </c>
      <c r="L124" s="1043">
        <v>3</v>
      </c>
      <c r="M124" s="1043">
        <v>0</v>
      </c>
      <c r="N124" s="1345">
        <v>3</v>
      </c>
      <c r="O124" s="1043">
        <v>3</v>
      </c>
      <c r="P124" s="1045">
        <v>0</v>
      </c>
    </row>
    <row r="125" spans="1:68" ht="5.15" customHeight="1">
      <c r="A125" s="354"/>
      <c r="B125" s="131"/>
      <c r="C125" s="1041"/>
      <c r="D125" s="680"/>
      <c r="E125" s="681"/>
      <c r="F125" s="680"/>
      <c r="G125" s="680"/>
      <c r="H125" s="681"/>
      <c r="I125" s="681"/>
      <c r="J125" s="687"/>
      <c r="K125" s="1041"/>
      <c r="L125" s="680"/>
      <c r="M125" s="680"/>
      <c r="N125" s="1102"/>
      <c r="O125" s="680"/>
      <c r="P125" s="1096"/>
    </row>
    <row r="126" spans="1:68" s="11" customFormat="1" ht="11.15" customHeight="1">
      <c r="A126" s="1540" t="s">
        <v>176</v>
      </c>
      <c r="B126" s="359" t="s">
        <v>301</v>
      </c>
      <c r="C126" s="568">
        <f t="shared" ref="C126:P126" si="11">SUM(C128:C132)</f>
        <v>141</v>
      </c>
      <c r="D126" s="570">
        <f t="shared" si="11"/>
        <v>57</v>
      </c>
      <c r="E126" s="559">
        <f t="shared" si="11"/>
        <v>81</v>
      </c>
      <c r="F126" s="568">
        <f t="shared" si="11"/>
        <v>48</v>
      </c>
      <c r="G126" s="570">
        <f t="shared" si="11"/>
        <v>39</v>
      </c>
      <c r="H126" s="559">
        <f t="shared" si="11"/>
        <v>48</v>
      </c>
      <c r="I126" s="679">
        <f t="shared" si="11"/>
        <v>57</v>
      </c>
      <c r="J126" s="679">
        <f t="shared" si="11"/>
        <v>27</v>
      </c>
      <c r="K126" s="568">
        <f t="shared" si="11"/>
        <v>51</v>
      </c>
      <c r="L126" s="570">
        <f t="shared" si="11"/>
        <v>24</v>
      </c>
      <c r="M126" s="559">
        <f t="shared" si="11"/>
        <v>30</v>
      </c>
      <c r="N126" s="568">
        <f t="shared" si="11"/>
        <v>39</v>
      </c>
      <c r="O126" s="570">
        <f t="shared" si="11"/>
        <v>15</v>
      </c>
      <c r="P126" s="569">
        <f t="shared" si="11"/>
        <v>21</v>
      </c>
    </row>
    <row r="127" spans="1:68" ht="5.15" customHeight="1">
      <c r="A127" s="1540"/>
      <c r="B127" s="107"/>
      <c r="C127" s="1041"/>
      <c r="D127" s="680"/>
      <c r="E127" s="681"/>
      <c r="F127" s="680"/>
      <c r="G127" s="680"/>
      <c r="H127" s="681"/>
      <c r="I127" s="681"/>
      <c r="J127" s="687"/>
      <c r="K127" s="1041"/>
      <c r="L127" s="680"/>
      <c r="M127" s="680"/>
      <c r="N127" s="1102"/>
      <c r="O127" s="71"/>
      <c r="P127" s="682"/>
    </row>
    <row r="128" spans="1:68" ht="11.15" customHeight="1">
      <c r="A128" s="1540"/>
      <c r="B128" s="355" t="s">
        <v>97</v>
      </c>
      <c r="C128" s="684">
        <v>114</v>
      </c>
      <c r="D128" s="555">
        <v>42</v>
      </c>
      <c r="E128" s="556">
        <v>72</v>
      </c>
      <c r="F128" s="684">
        <v>45</v>
      </c>
      <c r="G128" s="555">
        <v>33</v>
      </c>
      <c r="H128" s="556">
        <v>39</v>
      </c>
      <c r="I128" s="556">
        <v>51</v>
      </c>
      <c r="J128" s="678">
        <v>24</v>
      </c>
      <c r="K128" s="1040">
        <v>42</v>
      </c>
      <c r="L128" s="555">
        <v>18</v>
      </c>
      <c r="M128" s="405">
        <v>24</v>
      </c>
      <c r="N128" s="1040">
        <v>33</v>
      </c>
      <c r="O128" s="555">
        <v>15</v>
      </c>
      <c r="P128" s="540">
        <v>18</v>
      </c>
    </row>
    <row r="129" spans="1:16" ht="11.15" customHeight="1">
      <c r="A129" s="1540"/>
      <c r="B129" s="355" t="s">
        <v>98</v>
      </c>
      <c r="C129" s="684">
        <v>9</v>
      </c>
      <c r="D129" s="555">
        <v>6</v>
      </c>
      <c r="E129" s="556">
        <v>3</v>
      </c>
      <c r="F129" s="555">
        <v>0</v>
      </c>
      <c r="G129" s="555">
        <v>3</v>
      </c>
      <c r="H129" s="556">
        <v>6</v>
      </c>
      <c r="I129" s="405">
        <v>0</v>
      </c>
      <c r="J129" s="678">
        <v>3</v>
      </c>
      <c r="K129" s="684">
        <v>3</v>
      </c>
      <c r="L129" s="555">
        <v>3</v>
      </c>
      <c r="M129" s="555">
        <v>3</v>
      </c>
      <c r="N129" s="1040">
        <v>3</v>
      </c>
      <c r="O129" s="555">
        <v>0</v>
      </c>
      <c r="P129" s="688">
        <v>0</v>
      </c>
    </row>
    <row r="130" spans="1:16" ht="11.15" customHeight="1">
      <c r="A130" s="1540"/>
      <c r="B130" s="355" t="s">
        <v>99</v>
      </c>
      <c r="C130" s="684">
        <v>6</v>
      </c>
      <c r="D130" s="555">
        <v>3</v>
      </c>
      <c r="E130" s="556">
        <v>3</v>
      </c>
      <c r="F130" s="555">
        <v>0</v>
      </c>
      <c r="G130" s="555">
        <v>3</v>
      </c>
      <c r="H130" s="556">
        <v>0</v>
      </c>
      <c r="I130" s="556">
        <v>3</v>
      </c>
      <c r="J130" s="678">
        <v>0</v>
      </c>
      <c r="K130" s="684">
        <v>3</v>
      </c>
      <c r="L130" s="555">
        <v>3</v>
      </c>
      <c r="M130" s="555">
        <v>0</v>
      </c>
      <c r="N130" s="1040">
        <v>0</v>
      </c>
      <c r="O130" s="555">
        <v>0</v>
      </c>
      <c r="P130" s="688">
        <v>0</v>
      </c>
    </row>
    <row r="131" spans="1:16" ht="11.15" customHeight="1">
      <c r="A131" s="1540"/>
      <c r="B131" s="355" t="s">
        <v>100</v>
      </c>
      <c r="C131" s="684">
        <v>9</v>
      </c>
      <c r="D131" s="555">
        <v>6</v>
      </c>
      <c r="E131" s="556">
        <v>3</v>
      </c>
      <c r="F131" s="555">
        <v>3</v>
      </c>
      <c r="G131" s="555">
        <v>0</v>
      </c>
      <c r="H131" s="556">
        <v>3</v>
      </c>
      <c r="I131" s="405">
        <v>3</v>
      </c>
      <c r="J131" s="678">
        <v>0</v>
      </c>
      <c r="K131" s="684">
        <v>3</v>
      </c>
      <c r="L131" s="555">
        <v>0</v>
      </c>
      <c r="M131" s="555">
        <v>3</v>
      </c>
      <c r="N131" s="1040">
        <v>3</v>
      </c>
      <c r="O131" s="555">
        <v>0</v>
      </c>
      <c r="P131" s="688">
        <v>3</v>
      </c>
    </row>
    <row r="132" spans="1:16" s="538" customFormat="1" ht="11.15" customHeight="1">
      <c r="A132" s="1561"/>
      <c r="B132" s="963" t="s">
        <v>101</v>
      </c>
      <c r="C132" s="1272">
        <v>3</v>
      </c>
      <c r="D132" s="1043">
        <v>0</v>
      </c>
      <c r="E132" s="1044">
        <v>0</v>
      </c>
      <c r="F132" s="1043">
        <v>0</v>
      </c>
      <c r="G132" s="1043">
        <v>0</v>
      </c>
      <c r="H132" s="1044">
        <v>0</v>
      </c>
      <c r="I132" s="1086">
        <v>0</v>
      </c>
      <c r="J132" s="1042">
        <v>0</v>
      </c>
      <c r="K132" s="1272">
        <v>0</v>
      </c>
      <c r="L132" s="1043">
        <v>0</v>
      </c>
      <c r="M132" s="1043">
        <v>0</v>
      </c>
      <c r="N132" s="1345">
        <v>0</v>
      </c>
      <c r="O132" s="1043">
        <v>0</v>
      </c>
      <c r="P132" s="1045">
        <v>0</v>
      </c>
    </row>
    <row r="133" spans="1:16" ht="5.15" customHeight="1">
      <c r="A133" s="354"/>
      <c r="B133" s="107"/>
      <c r="C133" s="1041"/>
      <c r="D133" s="680"/>
      <c r="E133" s="681"/>
      <c r="F133" s="686"/>
      <c r="G133" s="680"/>
      <c r="H133" s="681"/>
      <c r="I133" s="681"/>
      <c r="J133" s="687"/>
      <c r="K133" s="1041"/>
      <c r="L133" s="680"/>
      <c r="M133" s="680"/>
      <c r="N133" s="1102"/>
      <c r="O133" s="585"/>
      <c r="P133" s="682"/>
    </row>
    <row r="134" spans="1:16" s="11" customFormat="1" ht="11.15" customHeight="1">
      <c r="A134" s="1540" t="s">
        <v>177</v>
      </c>
      <c r="B134" s="359" t="s">
        <v>301</v>
      </c>
      <c r="C134" s="568">
        <f t="shared" ref="C134:P134" si="12">SUM(C136:C140)</f>
        <v>96</v>
      </c>
      <c r="D134" s="570">
        <f t="shared" si="12"/>
        <v>51</v>
      </c>
      <c r="E134" s="559">
        <f t="shared" si="12"/>
        <v>36</v>
      </c>
      <c r="F134" s="568">
        <f t="shared" si="12"/>
        <v>36</v>
      </c>
      <c r="G134" s="570">
        <f t="shared" si="12"/>
        <v>30</v>
      </c>
      <c r="H134" s="559">
        <f t="shared" si="12"/>
        <v>27</v>
      </c>
      <c r="I134" s="679">
        <f t="shared" si="12"/>
        <v>42</v>
      </c>
      <c r="J134" s="679">
        <f t="shared" si="12"/>
        <v>15</v>
      </c>
      <c r="K134" s="568">
        <f t="shared" si="12"/>
        <v>42</v>
      </c>
      <c r="L134" s="570">
        <f t="shared" si="12"/>
        <v>24</v>
      </c>
      <c r="M134" s="559">
        <f t="shared" si="12"/>
        <v>18</v>
      </c>
      <c r="N134" s="568">
        <f t="shared" si="12"/>
        <v>33</v>
      </c>
      <c r="O134" s="570">
        <f t="shared" si="12"/>
        <v>18</v>
      </c>
      <c r="P134" s="569">
        <f t="shared" si="12"/>
        <v>12</v>
      </c>
    </row>
    <row r="135" spans="1:16" ht="5.15" customHeight="1">
      <c r="A135" s="1540"/>
      <c r="B135" s="107"/>
      <c r="C135" s="1041"/>
      <c r="D135" s="680"/>
      <c r="E135" s="681"/>
      <c r="F135" s="680"/>
      <c r="G135" s="680"/>
      <c r="H135" s="681"/>
      <c r="I135" s="681"/>
      <c r="J135" s="687"/>
      <c r="K135" s="1041"/>
      <c r="L135" s="680"/>
      <c r="M135" s="680"/>
      <c r="N135" s="1102"/>
      <c r="O135" s="71"/>
      <c r="P135" s="682"/>
    </row>
    <row r="136" spans="1:16" ht="11.15" customHeight="1">
      <c r="A136" s="1540"/>
      <c r="B136" s="355" t="s">
        <v>97</v>
      </c>
      <c r="C136" s="684">
        <v>84</v>
      </c>
      <c r="D136" s="555">
        <v>48</v>
      </c>
      <c r="E136" s="556">
        <v>33</v>
      </c>
      <c r="F136" s="684">
        <v>33</v>
      </c>
      <c r="G136" s="555">
        <v>27</v>
      </c>
      <c r="H136" s="556">
        <v>24</v>
      </c>
      <c r="I136" s="556">
        <v>39</v>
      </c>
      <c r="J136" s="678">
        <v>12</v>
      </c>
      <c r="K136" s="1040">
        <v>36</v>
      </c>
      <c r="L136" s="555">
        <v>24</v>
      </c>
      <c r="M136" s="405">
        <v>12</v>
      </c>
      <c r="N136" s="1040">
        <v>27</v>
      </c>
      <c r="O136" s="555">
        <v>18</v>
      </c>
      <c r="P136" s="540">
        <v>9</v>
      </c>
    </row>
    <row r="137" spans="1:16" ht="11.15" customHeight="1">
      <c r="A137" s="1540"/>
      <c r="B137" s="355" t="s">
        <v>98</v>
      </c>
      <c r="C137" s="684">
        <v>9</v>
      </c>
      <c r="D137" s="555">
        <v>3</v>
      </c>
      <c r="E137" s="556">
        <v>3</v>
      </c>
      <c r="F137" s="555">
        <v>3</v>
      </c>
      <c r="G137" s="555">
        <v>3</v>
      </c>
      <c r="H137" s="556">
        <v>3</v>
      </c>
      <c r="I137" s="405">
        <v>3</v>
      </c>
      <c r="J137" s="678">
        <v>3</v>
      </c>
      <c r="K137" s="684">
        <v>3</v>
      </c>
      <c r="L137" s="555">
        <v>0</v>
      </c>
      <c r="M137" s="555">
        <v>3</v>
      </c>
      <c r="N137" s="1040">
        <v>3</v>
      </c>
      <c r="O137" s="555">
        <v>0</v>
      </c>
      <c r="P137" s="688">
        <v>0</v>
      </c>
    </row>
    <row r="138" spans="1:16" ht="11.15" customHeight="1">
      <c r="A138" s="1540"/>
      <c r="B138" s="355" t="s">
        <v>99</v>
      </c>
      <c r="C138" s="684">
        <v>0</v>
      </c>
      <c r="D138" s="555">
        <v>0</v>
      </c>
      <c r="E138" s="556">
        <v>0</v>
      </c>
      <c r="F138" s="555">
        <v>0</v>
      </c>
      <c r="G138" s="555">
        <v>0</v>
      </c>
      <c r="H138" s="556">
        <v>0</v>
      </c>
      <c r="I138" s="556">
        <v>0</v>
      </c>
      <c r="J138" s="678">
        <v>0</v>
      </c>
      <c r="K138" s="684">
        <v>0</v>
      </c>
      <c r="L138" s="555">
        <v>0</v>
      </c>
      <c r="M138" s="555">
        <v>0</v>
      </c>
      <c r="N138" s="1040">
        <v>0</v>
      </c>
      <c r="O138" s="555">
        <v>0</v>
      </c>
      <c r="P138" s="688">
        <v>0</v>
      </c>
    </row>
    <row r="139" spans="1:16" ht="11.15" customHeight="1">
      <c r="A139" s="1540"/>
      <c r="B139" s="355" t="s">
        <v>100</v>
      </c>
      <c r="C139" s="684">
        <v>0</v>
      </c>
      <c r="D139" s="555">
        <v>0</v>
      </c>
      <c r="E139" s="556">
        <v>0</v>
      </c>
      <c r="F139" s="555">
        <v>0</v>
      </c>
      <c r="G139" s="555">
        <v>0</v>
      </c>
      <c r="H139" s="556">
        <v>0</v>
      </c>
      <c r="I139" s="405">
        <v>0</v>
      </c>
      <c r="J139" s="678">
        <v>0</v>
      </c>
      <c r="K139" s="684">
        <v>3</v>
      </c>
      <c r="L139" s="555">
        <v>0</v>
      </c>
      <c r="M139" s="555">
        <v>3</v>
      </c>
      <c r="N139" s="1040">
        <v>3</v>
      </c>
      <c r="O139" s="555">
        <v>0</v>
      </c>
      <c r="P139" s="688">
        <v>3</v>
      </c>
    </row>
    <row r="140" spans="1:16" s="538" customFormat="1" ht="11.15" customHeight="1">
      <c r="A140" s="1561"/>
      <c r="B140" s="963" t="s">
        <v>101</v>
      </c>
      <c r="C140" s="1272">
        <v>3</v>
      </c>
      <c r="D140" s="1043">
        <v>0</v>
      </c>
      <c r="E140" s="1044">
        <v>0</v>
      </c>
      <c r="F140" s="1043">
        <v>0</v>
      </c>
      <c r="G140" s="1043">
        <v>0</v>
      </c>
      <c r="H140" s="1044">
        <v>0</v>
      </c>
      <c r="I140" s="1086">
        <v>0</v>
      </c>
      <c r="J140" s="1042">
        <v>0</v>
      </c>
      <c r="K140" s="1272">
        <v>0</v>
      </c>
      <c r="L140" s="1043">
        <v>0</v>
      </c>
      <c r="M140" s="1043">
        <v>0</v>
      </c>
      <c r="N140" s="1345">
        <v>0</v>
      </c>
      <c r="O140" s="1043">
        <v>0</v>
      </c>
      <c r="P140" s="1045">
        <v>0</v>
      </c>
    </row>
    <row r="141" spans="1:16" ht="5.15" customHeight="1">
      <c r="A141" s="354"/>
      <c r="B141" s="107"/>
      <c r="C141" s="1041"/>
      <c r="D141" s="680"/>
      <c r="E141" s="681"/>
      <c r="F141" s="680"/>
      <c r="G141" s="680"/>
      <c r="H141" s="681"/>
      <c r="I141" s="681"/>
      <c r="J141" s="678"/>
      <c r="K141" s="1041"/>
      <c r="L141" s="680"/>
      <c r="M141" s="680"/>
      <c r="N141" s="1102"/>
      <c r="O141" s="585"/>
      <c r="P141" s="682"/>
    </row>
    <row r="142" spans="1:16" s="11" customFormat="1" ht="11.15" customHeight="1">
      <c r="A142" s="1540" t="s">
        <v>178</v>
      </c>
      <c r="B142" s="359" t="s">
        <v>301</v>
      </c>
      <c r="C142" s="568">
        <f t="shared" ref="C142:P142" si="13">SUM(C144:C148)</f>
        <v>231</v>
      </c>
      <c r="D142" s="570">
        <f t="shared" si="13"/>
        <v>87</v>
      </c>
      <c r="E142" s="559">
        <f t="shared" si="13"/>
        <v>144</v>
      </c>
      <c r="F142" s="568">
        <f t="shared" si="13"/>
        <v>81</v>
      </c>
      <c r="G142" s="570">
        <f t="shared" si="13"/>
        <v>87</v>
      </c>
      <c r="H142" s="559">
        <f t="shared" si="13"/>
        <v>60</v>
      </c>
      <c r="I142" s="679">
        <f t="shared" si="13"/>
        <v>96</v>
      </c>
      <c r="J142" s="679">
        <f t="shared" si="13"/>
        <v>15</v>
      </c>
      <c r="K142" s="568">
        <f t="shared" si="13"/>
        <v>57</v>
      </c>
      <c r="L142" s="570">
        <f t="shared" si="13"/>
        <v>24</v>
      </c>
      <c r="M142" s="559">
        <f t="shared" si="13"/>
        <v>36</v>
      </c>
      <c r="N142" s="568">
        <f t="shared" si="13"/>
        <v>51</v>
      </c>
      <c r="O142" s="570">
        <f t="shared" si="13"/>
        <v>18</v>
      </c>
      <c r="P142" s="569">
        <f t="shared" si="13"/>
        <v>30</v>
      </c>
    </row>
    <row r="143" spans="1:16" ht="5.15" customHeight="1">
      <c r="A143" s="1540"/>
      <c r="B143" s="107"/>
      <c r="C143" s="1041"/>
      <c r="D143" s="680"/>
      <c r="E143" s="681"/>
      <c r="F143" s="680"/>
      <c r="G143" s="680"/>
      <c r="H143" s="681"/>
      <c r="I143" s="681"/>
      <c r="J143" s="687"/>
      <c r="K143" s="1041"/>
      <c r="L143" s="680"/>
      <c r="M143" s="680"/>
      <c r="N143" s="1102"/>
      <c r="O143" s="71"/>
      <c r="P143" s="682"/>
    </row>
    <row r="144" spans="1:16" ht="11.15" customHeight="1">
      <c r="A144" s="1540"/>
      <c r="B144" s="355" t="s">
        <v>97</v>
      </c>
      <c r="C144" s="684">
        <v>210</v>
      </c>
      <c r="D144" s="555">
        <v>81</v>
      </c>
      <c r="E144" s="556">
        <v>132</v>
      </c>
      <c r="F144" s="684">
        <v>78</v>
      </c>
      <c r="G144" s="555">
        <v>81</v>
      </c>
      <c r="H144" s="556">
        <v>51</v>
      </c>
      <c r="I144" s="556">
        <v>93</v>
      </c>
      <c r="J144" s="678">
        <v>12</v>
      </c>
      <c r="K144" s="1040">
        <v>45</v>
      </c>
      <c r="L144" s="555">
        <v>18</v>
      </c>
      <c r="M144" s="405">
        <v>27</v>
      </c>
      <c r="N144" s="1040">
        <v>42</v>
      </c>
      <c r="O144" s="555">
        <v>15</v>
      </c>
      <c r="P144" s="540">
        <v>24</v>
      </c>
    </row>
    <row r="145" spans="1:40" ht="11.15" customHeight="1">
      <c r="A145" s="1540"/>
      <c r="B145" s="355" t="s">
        <v>98</v>
      </c>
      <c r="C145" s="684">
        <v>9</v>
      </c>
      <c r="D145" s="555">
        <v>3</v>
      </c>
      <c r="E145" s="556">
        <v>6</v>
      </c>
      <c r="F145" s="555">
        <v>0</v>
      </c>
      <c r="G145" s="555">
        <v>3</v>
      </c>
      <c r="H145" s="556">
        <v>6</v>
      </c>
      <c r="I145" s="405">
        <v>0</v>
      </c>
      <c r="J145" s="678">
        <v>3</v>
      </c>
      <c r="K145" s="684">
        <v>9</v>
      </c>
      <c r="L145" s="555">
        <v>3</v>
      </c>
      <c r="M145" s="555">
        <v>6</v>
      </c>
      <c r="N145" s="1040">
        <v>6</v>
      </c>
      <c r="O145" s="555">
        <v>3</v>
      </c>
      <c r="P145" s="688">
        <v>3</v>
      </c>
    </row>
    <row r="146" spans="1:40" ht="11.15" customHeight="1">
      <c r="A146" s="1540"/>
      <c r="B146" s="355" t="s">
        <v>99</v>
      </c>
      <c r="C146" s="684">
        <v>3</v>
      </c>
      <c r="D146" s="555">
        <v>0</v>
      </c>
      <c r="E146" s="556">
        <v>3</v>
      </c>
      <c r="F146" s="555">
        <v>0</v>
      </c>
      <c r="G146" s="555">
        <v>0</v>
      </c>
      <c r="H146" s="556">
        <v>0</v>
      </c>
      <c r="I146" s="556">
        <v>0</v>
      </c>
      <c r="J146" s="678">
        <v>0</v>
      </c>
      <c r="K146" s="684">
        <v>0</v>
      </c>
      <c r="L146" s="555">
        <v>0</v>
      </c>
      <c r="M146" s="555">
        <v>0</v>
      </c>
      <c r="N146" s="1040">
        <v>0</v>
      </c>
      <c r="O146" s="555">
        <v>0</v>
      </c>
      <c r="P146" s="688">
        <v>0</v>
      </c>
    </row>
    <row r="147" spans="1:40" ht="11.15" customHeight="1">
      <c r="A147" s="1540"/>
      <c r="B147" s="355" t="s">
        <v>100</v>
      </c>
      <c r="C147" s="684">
        <v>9</v>
      </c>
      <c r="D147" s="555">
        <v>3</v>
      </c>
      <c r="E147" s="556">
        <v>3</v>
      </c>
      <c r="F147" s="555">
        <v>3</v>
      </c>
      <c r="G147" s="555">
        <v>3</v>
      </c>
      <c r="H147" s="556">
        <v>3</v>
      </c>
      <c r="I147" s="405">
        <v>3</v>
      </c>
      <c r="J147" s="678">
        <v>0</v>
      </c>
      <c r="K147" s="684">
        <v>3</v>
      </c>
      <c r="L147" s="555">
        <v>3</v>
      </c>
      <c r="M147" s="555">
        <v>3</v>
      </c>
      <c r="N147" s="1040">
        <v>3</v>
      </c>
      <c r="O147" s="555">
        <v>0</v>
      </c>
      <c r="P147" s="688">
        <v>3</v>
      </c>
    </row>
    <row r="148" spans="1:40" s="538" customFormat="1" ht="11.15" customHeight="1">
      <c r="A148" s="1561"/>
      <c r="B148" s="963" t="s">
        <v>101</v>
      </c>
      <c r="C148" s="1272">
        <v>0</v>
      </c>
      <c r="D148" s="1043">
        <v>0</v>
      </c>
      <c r="E148" s="1044">
        <v>0</v>
      </c>
      <c r="F148" s="1043">
        <v>0</v>
      </c>
      <c r="G148" s="1043">
        <v>0</v>
      </c>
      <c r="H148" s="1044">
        <v>0</v>
      </c>
      <c r="I148" s="1086">
        <v>0</v>
      </c>
      <c r="J148" s="1042">
        <v>0</v>
      </c>
      <c r="K148" s="1272">
        <v>0</v>
      </c>
      <c r="L148" s="1043">
        <v>0</v>
      </c>
      <c r="M148" s="1043">
        <v>0</v>
      </c>
      <c r="N148" s="1103">
        <v>0</v>
      </c>
      <c r="O148" s="1043">
        <v>0</v>
      </c>
      <c r="P148" s="1045">
        <v>0</v>
      </c>
    </row>
    <row r="149" spans="1:40" ht="5.15" customHeight="1">
      <c r="A149" s="354"/>
      <c r="B149" s="379"/>
      <c r="C149" s="1041"/>
      <c r="D149" s="680"/>
      <c r="E149" s="681"/>
      <c r="F149" s="680"/>
      <c r="G149" s="680"/>
      <c r="H149" s="681"/>
      <c r="I149" s="681"/>
      <c r="J149" s="687"/>
      <c r="K149" s="1041"/>
      <c r="L149" s="680"/>
      <c r="M149" s="680"/>
      <c r="N149" s="1102"/>
      <c r="O149" s="585"/>
      <c r="P149" s="6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</row>
    <row r="150" spans="1:40" ht="11.15" customHeight="1">
      <c r="A150" s="1540" t="s">
        <v>179</v>
      </c>
      <c r="B150" s="359" t="s">
        <v>301</v>
      </c>
      <c r="C150" s="568">
        <f t="shared" ref="C150:P150" si="14">SUM(C152:C156)</f>
        <v>117</v>
      </c>
      <c r="D150" s="570">
        <f t="shared" si="14"/>
        <v>57</v>
      </c>
      <c r="E150" s="559">
        <f t="shared" si="14"/>
        <v>60</v>
      </c>
      <c r="F150" s="568">
        <f t="shared" si="14"/>
        <v>30</v>
      </c>
      <c r="G150" s="570">
        <f t="shared" si="14"/>
        <v>42</v>
      </c>
      <c r="H150" s="559">
        <f t="shared" si="14"/>
        <v>39</v>
      </c>
      <c r="I150" s="679">
        <f t="shared" si="14"/>
        <v>42</v>
      </c>
      <c r="J150" s="679">
        <f t="shared" si="14"/>
        <v>24</v>
      </c>
      <c r="K150" s="568">
        <f t="shared" si="14"/>
        <v>45</v>
      </c>
      <c r="L150" s="570">
        <f t="shared" si="14"/>
        <v>24</v>
      </c>
      <c r="M150" s="559">
        <f t="shared" si="14"/>
        <v>21</v>
      </c>
      <c r="N150" s="568">
        <f t="shared" si="14"/>
        <v>33</v>
      </c>
      <c r="O150" s="570">
        <f t="shared" si="14"/>
        <v>18</v>
      </c>
      <c r="P150" s="569">
        <f t="shared" si="14"/>
        <v>15</v>
      </c>
    </row>
    <row r="151" spans="1:40" ht="5.15" customHeight="1">
      <c r="A151" s="1540"/>
      <c r="B151" s="107"/>
      <c r="C151" s="1041"/>
      <c r="D151" s="680"/>
      <c r="E151" s="681"/>
      <c r="F151" s="680"/>
      <c r="G151" s="680"/>
      <c r="H151" s="681"/>
      <c r="I151" s="681"/>
      <c r="J151" s="687"/>
      <c r="K151" s="1041"/>
      <c r="L151" s="680"/>
      <c r="M151" s="680"/>
      <c r="N151" s="1102"/>
      <c r="O151" s="71"/>
      <c r="P151" s="682"/>
    </row>
    <row r="152" spans="1:40" ht="11.15" customHeight="1">
      <c r="A152" s="1540"/>
      <c r="B152" s="355" t="s">
        <v>97</v>
      </c>
      <c r="C152" s="684">
        <v>93</v>
      </c>
      <c r="D152" s="555">
        <v>45</v>
      </c>
      <c r="E152" s="556">
        <v>48</v>
      </c>
      <c r="F152" s="684">
        <v>27</v>
      </c>
      <c r="G152" s="555">
        <v>33</v>
      </c>
      <c r="H152" s="556">
        <v>30</v>
      </c>
      <c r="I152" s="556">
        <v>33</v>
      </c>
      <c r="J152" s="678">
        <v>21</v>
      </c>
      <c r="K152" s="1040">
        <v>36</v>
      </c>
      <c r="L152" s="555">
        <v>21</v>
      </c>
      <c r="M152" s="405">
        <v>18</v>
      </c>
      <c r="N152" s="1040">
        <v>24</v>
      </c>
      <c r="O152" s="555">
        <v>15</v>
      </c>
      <c r="P152" s="540">
        <v>12</v>
      </c>
    </row>
    <row r="153" spans="1:40" ht="11.15" customHeight="1">
      <c r="A153" s="1540"/>
      <c r="B153" s="355" t="s">
        <v>98</v>
      </c>
      <c r="C153" s="684">
        <v>12</v>
      </c>
      <c r="D153" s="555">
        <v>6</v>
      </c>
      <c r="E153" s="556">
        <v>6</v>
      </c>
      <c r="F153" s="555">
        <v>0</v>
      </c>
      <c r="G153" s="555">
        <v>6</v>
      </c>
      <c r="H153" s="556">
        <v>3</v>
      </c>
      <c r="I153" s="405">
        <v>3</v>
      </c>
      <c r="J153" s="678">
        <v>3</v>
      </c>
      <c r="K153" s="684">
        <v>6</v>
      </c>
      <c r="L153" s="555">
        <v>3</v>
      </c>
      <c r="M153" s="555">
        <v>3</v>
      </c>
      <c r="N153" s="1040">
        <v>6</v>
      </c>
      <c r="O153" s="555">
        <v>3</v>
      </c>
      <c r="P153" s="688">
        <v>3</v>
      </c>
    </row>
    <row r="154" spans="1:40" ht="11.15" customHeight="1">
      <c r="A154" s="1540"/>
      <c r="B154" s="355" t="s">
        <v>99</v>
      </c>
      <c r="C154" s="684">
        <v>3</v>
      </c>
      <c r="D154" s="555">
        <v>3</v>
      </c>
      <c r="E154" s="556">
        <v>0</v>
      </c>
      <c r="F154" s="555">
        <v>0</v>
      </c>
      <c r="G154" s="555">
        <v>0</v>
      </c>
      <c r="H154" s="556">
        <v>3</v>
      </c>
      <c r="I154" s="556">
        <v>0</v>
      </c>
      <c r="J154" s="678">
        <v>0</v>
      </c>
      <c r="K154" s="684">
        <v>0</v>
      </c>
      <c r="L154" s="555">
        <v>0</v>
      </c>
      <c r="M154" s="555">
        <v>0</v>
      </c>
      <c r="N154" s="1040">
        <v>0</v>
      </c>
      <c r="O154" s="555">
        <v>0</v>
      </c>
      <c r="P154" s="688">
        <v>0</v>
      </c>
    </row>
    <row r="155" spans="1:40" ht="11.15" customHeight="1">
      <c r="A155" s="1540"/>
      <c r="B155" s="355" t="s">
        <v>100</v>
      </c>
      <c r="C155" s="684">
        <v>9</v>
      </c>
      <c r="D155" s="555">
        <v>3</v>
      </c>
      <c r="E155" s="556">
        <v>6</v>
      </c>
      <c r="F155" s="555">
        <v>3</v>
      </c>
      <c r="G155" s="555">
        <v>3</v>
      </c>
      <c r="H155" s="556">
        <v>3</v>
      </c>
      <c r="I155" s="405">
        <v>6</v>
      </c>
      <c r="J155" s="678">
        <v>0</v>
      </c>
      <c r="K155" s="684">
        <v>3</v>
      </c>
      <c r="L155" s="555">
        <v>0</v>
      </c>
      <c r="M155" s="555">
        <v>0</v>
      </c>
      <c r="N155" s="1040">
        <v>3</v>
      </c>
      <c r="O155" s="555">
        <v>0</v>
      </c>
      <c r="P155" s="688">
        <v>0</v>
      </c>
    </row>
    <row r="156" spans="1:40" ht="11.15" customHeight="1">
      <c r="A156" s="1540"/>
      <c r="B156" s="355" t="s">
        <v>101</v>
      </c>
      <c r="C156" s="684">
        <v>0</v>
      </c>
      <c r="D156" s="555">
        <v>0</v>
      </c>
      <c r="E156" s="556">
        <v>0</v>
      </c>
      <c r="F156" s="555">
        <v>0</v>
      </c>
      <c r="G156" s="555">
        <v>0</v>
      </c>
      <c r="H156" s="556">
        <v>0</v>
      </c>
      <c r="I156" s="405">
        <v>0</v>
      </c>
      <c r="J156" s="678">
        <v>0</v>
      </c>
      <c r="K156" s="684">
        <v>0</v>
      </c>
      <c r="L156" s="555">
        <v>0</v>
      </c>
      <c r="M156" s="555">
        <v>0</v>
      </c>
      <c r="N156" s="1040">
        <v>0</v>
      </c>
      <c r="O156" s="555">
        <v>0</v>
      </c>
      <c r="P156" s="688">
        <v>0</v>
      </c>
    </row>
    <row r="157" spans="1:40" ht="5.15" customHeight="1" thickBot="1">
      <c r="A157" s="360"/>
      <c r="B157" s="203"/>
      <c r="C157" s="1109"/>
      <c r="D157" s="692"/>
      <c r="E157" s="693"/>
      <c r="F157" s="692"/>
      <c r="G157" s="692"/>
      <c r="H157" s="694"/>
      <c r="I157" s="694"/>
      <c r="J157" s="692"/>
      <c r="K157" s="1109"/>
      <c r="L157" s="692"/>
      <c r="M157" s="695"/>
      <c r="N157" s="1344"/>
      <c r="O157" s="696"/>
      <c r="P157" s="697"/>
    </row>
    <row r="158" spans="1:40" ht="11.15" customHeight="1">
      <c r="A158" s="109"/>
      <c r="B158" s="381"/>
      <c r="C158" s="111"/>
      <c r="D158" s="111"/>
      <c r="E158" s="78"/>
      <c r="F158" s="111"/>
      <c r="G158" s="111"/>
      <c r="H158" s="111"/>
      <c r="I158" s="129"/>
      <c r="J158" s="129"/>
      <c r="K158" s="111"/>
      <c r="L158" s="111"/>
      <c r="M158" s="78"/>
      <c r="N158" s="111"/>
    </row>
    <row r="159" spans="1:40" s="90" customFormat="1" ht="11.15" customHeight="1">
      <c r="A159" s="365"/>
      <c r="B159" s="364" t="s">
        <v>154</v>
      </c>
      <c r="C159" s="87"/>
      <c r="D159" s="87"/>
      <c r="E159" s="88"/>
      <c r="F159" s="87"/>
      <c r="G159" s="87"/>
      <c r="H159" s="87"/>
      <c r="I159" s="127" t="s">
        <v>112</v>
      </c>
      <c r="J159" s="126"/>
      <c r="L159" s="126"/>
      <c r="M159" s="683"/>
      <c r="N159" s="126"/>
      <c r="P159" s="683"/>
    </row>
    <row r="161" spans="1:16" ht="11.15" customHeight="1" thickBot="1">
      <c r="A161" s="109"/>
      <c r="B161" s="92"/>
      <c r="C161" s="129"/>
      <c r="D161" s="129"/>
      <c r="E161" s="79"/>
      <c r="F161" s="129"/>
      <c r="G161" s="129"/>
      <c r="H161" s="129"/>
      <c r="I161" s="129"/>
      <c r="J161" s="129"/>
      <c r="K161" s="129"/>
      <c r="L161" s="129"/>
      <c r="M161" s="79"/>
      <c r="N161" s="129"/>
    </row>
    <row r="162" spans="1:16" s="125" customFormat="1" ht="15" customHeight="1">
      <c r="A162" s="1571" t="s">
        <v>43</v>
      </c>
      <c r="B162" s="602"/>
      <c r="C162" s="1541" t="str">
        <f>C7</f>
        <v>Auszubildende am 31.12.2015</v>
      </c>
      <c r="D162" s="1542"/>
      <c r="E162" s="1542"/>
      <c r="F162" s="1542"/>
      <c r="G162" s="1542"/>
      <c r="H162" s="1543"/>
      <c r="I162" s="1553" t="s">
        <v>0</v>
      </c>
      <c r="J162" s="1553" t="s">
        <v>1</v>
      </c>
      <c r="K162" s="1547" t="s">
        <v>216</v>
      </c>
      <c r="L162" s="1548"/>
      <c r="M162" s="1548"/>
      <c r="N162" s="1548"/>
      <c r="O162" s="1548"/>
      <c r="P162" s="1549"/>
    </row>
    <row r="163" spans="1:16" s="125" customFormat="1" ht="15" customHeight="1">
      <c r="A163" s="1572"/>
      <c r="B163" s="603"/>
      <c r="C163" s="1544"/>
      <c r="D163" s="1545"/>
      <c r="E163" s="1545"/>
      <c r="F163" s="1545"/>
      <c r="G163" s="1545"/>
      <c r="H163" s="1546"/>
      <c r="I163" s="1554"/>
      <c r="J163" s="1554"/>
      <c r="K163" s="1550"/>
      <c r="L163" s="1551"/>
      <c r="M163" s="1551"/>
      <c r="N163" s="1551"/>
      <c r="O163" s="1551"/>
      <c r="P163" s="1552"/>
    </row>
    <row r="164" spans="1:16" s="125" customFormat="1" ht="12" customHeight="1">
      <c r="A164" s="1573"/>
      <c r="B164" s="603"/>
      <c r="C164" s="369"/>
      <c r="D164" s="1115"/>
      <c r="E164" s="101"/>
      <c r="F164" s="1116" t="s">
        <v>165</v>
      </c>
      <c r="G164" s="1117"/>
      <c r="H164" s="1118"/>
      <c r="I164" s="103" t="s">
        <v>3</v>
      </c>
      <c r="J164" s="102" t="s">
        <v>4</v>
      </c>
      <c r="K164" s="134"/>
      <c r="L164" s="326"/>
      <c r="M164" s="327"/>
      <c r="N164" s="100"/>
      <c r="O164" s="549" t="s">
        <v>2</v>
      </c>
      <c r="P164" s="544"/>
    </row>
    <row r="165" spans="1:16" s="125" customFormat="1" ht="12" customHeight="1">
      <c r="A165" s="1573"/>
      <c r="B165" s="108" t="s">
        <v>8</v>
      </c>
      <c r="C165" s="104"/>
      <c r="D165" s="348"/>
      <c r="E165" s="105"/>
      <c r="F165" s="349" t="s">
        <v>300</v>
      </c>
      <c r="G165" s="350"/>
      <c r="H165" s="351"/>
      <c r="I165" s="103" t="s">
        <v>8</v>
      </c>
      <c r="J165" s="102" t="s">
        <v>8</v>
      </c>
      <c r="K165" s="74"/>
      <c r="L165" s="1213"/>
      <c r="M165" s="104"/>
      <c r="N165" s="717"/>
      <c r="O165" s="375" t="s">
        <v>194</v>
      </c>
      <c r="P165" s="548"/>
    </row>
    <row r="166" spans="1:16" s="125" customFormat="1" ht="12" customHeight="1">
      <c r="A166" s="1573"/>
      <c r="B166" s="108" t="s">
        <v>61</v>
      </c>
      <c r="C166" s="96" t="s">
        <v>19</v>
      </c>
      <c r="D166" s="97" t="s">
        <v>17</v>
      </c>
      <c r="E166" s="103" t="s">
        <v>18</v>
      </c>
      <c r="F166" s="352"/>
      <c r="G166" s="352"/>
      <c r="H166" s="352"/>
      <c r="I166" s="103" t="s">
        <v>20</v>
      </c>
      <c r="J166" s="102" t="s">
        <v>20</v>
      </c>
      <c r="K166" s="1215" t="s">
        <v>19</v>
      </c>
      <c r="L166" s="102" t="s">
        <v>17</v>
      </c>
      <c r="M166" s="103" t="s">
        <v>18</v>
      </c>
      <c r="N166" s="369" t="s">
        <v>19</v>
      </c>
      <c r="O166" s="1114" t="s">
        <v>17</v>
      </c>
      <c r="P166" s="1112" t="s">
        <v>18</v>
      </c>
    </row>
    <row r="167" spans="1:16" s="125" customFormat="1" ht="12" customHeight="1">
      <c r="A167" s="1573"/>
      <c r="B167" s="108" t="s">
        <v>62</v>
      </c>
      <c r="C167" s="96" t="s">
        <v>29</v>
      </c>
      <c r="D167" s="97" t="s">
        <v>28</v>
      </c>
      <c r="E167" s="103" t="s">
        <v>28</v>
      </c>
      <c r="F167" s="106"/>
      <c r="G167" s="106"/>
      <c r="H167" s="106"/>
      <c r="I167" s="103" t="s">
        <v>33</v>
      </c>
      <c r="J167" s="102" t="s">
        <v>33</v>
      </c>
      <c r="K167" s="1215" t="s">
        <v>29</v>
      </c>
      <c r="L167" s="102" t="s">
        <v>28</v>
      </c>
      <c r="M167" s="103" t="s">
        <v>34</v>
      </c>
      <c r="N167" s="96" t="s">
        <v>29</v>
      </c>
      <c r="O167" s="103" t="s">
        <v>28</v>
      </c>
      <c r="P167" s="1113" t="s">
        <v>28</v>
      </c>
    </row>
    <row r="168" spans="1:16" s="125" customFormat="1" ht="12" customHeight="1">
      <c r="A168" s="1573"/>
      <c r="B168" s="108"/>
      <c r="C168" s="1214"/>
      <c r="D168" s="348"/>
      <c r="E168" s="105"/>
      <c r="F168" s="108" t="s">
        <v>30</v>
      </c>
      <c r="G168" s="108" t="s">
        <v>31</v>
      </c>
      <c r="H168" s="108" t="s">
        <v>32</v>
      </c>
      <c r="I168" s="103" t="s">
        <v>39</v>
      </c>
      <c r="J168" s="102" t="s">
        <v>39</v>
      </c>
      <c r="K168" s="74"/>
      <c r="L168" s="1213"/>
      <c r="M168" s="104"/>
      <c r="N168" s="438"/>
      <c r="O168" s="561"/>
      <c r="P168" s="560"/>
    </row>
    <row r="169" spans="1:16" ht="5.15" customHeight="1">
      <c r="A169" s="604"/>
      <c r="B169" s="376"/>
      <c r="C169" s="134"/>
      <c r="D169" s="133"/>
      <c r="E169" s="382"/>
      <c r="F169" s="133"/>
      <c r="G169" s="133"/>
      <c r="H169" s="382"/>
      <c r="I169" s="382"/>
      <c r="J169" s="376"/>
      <c r="K169" s="134"/>
      <c r="L169" s="133"/>
      <c r="M169" s="133"/>
      <c r="N169" s="134"/>
      <c r="O169" s="82"/>
      <c r="P169" s="546"/>
    </row>
    <row r="170" spans="1:16" ht="11.15" customHeight="1">
      <c r="A170" s="1555" t="s">
        <v>59</v>
      </c>
      <c r="B170" s="359" t="s">
        <v>301</v>
      </c>
      <c r="C170" s="568">
        <f t="shared" ref="C170:P170" si="15">SUM(C172:C176)</f>
        <v>189</v>
      </c>
      <c r="D170" s="570">
        <f t="shared" si="15"/>
        <v>87</v>
      </c>
      <c r="E170" s="559">
        <f t="shared" si="15"/>
        <v>99</v>
      </c>
      <c r="F170" s="568">
        <f t="shared" si="15"/>
        <v>69</v>
      </c>
      <c r="G170" s="570">
        <f t="shared" si="15"/>
        <v>54</v>
      </c>
      <c r="H170" s="559">
        <f t="shared" si="15"/>
        <v>63</v>
      </c>
      <c r="I170" s="679">
        <f t="shared" si="15"/>
        <v>84</v>
      </c>
      <c r="J170" s="679">
        <f t="shared" si="15"/>
        <v>36</v>
      </c>
      <c r="K170" s="568">
        <f t="shared" si="15"/>
        <v>54</v>
      </c>
      <c r="L170" s="570">
        <f t="shared" si="15"/>
        <v>27</v>
      </c>
      <c r="M170" s="559">
        <f t="shared" si="15"/>
        <v>30</v>
      </c>
      <c r="N170" s="568">
        <f t="shared" si="15"/>
        <v>36</v>
      </c>
      <c r="O170" s="570">
        <f t="shared" si="15"/>
        <v>15</v>
      </c>
      <c r="P170" s="569">
        <f t="shared" si="15"/>
        <v>18</v>
      </c>
    </row>
    <row r="171" spans="1:16" ht="5.15" customHeight="1">
      <c r="A171" s="1555"/>
      <c r="B171" s="107"/>
      <c r="C171" s="1119"/>
      <c r="D171" s="689"/>
      <c r="E171" s="690"/>
      <c r="F171" s="689"/>
      <c r="G171" s="689"/>
      <c r="H171" s="690"/>
      <c r="I171" s="690"/>
      <c r="J171" s="691"/>
      <c r="K171" s="1119"/>
      <c r="L171" s="689"/>
      <c r="M171" s="689"/>
      <c r="N171" s="1119"/>
      <c r="O171" s="689"/>
      <c r="P171" s="685"/>
    </row>
    <row r="172" spans="1:16" ht="11.15" customHeight="1">
      <c r="A172" s="1555"/>
      <c r="B172" s="355" t="s">
        <v>97</v>
      </c>
      <c r="C172" s="684">
        <v>141</v>
      </c>
      <c r="D172" s="555">
        <v>66</v>
      </c>
      <c r="E172" s="556">
        <v>75</v>
      </c>
      <c r="F172" s="555">
        <v>54</v>
      </c>
      <c r="G172" s="555">
        <v>39</v>
      </c>
      <c r="H172" s="556">
        <v>48</v>
      </c>
      <c r="I172" s="678">
        <v>60</v>
      </c>
      <c r="J172" s="678">
        <v>27</v>
      </c>
      <c r="K172" s="684">
        <v>48</v>
      </c>
      <c r="L172" s="555">
        <v>24</v>
      </c>
      <c r="M172" s="555">
        <v>27</v>
      </c>
      <c r="N172" s="684">
        <v>30</v>
      </c>
      <c r="O172" s="555">
        <v>12</v>
      </c>
      <c r="P172" s="688">
        <v>15</v>
      </c>
    </row>
    <row r="173" spans="1:16" ht="11.15" customHeight="1">
      <c r="A173" s="1555"/>
      <c r="B173" s="355" t="s">
        <v>98</v>
      </c>
      <c r="C173" s="684">
        <v>33</v>
      </c>
      <c r="D173" s="555">
        <v>15</v>
      </c>
      <c r="E173" s="556">
        <v>18</v>
      </c>
      <c r="F173" s="555">
        <v>12</v>
      </c>
      <c r="G173" s="555">
        <v>9</v>
      </c>
      <c r="H173" s="556">
        <v>9</v>
      </c>
      <c r="I173" s="678">
        <v>18</v>
      </c>
      <c r="J173" s="678">
        <v>6</v>
      </c>
      <c r="K173" s="684">
        <v>6</v>
      </c>
      <c r="L173" s="555">
        <v>3</v>
      </c>
      <c r="M173" s="555">
        <v>3</v>
      </c>
      <c r="N173" s="684">
        <v>6</v>
      </c>
      <c r="O173" s="555">
        <v>3</v>
      </c>
      <c r="P173" s="688">
        <v>3</v>
      </c>
    </row>
    <row r="174" spans="1:16" ht="11.15" customHeight="1">
      <c r="A174" s="1555"/>
      <c r="B174" s="355" t="s">
        <v>99</v>
      </c>
      <c r="C174" s="684">
        <v>12</v>
      </c>
      <c r="D174" s="555">
        <v>6</v>
      </c>
      <c r="E174" s="556">
        <v>6</v>
      </c>
      <c r="F174" s="555">
        <v>3</v>
      </c>
      <c r="G174" s="555">
        <v>6</v>
      </c>
      <c r="H174" s="556">
        <v>3</v>
      </c>
      <c r="I174" s="678">
        <v>6</v>
      </c>
      <c r="J174" s="678">
        <v>3</v>
      </c>
      <c r="K174" s="684">
        <v>0</v>
      </c>
      <c r="L174" s="555">
        <v>0</v>
      </c>
      <c r="M174" s="555">
        <v>0</v>
      </c>
      <c r="N174" s="684">
        <v>0</v>
      </c>
      <c r="O174" s="555">
        <v>0</v>
      </c>
      <c r="P174" s="688">
        <v>0</v>
      </c>
    </row>
    <row r="175" spans="1:16" ht="11.15" customHeight="1">
      <c r="A175" s="1555"/>
      <c r="B175" s="355" t="s">
        <v>100</v>
      </c>
      <c r="C175" s="684">
        <v>0</v>
      </c>
      <c r="D175" s="555">
        <v>0</v>
      </c>
      <c r="E175" s="556">
        <v>0</v>
      </c>
      <c r="F175" s="555">
        <v>0</v>
      </c>
      <c r="G175" s="555">
        <v>0</v>
      </c>
      <c r="H175" s="556">
        <v>0</v>
      </c>
      <c r="I175" s="404">
        <v>0</v>
      </c>
      <c r="J175" s="678">
        <v>0</v>
      </c>
      <c r="K175" s="684">
        <v>0</v>
      </c>
      <c r="L175" s="555">
        <v>0</v>
      </c>
      <c r="M175" s="555">
        <v>0</v>
      </c>
      <c r="N175" s="684">
        <v>0</v>
      </c>
      <c r="O175" s="555">
        <v>0</v>
      </c>
      <c r="P175" s="688">
        <v>0</v>
      </c>
    </row>
    <row r="176" spans="1:16" ht="11.15" customHeight="1">
      <c r="A176" s="1556"/>
      <c r="B176" s="355" t="s">
        <v>101</v>
      </c>
      <c r="C176" s="684">
        <v>3</v>
      </c>
      <c r="D176" s="555">
        <v>0</v>
      </c>
      <c r="E176" s="556">
        <v>0</v>
      </c>
      <c r="F176" s="555">
        <v>0</v>
      </c>
      <c r="G176" s="555">
        <v>0</v>
      </c>
      <c r="H176" s="556">
        <v>3</v>
      </c>
      <c r="I176" s="404">
        <v>0</v>
      </c>
      <c r="J176" s="678">
        <v>0</v>
      </c>
      <c r="K176" s="1272">
        <v>0</v>
      </c>
      <c r="L176" s="1043">
        <v>0</v>
      </c>
      <c r="M176" s="1044">
        <v>0</v>
      </c>
      <c r="N176" s="1272">
        <v>0</v>
      </c>
      <c r="O176" s="1043">
        <v>0</v>
      </c>
      <c r="P176" s="1045">
        <v>0</v>
      </c>
    </row>
    <row r="177" spans="1:16" ht="5.15" customHeight="1">
      <c r="A177" s="383"/>
      <c r="B177" s="733"/>
      <c r="C177" s="1120"/>
      <c r="D177" s="698"/>
      <c r="E177" s="554"/>
      <c r="F177" s="698"/>
      <c r="G177" s="698"/>
      <c r="H177" s="554"/>
      <c r="I177" s="699"/>
      <c r="J177" s="700"/>
      <c r="K177" s="702"/>
      <c r="L177" s="555"/>
      <c r="M177" s="555"/>
      <c r="N177" s="1122"/>
      <c r="O177" s="71"/>
      <c r="P177" s="682"/>
    </row>
    <row r="178" spans="1:16" s="11" customFormat="1" ht="13.5" customHeight="1">
      <c r="A178" s="1540" t="s">
        <v>63</v>
      </c>
      <c r="B178" s="1255" t="s">
        <v>301</v>
      </c>
      <c r="C178" s="1256">
        <v>930</v>
      </c>
      <c r="D178" s="1257">
        <v>441</v>
      </c>
      <c r="E178" s="1258">
        <v>492</v>
      </c>
      <c r="F178" s="1257">
        <v>300</v>
      </c>
      <c r="G178" s="1257">
        <v>324</v>
      </c>
      <c r="H178" s="1258">
        <v>306</v>
      </c>
      <c r="I178" s="1258">
        <v>402</v>
      </c>
      <c r="J178" s="1258">
        <v>147</v>
      </c>
      <c r="K178" s="1256">
        <v>324</v>
      </c>
      <c r="L178" s="1257">
        <v>180</v>
      </c>
      <c r="M178" s="1258">
        <v>144</v>
      </c>
      <c r="N178" s="1256">
        <v>243</v>
      </c>
      <c r="O178" s="1257">
        <v>135</v>
      </c>
      <c r="P178" s="1259">
        <v>108</v>
      </c>
    </row>
    <row r="179" spans="1:16" ht="5.15" customHeight="1">
      <c r="A179" s="1540"/>
      <c r="B179" s="1260"/>
      <c r="C179" s="1256"/>
      <c r="D179" s="1257"/>
      <c r="E179" s="1258"/>
      <c r="F179" s="1257"/>
      <c r="G179" s="1257"/>
      <c r="H179" s="1258"/>
      <c r="I179" s="1257"/>
      <c r="J179" s="1261"/>
      <c r="K179" s="1256"/>
      <c r="L179" s="1257"/>
      <c r="M179" s="1258"/>
      <c r="N179" s="1262"/>
      <c r="O179" s="1263"/>
      <c r="P179" s="1264"/>
    </row>
    <row r="180" spans="1:16" ht="13.5" customHeight="1">
      <c r="A180" s="1540"/>
      <c r="B180" s="1265" t="s">
        <v>97</v>
      </c>
      <c r="C180" s="1269">
        <v>657</v>
      </c>
      <c r="D180" s="1266">
        <v>288</v>
      </c>
      <c r="E180" s="1267">
        <v>369</v>
      </c>
      <c r="F180" s="1266">
        <v>243</v>
      </c>
      <c r="G180" s="1266">
        <v>216</v>
      </c>
      <c r="H180" s="1267">
        <v>198</v>
      </c>
      <c r="I180" s="1267">
        <v>285</v>
      </c>
      <c r="J180" s="1267">
        <v>96</v>
      </c>
      <c r="K180" s="1269">
        <v>213</v>
      </c>
      <c r="L180" s="1266">
        <v>105</v>
      </c>
      <c r="M180" s="1267">
        <v>108</v>
      </c>
      <c r="N180" s="1269">
        <v>156</v>
      </c>
      <c r="O180" s="1266">
        <v>78</v>
      </c>
      <c r="P180" s="1268">
        <v>81</v>
      </c>
    </row>
    <row r="181" spans="1:16" ht="13.5" customHeight="1">
      <c r="A181" s="1540"/>
      <c r="B181" s="1265" t="s">
        <v>98</v>
      </c>
      <c r="C181" s="1269">
        <v>81</v>
      </c>
      <c r="D181" s="1266">
        <v>36</v>
      </c>
      <c r="E181" s="1267">
        <v>45</v>
      </c>
      <c r="F181" s="1266">
        <v>24</v>
      </c>
      <c r="G181" s="1266">
        <v>24</v>
      </c>
      <c r="H181" s="1267">
        <v>33</v>
      </c>
      <c r="I181" s="1267">
        <v>30</v>
      </c>
      <c r="J181" s="1267">
        <v>27</v>
      </c>
      <c r="K181" s="1269">
        <v>33</v>
      </c>
      <c r="L181" s="1266">
        <v>18</v>
      </c>
      <c r="M181" s="1267">
        <v>15</v>
      </c>
      <c r="N181" s="1269">
        <v>27</v>
      </c>
      <c r="O181" s="1266">
        <v>15</v>
      </c>
      <c r="P181" s="1268">
        <v>12</v>
      </c>
    </row>
    <row r="182" spans="1:16" ht="13.5" customHeight="1">
      <c r="A182" s="1540"/>
      <c r="B182" s="1265" t="s">
        <v>99</v>
      </c>
      <c r="C182" s="1269">
        <v>75</v>
      </c>
      <c r="D182" s="1266">
        <v>39</v>
      </c>
      <c r="E182" s="1267">
        <v>36</v>
      </c>
      <c r="F182" s="1269">
        <v>12</v>
      </c>
      <c r="G182" s="1266">
        <v>36</v>
      </c>
      <c r="H182" s="1267">
        <v>27</v>
      </c>
      <c r="I182" s="1270">
        <v>36</v>
      </c>
      <c r="J182" s="1270">
        <v>15</v>
      </c>
      <c r="K182" s="1269">
        <v>24</v>
      </c>
      <c r="L182" s="1266">
        <v>18</v>
      </c>
      <c r="M182" s="1267">
        <v>9</v>
      </c>
      <c r="N182" s="1269">
        <v>15</v>
      </c>
      <c r="O182" s="1266">
        <v>12</v>
      </c>
      <c r="P182" s="1268">
        <v>6</v>
      </c>
    </row>
    <row r="183" spans="1:16" ht="13.5" customHeight="1">
      <c r="A183" s="1540"/>
      <c r="B183" s="1265" t="s">
        <v>100</v>
      </c>
      <c r="C183" s="1269">
        <v>60</v>
      </c>
      <c r="D183" s="1266">
        <v>42</v>
      </c>
      <c r="E183" s="1267">
        <v>18</v>
      </c>
      <c r="F183" s="1269">
        <v>18</v>
      </c>
      <c r="G183" s="1266">
        <v>18</v>
      </c>
      <c r="H183" s="1267">
        <v>27</v>
      </c>
      <c r="I183" s="1270">
        <v>24</v>
      </c>
      <c r="J183" s="1270">
        <v>6</v>
      </c>
      <c r="K183" s="1269">
        <v>36</v>
      </c>
      <c r="L183" s="1266">
        <v>27</v>
      </c>
      <c r="M183" s="1267">
        <v>9</v>
      </c>
      <c r="N183" s="1269">
        <v>27</v>
      </c>
      <c r="O183" s="1266">
        <v>18</v>
      </c>
      <c r="P183" s="1268">
        <v>9</v>
      </c>
    </row>
    <row r="184" spans="1:16" ht="13.5" customHeight="1">
      <c r="A184" s="1540"/>
      <c r="B184" s="1265" t="s">
        <v>101</v>
      </c>
      <c r="C184" s="1269">
        <v>57</v>
      </c>
      <c r="D184" s="1266">
        <v>36</v>
      </c>
      <c r="E184" s="1267">
        <v>21</v>
      </c>
      <c r="F184" s="1269">
        <v>6</v>
      </c>
      <c r="G184" s="1266">
        <v>30</v>
      </c>
      <c r="H184" s="1267">
        <v>21</v>
      </c>
      <c r="I184" s="1270">
        <v>27</v>
      </c>
      <c r="J184" s="1270">
        <v>3</v>
      </c>
      <c r="K184" s="1269">
        <v>18</v>
      </c>
      <c r="L184" s="1266">
        <v>15</v>
      </c>
      <c r="M184" s="1267">
        <v>3</v>
      </c>
      <c r="N184" s="1269">
        <v>18</v>
      </c>
      <c r="O184" s="1266">
        <v>15</v>
      </c>
      <c r="P184" s="1268">
        <v>3</v>
      </c>
    </row>
    <row r="185" spans="1:16" ht="5.15" customHeight="1" thickBot="1">
      <c r="A185" s="384"/>
      <c r="B185" s="203"/>
      <c r="C185" s="1121"/>
      <c r="D185" s="202"/>
      <c r="E185" s="380"/>
      <c r="F185" s="202"/>
      <c r="G185" s="202"/>
      <c r="H185" s="380"/>
      <c r="I185" s="202"/>
      <c r="J185" s="203"/>
      <c r="K185" s="1121"/>
      <c r="L185" s="202"/>
      <c r="M185" s="202"/>
      <c r="N185" s="1104"/>
      <c r="O185" s="305"/>
      <c r="P185" s="306"/>
    </row>
    <row r="186" spans="1:16" s="11" customFormat="1" ht="5.15" customHeight="1">
      <c r="A186" s="357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</row>
    <row r="187" spans="1:16" s="54" customFormat="1" ht="15" customHeight="1">
      <c r="A187" s="70" t="s">
        <v>302</v>
      </c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</row>
    <row r="188" spans="1:16" s="54" customFormat="1" ht="20.149999999999999" customHeight="1">
      <c r="A188" s="357"/>
      <c r="B188" s="129"/>
      <c r="C188" s="129"/>
      <c r="D188" s="111"/>
      <c r="E188" s="111"/>
      <c r="F188" s="129"/>
      <c r="G188" s="129"/>
      <c r="H188" s="129"/>
      <c r="I188" s="129"/>
      <c r="J188" s="129"/>
      <c r="K188" s="129" t="s">
        <v>166</v>
      </c>
      <c r="L188" s="129"/>
      <c r="M188" s="129"/>
      <c r="N188" s="129"/>
    </row>
    <row r="189" spans="1:16" s="54" customFormat="1" ht="20.149999999999999" customHeight="1">
      <c r="A189" s="357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</row>
    <row r="190" spans="1:16" s="54" customFormat="1" ht="20.149999999999999" customHeight="1">
      <c r="A190" s="357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</row>
    <row r="191" spans="1:16" s="54" customFormat="1" ht="10.3">
      <c r="A191" s="357" t="s">
        <v>63</v>
      </c>
      <c r="B191" s="129" t="s">
        <v>301</v>
      </c>
      <c r="C191" s="129">
        <v>939</v>
      </c>
      <c r="D191" s="129">
        <v>426</v>
      </c>
      <c r="E191" s="129">
        <v>495</v>
      </c>
      <c r="F191" s="129">
        <v>285</v>
      </c>
      <c r="G191" s="129">
        <v>318</v>
      </c>
      <c r="H191" s="129">
        <v>303</v>
      </c>
      <c r="I191" s="129">
        <v>396</v>
      </c>
      <c r="J191" s="129">
        <v>138</v>
      </c>
      <c r="K191" s="129">
        <v>324</v>
      </c>
      <c r="L191" s="129">
        <v>177</v>
      </c>
      <c r="M191" s="129">
        <v>147</v>
      </c>
      <c r="N191" s="129">
        <v>240</v>
      </c>
      <c r="O191" s="82">
        <v>126</v>
      </c>
      <c r="P191" s="82">
        <v>99</v>
      </c>
    </row>
    <row r="192" spans="1:16" s="54" customFormat="1" ht="10.3">
      <c r="A192" s="357"/>
      <c r="B192" s="129" t="s">
        <v>97</v>
      </c>
      <c r="C192" s="129">
        <v>657</v>
      </c>
      <c r="D192" s="129">
        <v>288</v>
      </c>
      <c r="E192" s="129">
        <v>369</v>
      </c>
      <c r="F192" s="129">
        <v>240</v>
      </c>
      <c r="G192" s="129">
        <v>216</v>
      </c>
      <c r="H192" s="129">
        <v>198</v>
      </c>
      <c r="I192" s="129">
        <v>288</v>
      </c>
      <c r="J192" s="129">
        <v>96</v>
      </c>
      <c r="K192" s="129">
        <v>213</v>
      </c>
      <c r="L192" s="129">
        <v>105</v>
      </c>
      <c r="M192" s="129">
        <v>111</v>
      </c>
      <c r="N192" s="129">
        <v>156</v>
      </c>
      <c r="O192" s="82">
        <v>75</v>
      </c>
      <c r="P192" s="82">
        <v>78</v>
      </c>
    </row>
    <row r="193" spans="1:16" s="54" customFormat="1" ht="10.3">
      <c r="A193" s="357"/>
      <c r="B193" s="129" t="s">
        <v>98</v>
      </c>
      <c r="C193" s="129">
        <v>87</v>
      </c>
      <c r="D193" s="129">
        <v>33</v>
      </c>
      <c r="E193" s="129">
        <v>48</v>
      </c>
      <c r="F193" s="129">
        <v>18</v>
      </c>
      <c r="G193" s="129">
        <v>24</v>
      </c>
      <c r="H193" s="129">
        <v>33</v>
      </c>
      <c r="I193" s="129">
        <v>27</v>
      </c>
      <c r="J193" s="129">
        <v>24</v>
      </c>
      <c r="K193" s="129">
        <v>30</v>
      </c>
      <c r="L193" s="129">
        <v>15</v>
      </c>
      <c r="M193" s="129">
        <v>18</v>
      </c>
      <c r="N193" s="129">
        <v>27</v>
      </c>
      <c r="O193" s="82">
        <v>12</v>
      </c>
      <c r="P193" s="82">
        <v>9</v>
      </c>
    </row>
    <row r="194" spans="1:16" ht="11.15" customHeight="1">
      <c r="B194" s="129" t="s">
        <v>99</v>
      </c>
      <c r="C194" s="80">
        <v>78</v>
      </c>
      <c r="D194" s="80">
        <v>42</v>
      </c>
      <c r="E194" s="80">
        <v>39</v>
      </c>
      <c r="F194" s="80">
        <v>6</v>
      </c>
      <c r="G194" s="80">
        <v>36</v>
      </c>
      <c r="H194" s="80">
        <v>27</v>
      </c>
      <c r="I194" s="129">
        <v>33</v>
      </c>
      <c r="J194" s="129">
        <v>15</v>
      </c>
      <c r="K194" s="129">
        <v>24</v>
      </c>
      <c r="L194" s="80">
        <v>18</v>
      </c>
      <c r="M194" s="80">
        <v>6</v>
      </c>
      <c r="N194" s="80">
        <v>12</v>
      </c>
      <c r="O194" s="70">
        <v>12</v>
      </c>
      <c r="P194" s="70">
        <v>0</v>
      </c>
    </row>
    <row r="195" spans="1:16" ht="11.15" customHeight="1">
      <c r="B195" s="129" t="s">
        <v>100</v>
      </c>
      <c r="C195" s="80">
        <v>60</v>
      </c>
      <c r="D195" s="80">
        <v>36</v>
      </c>
      <c r="E195" s="80">
        <v>18</v>
      </c>
      <c r="F195" s="80">
        <v>15</v>
      </c>
      <c r="G195" s="80">
        <v>15</v>
      </c>
      <c r="H195" s="80">
        <v>24</v>
      </c>
      <c r="I195" s="129">
        <v>21</v>
      </c>
      <c r="J195" s="129">
        <v>3</v>
      </c>
      <c r="K195" s="129">
        <v>36</v>
      </c>
      <c r="L195" s="80">
        <v>24</v>
      </c>
      <c r="M195" s="80">
        <v>9</v>
      </c>
      <c r="N195" s="80">
        <v>27</v>
      </c>
      <c r="O195" s="70">
        <v>15</v>
      </c>
      <c r="P195" s="70">
        <v>9</v>
      </c>
    </row>
    <row r="196" spans="1:16" ht="11.15" customHeight="1">
      <c r="B196" s="129" t="s">
        <v>101</v>
      </c>
      <c r="C196" s="80">
        <v>57</v>
      </c>
      <c r="D196" s="80">
        <v>27</v>
      </c>
      <c r="E196" s="80">
        <v>21</v>
      </c>
      <c r="F196" s="80">
        <v>6</v>
      </c>
      <c r="G196" s="80">
        <v>27</v>
      </c>
      <c r="H196" s="80">
        <v>21</v>
      </c>
      <c r="I196" s="129">
        <v>27</v>
      </c>
      <c r="J196" s="129">
        <v>0</v>
      </c>
      <c r="K196" s="129">
        <v>21</v>
      </c>
      <c r="L196" s="80">
        <v>15</v>
      </c>
      <c r="M196" s="80">
        <v>3</v>
      </c>
      <c r="N196" s="80">
        <v>18</v>
      </c>
      <c r="O196" s="70">
        <v>12</v>
      </c>
      <c r="P196" s="70">
        <v>3</v>
      </c>
    </row>
    <row r="197" spans="1:16" ht="11.15" customHeight="1">
      <c r="B197" s="129"/>
      <c r="I197" s="129"/>
      <c r="J197" s="129"/>
      <c r="K197" s="129"/>
    </row>
    <row r="198" spans="1:16" ht="11.15" customHeight="1">
      <c r="A198" s="357" t="s">
        <v>63</v>
      </c>
      <c r="B198" s="129" t="s">
        <v>301</v>
      </c>
      <c r="C198" s="1308">
        <f>C178-C191</f>
        <v>-9</v>
      </c>
      <c r="D198" s="1299">
        <f t="shared" ref="D198:P198" si="16">D178-D191</f>
        <v>15</v>
      </c>
      <c r="E198" s="1308">
        <f t="shared" si="16"/>
        <v>-3</v>
      </c>
      <c r="F198" s="1300">
        <f t="shared" si="16"/>
        <v>15</v>
      </c>
      <c r="G198" s="1300">
        <f t="shared" si="16"/>
        <v>6</v>
      </c>
      <c r="H198" s="1300">
        <f t="shared" si="16"/>
        <v>3</v>
      </c>
      <c r="I198" s="1300">
        <f t="shared" si="16"/>
        <v>6</v>
      </c>
      <c r="J198" s="1300">
        <f t="shared" si="16"/>
        <v>9</v>
      </c>
      <c r="K198" s="1301">
        <f t="shared" si="16"/>
        <v>0</v>
      </c>
      <c r="L198" s="1300">
        <f t="shared" si="16"/>
        <v>3</v>
      </c>
      <c r="M198" s="1308">
        <f t="shared" si="16"/>
        <v>-3</v>
      </c>
      <c r="N198" s="1300">
        <f t="shared" si="16"/>
        <v>3</v>
      </c>
      <c r="O198" s="1343">
        <f t="shared" si="16"/>
        <v>9</v>
      </c>
      <c r="P198" s="1343">
        <f t="shared" si="16"/>
        <v>9</v>
      </c>
    </row>
    <row r="199" spans="1:16" ht="11.15" customHeight="1">
      <c r="A199" s="357"/>
      <c r="B199" s="129" t="s">
        <v>97</v>
      </c>
      <c r="C199" s="1316">
        <f>C180-C192</f>
        <v>0</v>
      </c>
      <c r="D199" s="1301">
        <f t="shared" ref="D199:P199" si="17">D180-D192</f>
        <v>0</v>
      </c>
      <c r="E199" s="1316">
        <f t="shared" si="17"/>
        <v>0</v>
      </c>
      <c r="F199" s="1300">
        <f t="shared" si="17"/>
        <v>3</v>
      </c>
      <c r="G199" s="1301">
        <f t="shared" si="17"/>
        <v>0</v>
      </c>
      <c r="H199" s="1301">
        <f t="shared" si="17"/>
        <v>0</v>
      </c>
      <c r="I199" s="1308">
        <f t="shared" si="17"/>
        <v>-3</v>
      </c>
      <c r="J199" s="1301">
        <f t="shared" si="17"/>
        <v>0</v>
      </c>
      <c r="K199" s="1301">
        <f t="shared" si="17"/>
        <v>0</v>
      </c>
      <c r="L199" s="1301">
        <f t="shared" si="17"/>
        <v>0</v>
      </c>
      <c r="M199" s="1308">
        <f t="shared" si="17"/>
        <v>-3</v>
      </c>
      <c r="N199" s="1301">
        <f t="shared" si="17"/>
        <v>0</v>
      </c>
      <c r="O199" s="1343">
        <f t="shared" si="17"/>
        <v>3</v>
      </c>
      <c r="P199" s="1343">
        <f t="shared" si="17"/>
        <v>3</v>
      </c>
    </row>
    <row r="200" spans="1:16" ht="11.15" customHeight="1">
      <c r="A200" s="357"/>
      <c r="B200" s="129" t="s">
        <v>98</v>
      </c>
      <c r="C200" s="1308">
        <f t="shared" ref="C200:P200" si="18">C181-C193</f>
        <v>-6</v>
      </c>
      <c r="D200" s="1300">
        <f t="shared" si="18"/>
        <v>3</v>
      </c>
      <c r="E200" s="1308">
        <f t="shared" si="18"/>
        <v>-3</v>
      </c>
      <c r="F200" s="1300">
        <f t="shared" si="18"/>
        <v>6</v>
      </c>
      <c r="G200" s="1301">
        <f t="shared" si="18"/>
        <v>0</v>
      </c>
      <c r="H200" s="1301">
        <f t="shared" si="18"/>
        <v>0</v>
      </c>
      <c r="I200" s="1300">
        <f t="shared" si="18"/>
        <v>3</v>
      </c>
      <c r="J200" s="1300">
        <f t="shared" si="18"/>
        <v>3</v>
      </c>
      <c r="K200" s="1299">
        <f t="shared" si="18"/>
        <v>3</v>
      </c>
      <c r="L200" s="1299">
        <f t="shared" si="18"/>
        <v>3</v>
      </c>
      <c r="M200" s="1308">
        <f t="shared" si="18"/>
        <v>-3</v>
      </c>
      <c r="N200" s="1301">
        <f t="shared" si="18"/>
        <v>0</v>
      </c>
      <c r="O200" s="1343">
        <f t="shared" si="18"/>
        <v>3</v>
      </c>
      <c r="P200" s="1343">
        <f t="shared" si="18"/>
        <v>3</v>
      </c>
    </row>
    <row r="201" spans="1:16" ht="11.15" customHeight="1">
      <c r="B201" s="129" t="s">
        <v>99</v>
      </c>
      <c r="C201" s="1317">
        <f t="shared" ref="C201:P201" si="19">C182-C194</f>
        <v>-3</v>
      </c>
      <c r="D201" s="1317">
        <f t="shared" si="19"/>
        <v>-3</v>
      </c>
      <c r="E201" s="1317">
        <f t="shared" si="19"/>
        <v>-3</v>
      </c>
      <c r="F201" s="1307">
        <f t="shared" si="19"/>
        <v>6</v>
      </c>
      <c r="G201" s="1306">
        <f t="shared" si="19"/>
        <v>0</v>
      </c>
      <c r="H201" s="1306">
        <f t="shared" si="19"/>
        <v>0</v>
      </c>
      <c r="I201" s="1300">
        <f t="shared" si="19"/>
        <v>3</v>
      </c>
      <c r="J201" s="1301">
        <f t="shared" si="19"/>
        <v>0</v>
      </c>
      <c r="K201" s="1301">
        <f t="shared" si="19"/>
        <v>0</v>
      </c>
      <c r="L201" s="1306">
        <f t="shared" si="19"/>
        <v>0</v>
      </c>
      <c r="M201" s="1307">
        <f t="shared" si="19"/>
        <v>3</v>
      </c>
      <c r="N201" s="1307">
        <f t="shared" si="19"/>
        <v>3</v>
      </c>
      <c r="O201" s="1319">
        <f t="shared" si="19"/>
        <v>0</v>
      </c>
      <c r="P201" s="1318">
        <f t="shared" si="19"/>
        <v>6</v>
      </c>
    </row>
    <row r="202" spans="1:16" ht="11.15" customHeight="1">
      <c r="B202" s="129" t="s">
        <v>100</v>
      </c>
      <c r="C202" s="1306">
        <f t="shared" ref="C202:P202" si="20">C183-C195</f>
        <v>0</v>
      </c>
      <c r="D202" s="1307">
        <f t="shared" si="20"/>
        <v>6</v>
      </c>
      <c r="E202" s="1306">
        <f t="shared" si="20"/>
        <v>0</v>
      </c>
      <c r="F202" s="1307">
        <f t="shared" si="20"/>
        <v>3</v>
      </c>
      <c r="G202" s="1307">
        <f t="shared" si="20"/>
        <v>3</v>
      </c>
      <c r="H202" s="1307">
        <f t="shared" si="20"/>
        <v>3</v>
      </c>
      <c r="I202" s="1300">
        <f t="shared" si="20"/>
        <v>3</v>
      </c>
      <c r="J202" s="1300">
        <f t="shared" si="20"/>
        <v>3</v>
      </c>
      <c r="K202" s="1301">
        <f t="shared" si="20"/>
        <v>0</v>
      </c>
      <c r="L202" s="1307">
        <f t="shared" si="20"/>
        <v>3</v>
      </c>
      <c r="M202" s="1306">
        <f t="shared" si="20"/>
        <v>0</v>
      </c>
      <c r="N202" s="1306">
        <f t="shared" si="20"/>
        <v>0</v>
      </c>
      <c r="O202" s="1318">
        <f t="shared" si="20"/>
        <v>3</v>
      </c>
      <c r="P202" s="1319">
        <f t="shared" si="20"/>
        <v>0</v>
      </c>
    </row>
    <row r="203" spans="1:16" ht="11.15" customHeight="1">
      <c r="B203" s="129" t="s">
        <v>101</v>
      </c>
      <c r="C203" s="1306">
        <f t="shared" ref="C203:P203" si="21">C184-C196</f>
        <v>0</v>
      </c>
      <c r="D203" s="1307">
        <f t="shared" si="21"/>
        <v>9</v>
      </c>
      <c r="E203" s="1306">
        <f t="shared" si="21"/>
        <v>0</v>
      </c>
      <c r="F203" s="1306">
        <f t="shared" si="21"/>
        <v>0</v>
      </c>
      <c r="G203" s="1307">
        <f t="shared" si="21"/>
        <v>3</v>
      </c>
      <c r="H203" s="1306">
        <f t="shared" si="21"/>
        <v>0</v>
      </c>
      <c r="I203" s="1301">
        <f t="shared" si="21"/>
        <v>0</v>
      </c>
      <c r="J203" s="1300">
        <f t="shared" si="21"/>
        <v>3</v>
      </c>
      <c r="K203" s="1308">
        <f t="shared" si="21"/>
        <v>-3</v>
      </c>
      <c r="L203" s="1306">
        <f t="shared" si="21"/>
        <v>0</v>
      </c>
      <c r="M203" s="1306">
        <f t="shared" si="21"/>
        <v>0</v>
      </c>
      <c r="N203" s="1306">
        <f t="shared" si="21"/>
        <v>0</v>
      </c>
      <c r="O203" s="1318">
        <f t="shared" si="21"/>
        <v>3</v>
      </c>
      <c r="P203" s="1319">
        <f t="shared" si="21"/>
        <v>0</v>
      </c>
    </row>
    <row r="204" spans="1:16" ht="11.15" customHeight="1">
      <c r="I204" s="129"/>
      <c r="J204" s="129"/>
      <c r="K204" s="129"/>
    </row>
    <row r="205" spans="1:16" ht="11.15" customHeight="1">
      <c r="I205" s="129"/>
      <c r="J205" s="129"/>
      <c r="K205" s="129"/>
    </row>
    <row r="206" spans="1:16" ht="11.15" customHeight="1">
      <c r="I206" s="129"/>
      <c r="J206" s="129"/>
      <c r="K206" s="129"/>
    </row>
    <row r="207" spans="1:16" ht="11.15" customHeight="1">
      <c r="I207" s="129"/>
      <c r="J207" s="129"/>
      <c r="K207" s="129"/>
    </row>
    <row r="208" spans="1:16" ht="11.15" customHeight="1">
      <c r="I208" s="129"/>
      <c r="J208" s="129"/>
      <c r="K208" s="129"/>
    </row>
    <row r="209" spans="9:11" ht="11.15" customHeight="1">
      <c r="I209" s="129"/>
      <c r="J209" s="129"/>
      <c r="K209" s="129"/>
    </row>
    <row r="210" spans="9:11" ht="11.15" customHeight="1">
      <c r="I210" s="129"/>
      <c r="J210" s="129"/>
      <c r="K210" s="129"/>
    </row>
    <row r="211" spans="9:11" ht="11.15" customHeight="1">
      <c r="I211" s="129"/>
      <c r="J211" s="129"/>
      <c r="K211" s="129"/>
    </row>
    <row r="212" spans="9:11" ht="11.15" customHeight="1">
      <c r="I212" s="129"/>
      <c r="J212" s="129"/>
      <c r="K212" s="129"/>
    </row>
    <row r="213" spans="9:11" ht="11.15" customHeight="1">
      <c r="I213" s="129"/>
      <c r="J213" s="129"/>
      <c r="K213" s="129"/>
    </row>
    <row r="214" spans="9:11" ht="11.15" customHeight="1">
      <c r="I214" s="129"/>
      <c r="J214" s="129"/>
      <c r="K214" s="129"/>
    </row>
    <row r="215" spans="9:11" ht="11.15" customHeight="1">
      <c r="I215" s="129"/>
      <c r="J215" s="129"/>
      <c r="K215" s="129"/>
    </row>
    <row r="216" spans="9:11" ht="11.15" customHeight="1">
      <c r="I216" s="129"/>
      <c r="J216" s="129"/>
      <c r="K216" s="129"/>
    </row>
    <row r="217" spans="9:11" ht="11.15" customHeight="1">
      <c r="I217" s="129"/>
      <c r="J217" s="129"/>
      <c r="K217" s="129"/>
    </row>
    <row r="218" spans="9:11" ht="11.15" customHeight="1">
      <c r="I218" s="129"/>
      <c r="J218" s="129"/>
      <c r="K218" s="129"/>
    </row>
    <row r="219" spans="9:11" ht="11.15" customHeight="1">
      <c r="I219" s="129"/>
      <c r="J219" s="129"/>
      <c r="K219" s="129"/>
    </row>
    <row r="220" spans="9:11" ht="11.15" customHeight="1">
      <c r="I220" s="129"/>
      <c r="J220" s="129"/>
      <c r="K220" s="129"/>
    </row>
    <row r="221" spans="9:11" ht="11.15" customHeight="1">
      <c r="I221" s="129"/>
      <c r="J221" s="129"/>
      <c r="K221" s="129"/>
    </row>
    <row r="222" spans="9:11" ht="11.15" customHeight="1">
      <c r="I222" s="129"/>
      <c r="J222" s="129"/>
      <c r="K222" s="129"/>
    </row>
    <row r="223" spans="9:11" ht="11.15" customHeight="1">
      <c r="I223" s="129"/>
      <c r="J223" s="129"/>
      <c r="K223" s="129"/>
    </row>
    <row r="224" spans="9:11" ht="11.15" customHeight="1">
      <c r="I224" s="129"/>
      <c r="J224" s="129"/>
      <c r="K224" s="129"/>
    </row>
    <row r="225" spans="9:11" ht="11.15" customHeight="1">
      <c r="I225" s="129"/>
      <c r="J225" s="129"/>
      <c r="K225" s="129"/>
    </row>
    <row r="226" spans="9:11" ht="11.15" customHeight="1">
      <c r="I226" s="129"/>
      <c r="J226" s="129"/>
      <c r="K226" s="129"/>
    </row>
    <row r="227" spans="9:11" ht="11.15" customHeight="1">
      <c r="I227" s="129"/>
      <c r="J227" s="129"/>
      <c r="K227" s="129"/>
    </row>
    <row r="228" spans="9:11" ht="11.15" customHeight="1">
      <c r="I228" s="129"/>
      <c r="J228" s="129"/>
      <c r="K228" s="129"/>
    </row>
    <row r="229" spans="9:11" ht="11.15" customHeight="1">
      <c r="I229" s="129"/>
      <c r="J229" s="129"/>
      <c r="K229" s="129"/>
    </row>
    <row r="230" spans="9:11" ht="11.15" customHeight="1">
      <c r="I230" s="129"/>
      <c r="J230" s="129"/>
      <c r="K230" s="129"/>
    </row>
    <row r="231" spans="9:11" ht="11.15" customHeight="1">
      <c r="I231" s="129"/>
      <c r="J231" s="129"/>
      <c r="K231" s="129"/>
    </row>
    <row r="232" spans="9:11" ht="11.15" customHeight="1">
      <c r="I232" s="129"/>
      <c r="J232" s="129"/>
      <c r="K232" s="129"/>
    </row>
    <row r="233" spans="9:11" ht="11.15" customHeight="1">
      <c r="I233" s="129"/>
      <c r="J233" s="129"/>
      <c r="K233" s="129"/>
    </row>
    <row r="234" spans="9:11" ht="11.15" customHeight="1">
      <c r="I234" s="129"/>
      <c r="J234" s="129"/>
      <c r="K234" s="129"/>
    </row>
    <row r="235" spans="9:11" ht="11.15" customHeight="1">
      <c r="I235" s="129"/>
      <c r="J235" s="129"/>
      <c r="K235" s="129"/>
    </row>
    <row r="236" spans="9:11" ht="11.15" customHeight="1">
      <c r="I236" s="129"/>
      <c r="J236" s="129"/>
      <c r="K236" s="129"/>
    </row>
    <row r="237" spans="9:11" ht="11.15" customHeight="1">
      <c r="I237" s="129"/>
      <c r="J237" s="129"/>
      <c r="K237" s="129"/>
    </row>
    <row r="238" spans="9:11" ht="11.15" customHeight="1">
      <c r="I238" s="129"/>
      <c r="J238" s="129"/>
      <c r="K238" s="129"/>
    </row>
    <row r="239" spans="9:11" ht="11.15" customHeight="1">
      <c r="I239" s="129"/>
      <c r="J239" s="129"/>
      <c r="K239" s="129"/>
    </row>
    <row r="240" spans="9:11" ht="11.15" customHeight="1">
      <c r="I240" s="129"/>
      <c r="J240" s="129"/>
      <c r="K240" s="129"/>
    </row>
    <row r="241" spans="9:11" ht="11.15" customHeight="1">
      <c r="I241" s="129"/>
      <c r="J241" s="129"/>
      <c r="K241" s="129"/>
    </row>
    <row r="242" spans="9:11" ht="11.15" customHeight="1">
      <c r="I242" s="129"/>
      <c r="J242" s="129"/>
      <c r="K242" s="129"/>
    </row>
    <row r="243" spans="9:11" ht="11.15" customHeight="1">
      <c r="I243" s="129"/>
      <c r="J243" s="129"/>
      <c r="K243" s="129"/>
    </row>
    <row r="244" spans="9:11" ht="11.15" customHeight="1">
      <c r="I244" s="129"/>
      <c r="J244" s="129"/>
      <c r="K244" s="129"/>
    </row>
    <row r="245" spans="9:11" ht="11.15" customHeight="1">
      <c r="I245" s="129"/>
      <c r="J245" s="129"/>
      <c r="K245" s="129"/>
    </row>
    <row r="246" spans="9:11" ht="11.15" customHeight="1">
      <c r="I246" s="129"/>
      <c r="J246" s="129"/>
      <c r="K246" s="129"/>
    </row>
    <row r="247" spans="9:11" ht="11.15" customHeight="1">
      <c r="I247" s="129"/>
      <c r="J247" s="129"/>
      <c r="K247" s="129"/>
    </row>
    <row r="248" spans="9:11" ht="11.15" customHeight="1">
      <c r="I248" s="129"/>
      <c r="J248" s="129"/>
      <c r="K248" s="129"/>
    </row>
    <row r="249" spans="9:11" ht="11.15" customHeight="1">
      <c r="I249" s="129"/>
      <c r="J249" s="129"/>
      <c r="K249" s="129"/>
    </row>
    <row r="250" spans="9:11" ht="11.15" customHeight="1">
      <c r="I250" s="129"/>
      <c r="J250" s="129"/>
      <c r="K250" s="129"/>
    </row>
    <row r="251" spans="9:11" ht="11.15" customHeight="1">
      <c r="I251" s="129"/>
      <c r="J251" s="129"/>
      <c r="K251" s="129"/>
    </row>
    <row r="252" spans="9:11" ht="11.15" customHeight="1">
      <c r="I252" s="129"/>
      <c r="J252" s="129"/>
      <c r="K252" s="129"/>
    </row>
    <row r="253" spans="9:11" ht="11.15" customHeight="1">
      <c r="I253" s="129"/>
      <c r="J253" s="129"/>
      <c r="K253" s="129"/>
    </row>
    <row r="254" spans="9:11" ht="11.15" customHeight="1">
      <c r="I254" s="129"/>
      <c r="J254" s="129"/>
      <c r="K254" s="129"/>
    </row>
    <row r="255" spans="9:11" ht="11.15" customHeight="1">
      <c r="I255" s="129"/>
      <c r="J255" s="129"/>
      <c r="K255" s="129"/>
    </row>
    <row r="256" spans="9:11" ht="11.15" customHeight="1">
      <c r="I256" s="129"/>
      <c r="J256" s="129"/>
      <c r="K256" s="129"/>
    </row>
    <row r="257" spans="9:11" ht="11.15" customHeight="1">
      <c r="I257" s="129"/>
      <c r="J257" s="129"/>
      <c r="K257" s="129"/>
    </row>
    <row r="258" spans="9:11" ht="11.15" customHeight="1">
      <c r="I258" s="129"/>
      <c r="J258" s="129"/>
      <c r="K258" s="129"/>
    </row>
    <row r="259" spans="9:11" ht="11.15" customHeight="1">
      <c r="I259" s="129"/>
      <c r="J259" s="129"/>
      <c r="K259" s="129"/>
    </row>
    <row r="260" spans="9:11" ht="11.15" customHeight="1">
      <c r="I260" s="129"/>
      <c r="J260" s="129"/>
      <c r="K260" s="129"/>
    </row>
    <row r="261" spans="9:11" ht="11.15" customHeight="1">
      <c r="I261" s="129"/>
      <c r="J261" s="129"/>
      <c r="K261" s="129"/>
    </row>
    <row r="262" spans="9:11" ht="11.15" customHeight="1">
      <c r="I262" s="129"/>
      <c r="J262" s="129"/>
      <c r="K262" s="129"/>
    </row>
    <row r="263" spans="9:11" ht="11.15" customHeight="1">
      <c r="I263" s="129"/>
      <c r="J263" s="129"/>
      <c r="K263" s="129"/>
    </row>
    <row r="264" spans="9:11" ht="11.15" customHeight="1">
      <c r="I264" s="129"/>
      <c r="J264" s="129"/>
      <c r="K264" s="129"/>
    </row>
    <row r="265" spans="9:11" ht="11.15" customHeight="1">
      <c r="I265" s="129"/>
      <c r="J265" s="129"/>
      <c r="K265" s="129"/>
    </row>
    <row r="266" spans="9:11" ht="11.15" customHeight="1">
      <c r="I266" s="129"/>
      <c r="J266" s="129"/>
      <c r="K266" s="129"/>
    </row>
    <row r="267" spans="9:11" ht="11.15" customHeight="1">
      <c r="I267" s="129"/>
      <c r="J267" s="129"/>
      <c r="K267" s="129"/>
    </row>
    <row r="268" spans="9:11" ht="11.15" customHeight="1">
      <c r="I268" s="129"/>
      <c r="J268" s="129"/>
      <c r="K268" s="129"/>
    </row>
    <row r="269" spans="9:11" ht="11.15" customHeight="1">
      <c r="I269" s="129"/>
      <c r="J269" s="129"/>
      <c r="K269" s="129"/>
    </row>
    <row r="270" spans="9:11" ht="11.15" customHeight="1">
      <c r="I270" s="129"/>
      <c r="J270" s="129"/>
      <c r="K270" s="129"/>
    </row>
    <row r="271" spans="9:11" ht="11.15" customHeight="1">
      <c r="I271" s="129"/>
      <c r="J271" s="129"/>
      <c r="K271" s="129"/>
    </row>
    <row r="272" spans="9:11" ht="11.15" customHeight="1">
      <c r="I272" s="129"/>
      <c r="J272" s="129"/>
      <c r="K272" s="129"/>
    </row>
    <row r="273" spans="9:11" ht="11.15" customHeight="1">
      <c r="I273" s="129"/>
      <c r="J273" s="129"/>
      <c r="K273" s="129"/>
    </row>
    <row r="274" spans="9:11" ht="11.15" customHeight="1">
      <c r="I274" s="129"/>
      <c r="J274" s="129"/>
      <c r="K274" s="129"/>
    </row>
    <row r="275" spans="9:11" ht="11.15" customHeight="1">
      <c r="I275" s="129"/>
      <c r="J275" s="129"/>
      <c r="K275" s="129"/>
    </row>
    <row r="276" spans="9:11" ht="11.15" customHeight="1">
      <c r="I276" s="129"/>
      <c r="J276" s="129"/>
      <c r="K276" s="129"/>
    </row>
    <row r="277" spans="9:11" ht="11.15" customHeight="1">
      <c r="I277" s="129"/>
      <c r="J277" s="129"/>
      <c r="K277" s="129"/>
    </row>
    <row r="278" spans="9:11" ht="11.15" customHeight="1">
      <c r="I278" s="129"/>
      <c r="J278" s="129"/>
      <c r="K278" s="129"/>
    </row>
    <row r="279" spans="9:11" ht="11.15" customHeight="1">
      <c r="I279" s="129"/>
      <c r="J279" s="129"/>
      <c r="K279" s="129"/>
    </row>
    <row r="280" spans="9:11" ht="11.15" customHeight="1">
      <c r="I280" s="129"/>
      <c r="J280" s="129"/>
      <c r="K280" s="129"/>
    </row>
    <row r="281" spans="9:11" ht="11.15" customHeight="1">
      <c r="I281" s="129"/>
      <c r="J281" s="129"/>
      <c r="K281" s="129"/>
    </row>
    <row r="282" spans="9:11" ht="11.15" customHeight="1">
      <c r="I282" s="129"/>
      <c r="J282" s="129"/>
      <c r="K282" s="129"/>
    </row>
    <row r="283" spans="9:11" ht="11.15" customHeight="1">
      <c r="I283" s="129"/>
      <c r="J283" s="129"/>
      <c r="K283" s="129"/>
    </row>
    <row r="284" spans="9:11" ht="11.15" customHeight="1">
      <c r="I284" s="129"/>
      <c r="J284" s="129"/>
      <c r="K284" s="129"/>
    </row>
    <row r="285" spans="9:11" ht="11.15" customHeight="1">
      <c r="I285" s="129"/>
      <c r="J285" s="129"/>
      <c r="K285" s="129"/>
    </row>
    <row r="286" spans="9:11" ht="11.15" customHeight="1">
      <c r="I286" s="129"/>
      <c r="J286" s="129"/>
      <c r="K286" s="129"/>
    </row>
    <row r="287" spans="9:11" ht="11.15" customHeight="1">
      <c r="I287" s="129"/>
      <c r="J287" s="129"/>
      <c r="K287" s="129"/>
    </row>
    <row r="288" spans="9:11" ht="11.15" customHeight="1">
      <c r="I288" s="129"/>
      <c r="J288" s="129"/>
      <c r="K288" s="129"/>
    </row>
    <row r="289" spans="9:11" ht="11.15" customHeight="1">
      <c r="I289" s="129"/>
      <c r="J289" s="129"/>
      <c r="K289" s="129"/>
    </row>
    <row r="290" spans="9:11" ht="11.15" customHeight="1">
      <c r="I290" s="129"/>
      <c r="J290" s="129"/>
      <c r="K290" s="129"/>
    </row>
    <row r="291" spans="9:11" ht="11.15" customHeight="1">
      <c r="I291" s="129"/>
      <c r="J291" s="129"/>
      <c r="K291" s="129"/>
    </row>
    <row r="292" spans="9:11" ht="11.15" customHeight="1">
      <c r="I292" s="129"/>
      <c r="J292" s="129"/>
      <c r="K292" s="129"/>
    </row>
    <row r="293" spans="9:11" ht="11.15" customHeight="1">
      <c r="I293" s="129"/>
      <c r="J293" s="129"/>
      <c r="K293" s="129"/>
    </row>
    <row r="294" spans="9:11" ht="11.15" customHeight="1">
      <c r="I294" s="129"/>
      <c r="J294" s="129"/>
      <c r="K294" s="129"/>
    </row>
    <row r="295" spans="9:11" ht="11.15" customHeight="1">
      <c r="I295" s="129"/>
      <c r="J295" s="129"/>
      <c r="K295" s="129"/>
    </row>
    <row r="296" spans="9:11" ht="11.15" customHeight="1">
      <c r="I296" s="129"/>
      <c r="J296" s="129"/>
      <c r="K296" s="129"/>
    </row>
    <row r="297" spans="9:11" ht="11.15" customHeight="1">
      <c r="I297" s="129"/>
      <c r="J297" s="129"/>
      <c r="K297" s="129"/>
    </row>
    <row r="298" spans="9:11" ht="11.15" customHeight="1">
      <c r="I298" s="129"/>
      <c r="J298" s="129"/>
      <c r="K298" s="129"/>
    </row>
    <row r="299" spans="9:11" ht="11.15" customHeight="1">
      <c r="I299" s="129"/>
      <c r="J299" s="129"/>
      <c r="K299" s="129"/>
    </row>
    <row r="300" spans="9:11" ht="11.15" customHeight="1">
      <c r="I300" s="129"/>
      <c r="J300" s="129"/>
      <c r="K300" s="129"/>
    </row>
    <row r="301" spans="9:11" ht="11.15" customHeight="1">
      <c r="I301" s="129"/>
      <c r="J301" s="129"/>
      <c r="K301" s="129"/>
    </row>
    <row r="302" spans="9:11" ht="11.15" customHeight="1">
      <c r="I302" s="129"/>
      <c r="J302" s="129"/>
      <c r="K302" s="129"/>
    </row>
    <row r="303" spans="9:11" ht="11.15" customHeight="1">
      <c r="I303" s="129"/>
      <c r="J303" s="129"/>
      <c r="K303" s="129"/>
    </row>
    <row r="304" spans="9:11" ht="11.15" customHeight="1">
      <c r="I304" s="129"/>
      <c r="J304" s="129"/>
      <c r="K304" s="129"/>
    </row>
    <row r="305" spans="9:11" ht="11.15" customHeight="1">
      <c r="I305" s="129"/>
      <c r="J305" s="129"/>
      <c r="K305" s="129"/>
    </row>
    <row r="306" spans="9:11" ht="11.15" customHeight="1">
      <c r="I306" s="129"/>
      <c r="J306" s="129"/>
      <c r="K306" s="129"/>
    </row>
    <row r="307" spans="9:11" ht="11.15" customHeight="1">
      <c r="I307" s="129"/>
      <c r="J307" s="129"/>
      <c r="K307" s="129"/>
    </row>
    <row r="308" spans="9:11" ht="11.15" customHeight="1">
      <c r="I308" s="129"/>
      <c r="J308" s="129"/>
      <c r="K308" s="129"/>
    </row>
    <row r="309" spans="9:11" ht="11.15" customHeight="1">
      <c r="I309" s="129"/>
      <c r="J309" s="129"/>
      <c r="K309" s="129"/>
    </row>
    <row r="310" spans="9:11" ht="11.15" customHeight="1">
      <c r="I310" s="129"/>
      <c r="J310" s="129"/>
      <c r="K310" s="129"/>
    </row>
    <row r="311" spans="9:11" ht="11.15" customHeight="1">
      <c r="I311" s="129"/>
      <c r="J311" s="129"/>
      <c r="K311" s="129"/>
    </row>
    <row r="312" spans="9:11" ht="11.15" customHeight="1">
      <c r="I312" s="129"/>
      <c r="J312" s="129"/>
      <c r="K312" s="129"/>
    </row>
    <row r="313" spans="9:11" ht="11.15" customHeight="1">
      <c r="I313" s="129"/>
      <c r="J313" s="129"/>
      <c r="K313" s="129"/>
    </row>
    <row r="314" spans="9:11" ht="11.15" customHeight="1">
      <c r="I314" s="129"/>
      <c r="J314" s="129"/>
      <c r="K314" s="129"/>
    </row>
    <row r="315" spans="9:11" ht="11.15" customHeight="1">
      <c r="I315" s="129"/>
      <c r="J315" s="129"/>
      <c r="K315" s="129"/>
    </row>
    <row r="316" spans="9:11" ht="11.15" customHeight="1">
      <c r="I316" s="129"/>
      <c r="J316" s="129"/>
      <c r="K316" s="129"/>
    </row>
    <row r="317" spans="9:11" ht="11.15" customHeight="1">
      <c r="I317" s="129"/>
      <c r="J317" s="129"/>
      <c r="K317" s="129"/>
    </row>
    <row r="318" spans="9:11" ht="11.15" customHeight="1">
      <c r="I318" s="129"/>
      <c r="J318" s="129"/>
      <c r="K318" s="129"/>
    </row>
    <row r="319" spans="9:11" ht="11.15" customHeight="1">
      <c r="I319" s="129"/>
      <c r="J319" s="129"/>
      <c r="K319" s="129"/>
    </row>
    <row r="320" spans="9:11" ht="11.15" customHeight="1">
      <c r="I320" s="129"/>
      <c r="J320" s="129"/>
      <c r="K320" s="129"/>
    </row>
    <row r="321" spans="9:11" ht="11.15" customHeight="1">
      <c r="I321" s="129"/>
      <c r="J321" s="129"/>
      <c r="K321" s="129"/>
    </row>
    <row r="322" spans="9:11" ht="11.15" customHeight="1">
      <c r="I322" s="129"/>
      <c r="J322" s="129"/>
      <c r="K322" s="129"/>
    </row>
    <row r="323" spans="9:11" ht="11.15" customHeight="1">
      <c r="I323" s="129"/>
      <c r="J323" s="129"/>
      <c r="K323" s="129"/>
    </row>
    <row r="324" spans="9:11" ht="11.15" customHeight="1">
      <c r="I324" s="129"/>
      <c r="J324" s="129"/>
      <c r="K324" s="129"/>
    </row>
    <row r="325" spans="9:11" ht="11.15" customHeight="1">
      <c r="I325" s="129"/>
      <c r="J325" s="129"/>
      <c r="K325" s="129"/>
    </row>
    <row r="326" spans="9:11" ht="11.15" customHeight="1">
      <c r="I326" s="129"/>
      <c r="J326" s="129"/>
      <c r="K326" s="129"/>
    </row>
    <row r="327" spans="9:11" ht="11.15" customHeight="1">
      <c r="I327" s="129"/>
      <c r="J327" s="129"/>
      <c r="K327" s="129"/>
    </row>
    <row r="328" spans="9:11" ht="11.15" customHeight="1">
      <c r="I328" s="129"/>
      <c r="J328" s="129"/>
      <c r="K328" s="129"/>
    </row>
    <row r="329" spans="9:11" ht="11.15" customHeight="1">
      <c r="I329" s="129"/>
      <c r="J329" s="129"/>
      <c r="K329" s="129"/>
    </row>
    <row r="330" spans="9:11" ht="11.15" customHeight="1">
      <c r="I330" s="129"/>
      <c r="J330" s="129"/>
      <c r="K330" s="129"/>
    </row>
    <row r="331" spans="9:11" ht="11.15" customHeight="1">
      <c r="I331" s="129"/>
      <c r="J331" s="129"/>
      <c r="K331" s="129"/>
    </row>
    <row r="332" spans="9:11" ht="11.15" customHeight="1">
      <c r="I332" s="129"/>
      <c r="J332" s="129"/>
      <c r="K332" s="129"/>
    </row>
    <row r="333" spans="9:11" ht="11.15" customHeight="1">
      <c r="I333" s="129"/>
      <c r="J333" s="129"/>
      <c r="K333" s="129"/>
    </row>
    <row r="334" spans="9:11" ht="11.15" customHeight="1">
      <c r="I334" s="129"/>
      <c r="J334" s="129"/>
      <c r="K334" s="129"/>
    </row>
    <row r="335" spans="9:11" ht="11.15" customHeight="1">
      <c r="I335" s="129"/>
      <c r="J335" s="129"/>
      <c r="K335" s="129"/>
    </row>
    <row r="336" spans="9:11" ht="11.15" customHeight="1">
      <c r="I336" s="129"/>
      <c r="J336" s="129"/>
      <c r="K336" s="129"/>
    </row>
    <row r="337" spans="9:11" ht="11.15" customHeight="1">
      <c r="I337" s="129"/>
      <c r="J337" s="129"/>
      <c r="K337" s="129"/>
    </row>
    <row r="338" spans="9:11" ht="11.15" customHeight="1">
      <c r="I338" s="129"/>
      <c r="J338" s="129"/>
      <c r="K338" s="129"/>
    </row>
    <row r="339" spans="9:11" ht="11.15" customHeight="1">
      <c r="I339" s="129"/>
      <c r="J339" s="129"/>
      <c r="K339" s="129"/>
    </row>
    <row r="340" spans="9:11" ht="11.15" customHeight="1">
      <c r="I340" s="129"/>
      <c r="J340" s="129"/>
      <c r="K340" s="129"/>
    </row>
    <row r="341" spans="9:11" ht="11.15" customHeight="1">
      <c r="I341" s="129"/>
      <c r="J341" s="129"/>
      <c r="K341" s="129"/>
    </row>
    <row r="342" spans="9:11" ht="11.15" customHeight="1">
      <c r="I342" s="129"/>
      <c r="J342" s="129"/>
      <c r="K342" s="129"/>
    </row>
    <row r="343" spans="9:11" ht="11.15" customHeight="1">
      <c r="I343" s="129"/>
      <c r="J343" s="129"/>
      <c r="K343" s="129"/>
    </row>
    <row r="344" spans="9:11" ht="11.15" customHeight="1">
      <c r="I344" s="129"/>
      <c r="J344" s="129"/>
      <c r="K344" s="129"/>
    </row>
    <row r="345" spans="9:11" ht="11.15" customHeight="1">
      <c r="I345" s="129"/>
      <c r="J345" s="129"/>
      <c r="K345" s="129"/>
    </row>
    <row r="346" spans="9:11" ht="11.15" customHeight="1">
      <c r="I346" s="129"/>
      <c r="J346" s="129"/>
      <c r="K346" s="129"/>
    </row>
    <row r="347" spans="9:11" ht="11.15" customHeight="1">
      <c r="I347" s="129"/>
      <c r="J347" s="129"/>
      <c r="K347" s="129"/>
    </row>
    <row r="348" spans="9:11" ht="11.15" customHeight="1">
      <c r="I348" s="129"/>
      <c r="J348" s="129"/>
      <c r="K348" s="129"/>
    </row>
    <row r="349" spans="9:11" ht="11.15" customHeight="1">
      <c r="I349" s="129"/>
      <c r="J349" s="129"/>
      <c r="K349" s="129"/>
    </row>
    <row r="350" spans="9:11" ht="11.15" customHeight="1">
      <c r="I350" s="129"/>
      <c r="J350" s="129"/>
      <c r="K350" s="129"/>
    </row>
    <row r="351" spans="9:11" ht="11.15" customHeight="1">
      <c r="I351" s="129"/>
      <c r="J351" s="129"/>
      <c r="K351" s="129"/>
    </row>
    <row r="352" spans="9:11" ht="11.15" customHeight="1">
      <c r="I352" s="129"/>
      <c r="J352" s="129"/>
      <c r="K352" s="129"/>
    </row>
    <row r="353" spans="9:11" ht="11.15" customHeight="1">
      <c r="I353" s="129"/>
      <c r="J353" s="129"/>
      <c r="K353" s="129"/>
    </row>
    <row r="354" spans="9:11" ht="11.15" customHeight="1">
      <c r="I354" s="129"/>
      <c r="J354" s="129"/>
      <c r="K354" s="129"/>
    </row>
    <row r="355" spans="9:11" ht="11.15" customHeight="1">
      <c r="I355" s="129"/>
      <c r="J355" s="129"/>
      <c r="K355" s="129"/>
    </row>
    <row r="356" spans="9:11" ht="11.15" customHeight="1">
      <c r="I356" s="129"/>
      <c r="J356" s="129"/>
      <c r="K356" s="129"/>
    </row>
    <row r="357" spans="9:11" ht="11.15" customHeight="1">
      <c r="I357" s="129"/>
      <c r="J357" s="129"/>
      <c r="K357" s="129"/>
    </row>
    <row r="358" spans="9:11" ht="11.15" customHeight="1">
      <c r="I358" s="129"/>
      <c r="J358" s="129"/>
      <c r="K358" s="129"/>
    </row>
    <row r="359" spans="9:11" ht="11.15" customHeight="1">
      <c r="I359" s="129"/>
      <c r="J359" s="129"/>
      <c r="K359" s="129"/>
    </row>
    <row r="360" spans="9:11" ht="11.15" customHeight="1">
      <c r="I360" s="129"/>
      <c r="J360" s="129"/>
      <c r="K360" s="129"/>
    </row>
    <row r="361" spans="9:11" ht="11.15" customHeight="1">
      <c r="I361" s="129"/>
      <c r="J361" s="129"/>
      <c r="K361" s="129"/>
    </row>
    <row r="362" spans="9:11" ht="11.15" customHeight="1">
      <c r="I362" s="129"/>
      <c r="J362" s="129"/>
      <c r="K362" s="129"/>
    </row>
    <row r="363" spans="9:11" ht="11.15" customHeight="1">
      <c r="I363" s="129"/>
      <c r="J363" s="129"/>
      <c r="K363" s="129"/>
    </row>
    <row r="364" spans="9:11" ht="11.15" customHeight="1">
      <c r="I364" s="129"/>
      <c r="J364" s="129"/>
      <c r="K364" s="129"/>
    </row>
    <row r="365" spans="9:11" ht="11.15" customHeight="1">
      <c r="I365" s="129"/>
      <c r="J365" s="129"/>
      <c r="K365" s="129"/>
    </row>
    <row r="366" spans="9:11" ht="11.15" customHeight="1">
      <c r="I366" s="129"/>
      <c r="J366" s="129"/>
      <c r="K366" s="129"/>
    </row>
    <row r="367" spans="9:11" ht="11.15" customHeight="1">
      <c r="I367" s="129"/>
      <c r="J367" s="129"/>
      <c r="K367" s="129"/>
    </row>
    <row r="368" spans="9:11" ht="11.15" customHeight="1">
      <c r="I368" s="129"/>
      <c r="J368" s="129"/>
      <c r="K368" s="129"/>
    </row>
    <row r="369" spans="9:11" ht="11.15" customHeight="1">
      <c r="I369" s="129"/>
      <c r="J369" s="129"/>
      <c r="K369" s="129"/>
    </row>
    <row r="370" spans="9:11" ht="11.15" customHeight="1">
      <c r="I370" s="129"/>
      <c r="J370" s="129"/>
      <c r="K370" s="129"/>
    </row>
    <row r="371" spans="9:11" ht="11.15" customHeight="1">
      <c r="I371" s="129"/>
      <c r="J371" s="129"/>
      <c r="K371" s="129"/>
    </row>
    <row r="372" spans="9:11" ht="11.15" customHeight="1">
      <c r="I372" s="129"/>
      <c r="J372" s="129"/>
      <c r="K372" s="129"/>
    </row>
    <row r="373" spans="9:11" ht="11.15" customHeight="1">
      <c r="I373" s="129"/>
      <c r="J373" s="129"/>
      <c r="K373" s="129"/>
    </row>
    <row r="374" spans="9:11" ht="11.15" customHeight="1">
      <c r="I374" s="129"/>
      <c r="J374" s="129"/>
      <c r="K374" s="129"/>
    </row>
    <row r="375" spans="9:11" ht="11.15" customHeight="1">
      <c r="I375" s="129"/>
      <c r="J375" s="129"/>
      <c r="K375" s="129"/>
    </row>
    <row r="376" spans="9:11" ht="11.15" customHeight="1">
      <c r="I376" s="129"/>
      <c r="J376" s="129"/>
      <c r="K376" s="129"/>
    </row>
    <row r="377" spans="9:11" ht="11.15" customHeight="1">
      <c r="I377" s="129"/>
      <c r="J377" s="129"/>
      <c r="K377" s="129"/>
    </row>
    <row r="378" spans="9:11" ht="11.15" customHeight="1">
      <c r="I378" s="129"/>
      <c r="J378" s="129"/>
      <c r="K378" s="129"/>
    </row>
    <row r="379" spans="9:11" ht="11.15" customHeight="1">
      <c r="I379" s="129"/>
      <c r="J379" s="129"/>
      <c r="K379" s="129"/>
    </row>
    <row r="380" spans="9:11" ht="11.15" customHeight="1">
      <c r="I380" s="129"/>
      <c r="J380" s="129"/>
      <c r="K380" s="129"/>
    </row>
    <row r="381" spans="9:11" ht="11.15" customHeight="1">
      <c r="I381" s="129"/>
      <c r="J381" s="129"/>
      <c r="K381" s="129"/>
    </row>
    <row r="382" spans="9:11" ht="11.15" customHeight="1">
      <c r="I382" s="129"/>
      <c r="J382" s="129"/>
      <c r="K382" s="129"/>
    </row>
    <row r="383" spans="9:11" ht="11.15" customHeight="1">
      <c r="I383" s="129"/>
      <c r="J383" s="129"/>
      <c r="K383" s="129"/>
    </row>
    <row r="384" spans="9:11" ht="11.15" customHeight="1">
      <c r="I384" s="129"/>
      <c r="J384" s="129"/>
      <c r="K384" s="129"/>
    </row>
    <row r="385" spans="9:11" ht="11.15" customHeight="1">
      <c r="I385" s="129"/>
      <c r="J385" s="129"/>
      <c r="K385" s="129"/>
    </row>
    <row r="386" spans="9:11" ht="11.15" customHeight="1">
      <c r="I386" s="129"/>
      <c r="J386" s="129"/>
      <c r="K386" s="129"/>
    </row>
    <row r="387" spans="9:11" ht="11.15" customHeight="1">
      <c r="I387" s="129"/>
      <c r="J387" s="129"/>
      <c r="K387" s="129"/>
    </row>
    <row r="388" spans="9:11" ht="11.15" customHeight="1">
      <c r="I388" s="129"/>
      <c r="J388" s="129"/>
      <c r="K388" s="129"/>
    </row>
    <row r="389" spans="9:11" ht="11.15" customHeight="1">
      <c r="I389" s="129"/>
      <c r="J389" s="129"/>
      <c r="K389" s="129"/>
    </row>
  </sheetData>
  <mergeCells count="37">
    <mergeCell ref="A5:P5"/>
    <mergeCell ref="A7:A12"/>
    <mergeCell ref="A58:A64"/>
    <mergeCell ref="A110:A116"/>
    <mergeCell ref="A162:A168"/>
    <mergeCell ref="B6:G6"/>
    <mergeCell ref="K7:P7"/>
    <mergeCell ref="A14:A20"/>
    <mergeCell ref="A22:A28"/>
    <mergeCell ref="A30:A36"/>
    <mergeCell ref="A38:A44"/>
    <mergeCell ref="A46:A52"/>
    <mergeCell ref="C58:H59"/>
    <mergeCell ref="B58:B59"/>
    <mergeCell ref="I58:I59"/>
    <mergeCell ref="J58:J59"/>
    <mergeCell ref="K58:P59"/>
    <mergeCell ref="A66:A72"/>
    <mergeCell ref="A74:A80"/>
    <mergeCell ref="A82:A88"/>
    <mergeCell ref="A90:A96"/>
    <mergeCell ref="A97:A104"/>
    <mergeCell ref="A118:A124"/>
    <mergeCell ref="A126:A132"/>
    <mergeCell ref="A134:A140"/>
    <mergeCell ref="A142:A148"/>
    <mergeCell ref="A150:A156"/>
    <mergeCell ref="C110:H111"/>
    <mergeCell ref="K110:P111"/>
    <mergeCell ref="I110:I111"/>
    <mergeCell ref="J110:J111"/>
    <mergeCell ref="A178:A184"/>
    <mergeCell ref="C162:H163"/>
    <mergeCell ref="K162:P163"/>
    <mergeCell ref="I162:I163"/>
    <mergeCell ref="J162:J163"/>
    <mergeCell ref="A170:A176"/>
  </mergeCells>
  <printOptions horizontalCentered="1"/>
  <pageMargins left="0.19685039370078741" right="0.19685039370078741" top="0.59055118110236227" bottom="0.31496062992125984" header="0.39370078740157483" footer="0.19685039370078741"/>
  <pageSetup paperSize="9" scale="96" fitToHeight="4" orientation="landscape" r:id="rId1"/>
  <headerFooter alignWithMargins="0">
    <oddHeader>&amp;R&amp;"Arial,Standard"&amp;8
&amp;"Times New Roman,Standard"&amp;D</oddHeader>
  </headerFooter>
  <rowBreaks count="3" manualBreakCount="3">
    <brk id="54" max="15" man="1"/>
    <brk id="106" max="15" man="1"/>
    <brk id="158" max="1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tabColor theme="0" tint="-0.499984740745262"/>
  </sheetPr>
  <dimension ref="A1:AD37"/>
  <sheetViews>
    <sheetView zoomScaleNormal="100" zoomScaleSheetLayoutView="100" workbookViewId="0">
      <selection activeCell="N37" sqref="N37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6" customWidth="1"/>
    <col min="11" max="16" width="7.69140625" style="6" customWidth="1"/>
    <col min="17" max="16384" width="11.3828125" style="6"/>
  </cols>
  <sheetData>
    <row r="1" spans="1:30" ht="12.45">
      <c r="I1" s="84"/>
    </row>
    <row r="2" spans="1:30" ht="12.45">
      <c r="A2" s="728" t="s">
        <v>213</v>
      </c>
      <c r="B2" s="63"/>
      <c r="C2" s="40"/>
      <c r="D2" s="41"/>
      <c r="E2" s="41"/>
      <c r="F2" s="41"/>
      <c r="G2" s="41"/>
      <c r="H2" s="41"/>
      <c r="I2" s="42"/>
      <c r="K2" s="43"/>
      <c r="L2" s="41"/>
      <c r="M2" s="41"/>
      <c r="N2" s="534"/>
      <c r="O2" s="41"/>
      <c r="P2" s="41"/>
    </row>
    <row r="3" spans="1:30">
      <c r="A3" s="65"/>
      <c r="B3" s="65"/>
      <c r="C3" s="44"/>
      <c r="D3" s="44"/>
      <c r="E3" s="44"/>
      <c r="F3" s="44"/>
      <c r="G3" s="44"/>
      <c r="H3" s="44"/>
      <c r="I3" s="44"/>
      <c r="K3" s="409"/>
      <c r="L3" s="44"/>
      <c r="M3" s="44" t="s">
        <v>40</v>
      </c>
      <c r="N3" s="44"/>
    </row>
    <row r="4" spans="1:30" s="82" customFormat="1" ht="14.15">
      <c r="A4" s="1579" t="s">
        <v>214</v>
      </c>
      <c r="B4" s="1579"/>
      <c r="C4" s="1580"/>
      <c r="D4" s="1580"/>
      <c r="E4" s="1580"/>
      <c r="F4" s="1580"/>
      <c r="G4" s="1580"/>
      <c r="H4" s="1580"/>
      <c r="I4" s="1580"/>
      <c r="J4" s="1580"/>
      <c r="K4" s="1580"/>
      <c r="L4" s="1580"/>
      <c r="M4" s="1580"/>
      <c r="N4" s="1580"/>
      <c r="O4" s="1566"/>
      <c r="P4" s="1566"/>
    </row>
    <row r="5" spans="1:30" ht="10.75" thickBot="1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1"/>
      <c r="L5" s="410"/>
      <c r="M5" s="410"/>
      <c r="N5" s="410"/>
    </row>
    <row r="6" spans="1:30" ht="24.65" customHeight="1">
      <c r="A6" s="1501" t="s">
        <v>43</v>
      </c>
      <c r="B6" s="1532"/>
      <c r="C6" s="1513" t="s">
        <v>358</v>
      </c>
      <c r="D6" s="1514" t="s">
        <v>115</v>
      </c>
      <c r="E6" s="1514" t="s">
        <v>115</v>
      </c>
      <c r="F6" s="1514" t="s">
        <v>115</v>
      </c>
      <c r="G6" s="1514" t="s">
        <v>115</v>
      </c>
      <c r="H6" s="1515" t="s">
        <v>115</v>
      </c>
      <c r="I6" s="207" t="s">
        <v>0</v>
      </c>
      <c r="J6" s="207" t="s">
        <v>1</v>
      </c>
      <c r="K6" s="1510" t="s">
        <v>215</v>
      </c>
      <c r="L6" s="1530"/>
      <c r="M6" s="1530"/>
      <c r="N6" s="1530"/>
      <c r="O6" s="1530"/>
      <c r="P6" s="1531"/>
    </row>
    <row r="7" spans="1:30" ht="10.95" customHeight="1">
      <c r="A7" s="1581"/>
      <c r="B7" s="1534"/>
      <c r="C7" s="1539"/>
      <c r="D7" s="1528"/>
      <c r="E7" s="1528"/>
      <c r="F7" s="1528"/>
      <c r="G7" s="1528"/>
      <c r="H7" s="1529"/>
      <c r="I7" s="19" t="s">
        <v>3</v>
      </c>
      <c r="J7" s="19" t="s">
        <v>4</v>
      </c>
      <c r="K7" s="412"/>
      <c r="L7" s="413"/>
      <c r="M7" s="414"/>
      <c r="N7" s="1519" t="s">
        <v>298</v>
      </c>
      <c r="O7" s="1520"/>
      <c r="P7" s="1524"/>
    </row>
    <row r="8" spans="1:30" ht="12" customHeight="1">
      <c r="A8" s="1581"/>
      <c r="B8" s="1534"/>
      <c r="C8" s="20"/>
      <c r="D8" s="19"/>
      <c r="E8" s="19"/>
      <c r="F8" s="21" t="s">
        <v>165</v>
      </c>
      <c r="G8" s="21"/>
      <c r="H8" s="22"/>
      <c r="I8" s="19" t="s">
        <v>8</v>
      </c>
      <c r="J8" s="19" t="s">
        <v>8</v>
      </c>
      <c r="K8" s="15"/>
      <c r="L8" s="415"/>
      <c r="M8" s="19"/>
      <c r="N8" s="1522"/>
      <c r="O8" s="1523"/>
      <c r="P8" s="1525"/>
      <c r="Q8" s="42"/>
      <c r="R8" s="43"/>
      <c r="S8" s="41"/>
      <c r="T8" s="41"/>
      <c r="U8" s="41"/>
      <c r="V8" s="41"/>
      <c r="W8" s="41"/>
      <c r="X8" s="41"/>
      <c r="Y8" s="41"/>
      <c r="Z8" s="41"/>
      <c r="AA8" s="42"/>
      <c r="AB8" s="41"/>
      <c r="AC8" s="41"/>
      <c r="AD8" s="64" t="s">
        <v>110</v>
      </c>
    </row>
    <row r="9" spans="1:30" ht="12" customHeight="1">
      <c r="A9" s="1581"/>
      <c r="B9" s="1534"/>
      <c r="C9" s="417"/>
      <c r="D9" s="208"/>
      <c r="E9" s="208"/>
      <c r="F9" s="26" t="s">
        <v>295</v>
      </c>
      <c r="G9" s="27"/>
      <c r="H9" s="668"/>
      <c r="I9" s="19" t="s">
        <v>20</v>
      </c>
      <c r="J9" s="19" t="s">
        <v>20</v>
      </c>
      <c r="K9" s="263"/>
      <c r="L9" s="418"/>
      <c r="M9" s="208"/>
      <c r="N9" s="498"/>
      <c r="O9" s="297"/>
      <c r="P9" s="551"/>
    </row>
    <row r="10" spans="1:30" ht="12" customHeight="1">
      <c r="A10" s="1581"/>
      <c r="B10" s="1534"/>
      <c r="C10" s="20" t="s">
        <v>19</v>
      </c>
      <c r="D10" s="19" t="s">
        <v>17</v>
      </c>
      <c r="E10" s="19" t="s">
        <v>18</v>
      </c>
      <c r="F10" s="420"/>
      <c r="G10" s="421"/>
      <c r="H10" s="421"/>
      <c r="I10" s="19" t="s">
        <v>33</v>
      </c>
      <c r="J10" s="19" t="s">
        <v>33</v>
      </c>
      <c r="K10" s="422" t="s">
        <v>19</v>
      </c>
      <c r="L10" s="15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30" ht="12" customHeight="1">
      <c r="A11" s="1581"/>
      <c r="B11" s="1534"/>
      <c r="C11" s="20" t="s">
        <v>29</v>
      </c>
      <c r="D11" s="19" t="s">
        <v>28</v>
      </c>
      <c r="E11" s="19" t="s">
        <v>28</v>
      </c>
      <c r="F11" s="15" t="s">
        <v>30</v>
      </c>
      <c r="G11" s="424" t="s">
        <v>31</v>
      </c>
      <c r="H11" s="424" t="s">
        <v>32</v>
      </c>
      <c r="I11" s="19" t="s">
        <v>39</v>
      </c>
      <c r="J11" s="19" t="s">
        <v>39</v>
      </c>
      <c r="K11" s="422" t="s">
        <v>29</v>
      </c>
      <c r="L11" s="15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30" ht="11.15" customHeight="1">
      <c r="A12" s="1582"/>
      <c r="B12" s="1536"/>
      <c r="C12" s="553"/>
      <c r="D12" s="425"/>
      <c r="E12" s="425"/>
      <c r="F12" s="426"/>
      <c r="G12" s="427"/>
      <c r="H12" s="426"/>
      <c r="I12" s="425"/>
      <c r="J12" s="425"/>
      <c r="K12" s="552"/>
      <c r="L12" s="426"/>
      <c r="M12" s="425"/>
      <c r="N12" s="553"/>
      <c r="O12" s="427"/>
      <c r="P12" s="518"/>
    </row>
    <row r="13" spans="1:30" ht="15" customHeight="1">
      <c r="A13" s="592" t="s">
        <v>58</v>
      </c>
      <c r="B13" s="601"/>
      <c r="C13" s="1078">
        <v>30</v>
      </c>
      <c r="D13" s="1076">
        <v>30</v>
      </c>
      <c r="E13" s="1077">
        <v>0</v>
      </c>
      <c r="F13" s="1076">
        <v>6</v>
      </c>
      <c r="G13" s="1076">
        <v>15</v>
      </c>
      <c r="H13" s="1077">
        <v>12</v>
      </c>
      <c r="I13" s="1067">
        <v>12</v>
      </c>
      <c r="J13" s="1067">
        <v>3</v>
      </c>
      <c r="K13" s="1080">
        <v>9</v>
      </c>
      <c r="L13" s="1076">
        <v>9</v>
      </c>
      <c r="M13" s="1077">
        <v>0</v>
      </c>
      <c r="N13" s="1080">
        <v>9</v>
      </c>
      <c r="O13" s="1076">
        <v>9</v>
      </c>
      <c r="P13" s="1084">
        <v>0</v>
      </c>
    </row>
    <row r="14" spans="1:30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30" ht="15" customHeight="1">
      <c r="A15" s="592" t="s">
        <v>52</v>
      </c>
      <c r="B15" s="595"/>
      <c r="C15" s="1069">
        <v>42</v>
      </c>
      <c r="D15" s="5">
        <v>42</v>
      </c>
      <c r="E15" s="396">
        <v>0</v>
      </c>
      <c r="F15" s="5">
        <v>9</v>
      </c>
      <c r="G15" s="5">
        <v>15</v>
      </c>
      <c r="H15" s="396">
        <v>15</v>
      </c>
      <c r="I15" s="396">
        <v>15</v>
      </c>
      <c r="J15" s="396">
        <v>6</v>
      </c>
      <c r="K15" s="1081">
        <v>12</v>
      </c>
      <c r="L15" s="5">
        <v>12</v>
      </c>
      <c r="M15" s="396">
        <v>0</v>
      </c>
      <c r="N15" s="1081">
        <v>9</v>
      </c>
      <c r="O15" s="5">
        <v>9</v>
      </c>
      <c r="P15" s="1038">
        <v>0</v>
      </c>
    </row>
    <row r="16" spans="1:30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95"/>
      <c r="C17" s="1069">
        <v>18</v>
      </c>
      <c r="D17" s="5">
        <v>18</v>
      </c>
      <c r="E17" s="396">
        <v>0</v>
      </c>
      <c r="F17" s="5">
        <v>3</v>
      </c>
      <c r="G17" s="5">
        <v>6</v>
      </c>
      <c r="H17" s="396">
        <v>9</v>
      </c>
      <c r="I17" s="396">
        <v>3</v>
      </c>
      <c r="J17" s="396">
        <v>3</v>
      </c>
      <c r="K17" s="1081">
        <v>3</v>
      </c>
      <c r="L17" s="5">
        <v>3</v>
      </c>
      <c r="M17" s="396">
        <v>0</v>
      </c>
      <c r="N17" s="1081">
        <v>3</v>
      </c>
      <c r="O17" s="5">
        <v>3</v>
      </c>
      <c r="P17" s="1038">
        <v>0</v>
      </c>
    </row>
    <row r="18" spans="1:16" ht="15" customHeight="1">
      <c r="A18" s="592" t="s">
        <v>50</v>
      </c>
      <c r="B18" s="595"/>
      <c r="C18" s="1069">
        <v>3</v>
      </c>
      <c r="D18" s="5">
        <v>3</v>
      </c>
      <c r="E18" s="396">
        <v>0</v>
      </c>
      <c r="F18" s="5">
        <v>0</v>
      </c>
      <c r="G18" s="5">
        <v>3</v>
      </c>
      <c r="H18" s="396">
        <v>0</v>
      </c>
      <c r="I18" s="396">
        <v>0</v>
      </c>
      <c r="J18" s="396">
        <v>0</v>
      </c>
      <c r="K18" s="1081">
        <v>0</v>
      </c>
      <c r="L18" s="5">
        <v>0</v>
      </c>
      <c r="M18" s="396">
        <v>0</v>
      </c>
      <c r="N18" s="1081">
        <v>0</v>
      </c>
      <c r="O18" s="5">
        <v>0</v>
      </c>
      <c r="P18" s="1038">
        <v>0</v>
      </c>
    </row>
    <row r="19" spans="1:16" ht="15" customHeight="1">
      <c r="A19" s="592" t="s">
        <v>54</v>
      </c>
      <c r="B19" s="595"/>
      <c r="C19" s="1069">
        <v>6</v>
      </c>
      <c r="D19" s="5">
        <v>6</v>
      </c>
      <c r="E19" s="396">
        <v>0</v>
      </c>
      <c r="F19" s="5">
        <v>0</v>
      </c>
      <c r="G19" s="5">
        <v>0</v>
      </c>
      <c r="H19" s="396">
        <v>3</v>
      </c>
      <c r="I19" s="396">
        <v>0</v>
      </c>
      <c r="J19" s="396">
        <v>0</v>
      </c>
      <c r="K19" s="1081">
        <v>3</v>
      </c>
      <c r="L19" s="5">
        <v>3</v>
      </c>
      <c r="M19" s="396">
        <v>0</v>
      </c>
      <c r="N19" s="1081">
        <v>3</v>
      </c>
      <c r="O19" s="5">
        <v>3</v>
      </c>
      <c r="P19" s="1038">
        <v>0</v>
      </c>
    </row>
    <row r="20" spans="1:16" ht="15" customHeight="1">
      <c r="A20" s="592" t="s">
        <v>44</v>
      </c>
      <c r="B20" s="595"/>
      <c r="C20" s="1069">
        <v>12</v>
      </c>
      <c r="D20" s="5">
        <v>12</v>
      </c>
      <c r="E20" s="396">
        <v>0</v>
      </c>
      <c r="F20" s="5">
        <v>3</v>
      </c>
      <c r="G20" s="5">
        <v>3</v>
      </c>
      <c r="H20" s="396">
        <v>6</v>
      </c>
      <c r="I20" s="396">
        <v>3</v>
      </c>
      <c r="J20" s="396">
        <v>0</v>
      </c>
      <c r="K20" s="1081">
        <v>6</v>
      </c>
      <c r="L20" s="5">
        <v>6</v>
      </c>
      <c r="M20" s="396">
        <v>0</v>
      </c>
      <c r="N20" s="1081">
        <v>3</v>
      </c>
      <c r="O20" s="5">
        <v>3</v>
      </c>
      <c r="P20" s="1038">
        <v>0</v>
      </c>
    </row>
    <row r="21" spans="1:16" ht="15" customHeight="1">
      <c r="A21" s="592" t="s">
        <v>45</v>
      </c>
      <c r="B21" s="595"/>
      <c r="C21" s="1069">
        <v>57</v>
      </c>
      <c r="D21" s="5">
        <v>54</v>
      </c>
      <c r="E21" s="396">
        <v>3</v>
      </c>
      <c r="F21" s="5">
        <v>18</v>
      </c>
      <c r="G21" s="5">
        <v>21</v>
      </c>
      <c r="H21" s="396">
        <v>18</v>
      </c>
      <c r="I21" s="396">
        <v>27</v>
      </c>
      <c r="J21" s="396">
        <v>0</v>
      </c>
      <c r="K21" s="1081">
        <v>18</v>
      </c>
      <c r="L21" s="5">
        <v>18</v>
      </c>
      <c r="M21" s="396">
        <v>0</v>
      </c>
      <c r="N21" s="1081">
        <v>15</v>
      </c>
      <c r="O21" s="5">
        <v>15</v>
      </c>
      <c r="P21" s="1038">
        <v>0</v>
      </c>
    </row>
    <row r="22" spans="1:16" ht="15" customHeight="1">
      <c r="A22" s="592" t="s">
        <v>55</v>
      </c>
      <c r="B22" s="597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6</v>
      </c>
      <c r="D24" s="5">
        <v>6</v>
      </c>
      <c r="E24" s="396">
        <v>0</v>
      </c>
      <c r="F24" s="5">
        <v>0</v>
      </c>
      <c r="G24" s="5">
        <v>3</v>
      </c>
      <c r="H24" s="396">
        <v>3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</row>
    <row r="25" spans="1:16" ht="15" customHeight="1">
      <c r="A25" s="592" t="s">
        <v>51</v>
      </c>
      <c r="B25" s="595"/>
      <c r="C25" s="1069">
        <v>18</v>
      </c>
      <c r="D25" s="5">
        <v>15</v>
      </c>
      <c r="E25" s="396">
        <v>0</v>
      </c>
      <c r="F25" s="5">
        <v>6</v>
      </c>
      <c r="G25" s="5">
        <v>6</v>
      </c>
      <c r="H25" s="396">
        <v>6</v>
      </c>
      <c r="I25" s="396">
        <v>9</v>
      </c>
      <c r="J25" s="396">
        <v>3</v>
      </c>
      <c r="K25" s="1081">
        <v>3</v>
      </c>
      <c r="L25" s="5">
        <v>3</v>
      </c>
      <c r="M25" s="396">
        <v>0</v>
      </c>
      <c r="N25" s="1081">
        <v>3</v>
      </c>
      <c r="O25" s="5">
        <v>3</v>
      </c>
      <c r="P25" s="1038">
        <v>0</v>
      </c>
    </row>
    <row r="26" spans="1:16" ht="15" customHeight="1">
      <c r="A26" s="592" t="s">
        <v>56</v>
      </c>
      <c r="B26" s="595"/>
      <c r="C26" s="1069">
        <v>15</v>
      </c>
      <c r="D26" s="5">
        <v>15</v>
      </c>
      <c r="E26" s="396">
        <v>0</v>
      </c>
      <c r="F26" s="5">
        <v>3</v>
      </c>
      <c r="G26" s="5">
        <v>9</v>
      </c>
      <c r="H26" s="396">
        <v>3</v>
      </c>
      <c r="I26" s="396">
        <v>6</v>
      </c>
      <c r="J26" s="396">
        <v>0</v>
      </c>
      <c r="K26" s="1081">
        <v>3</v>
      </c>
      <c r="L26" s="5">
        <v>3</v>
      </c>
      <c r="M26" s="396">
        <v>0</v>
      </c>
      <c r="N26" s="1081">
        <v>3</v>
      </c>
      <c r="O26" s="5">
        <v>3</v>
      </c>
      <c r="P26" s="1038">
        <v>0</v>
      </c>
    </row>
    <row r="27" spans="1:16" s="70" customFormat="1" ht="15" customHeight="1">
      <c r="A27" s="592" t="s">
        <v>57</v>
      </c>
      <c r="B27" s="597"/>
      <c r="C27" s="1069">
        <v>3</v>
      </c>
      <c r="D27" s="5">
        <v>3</v>
      </c>
      <c r="E27" s="396">
        <v>0</v>
      </c>
      <c r="F27" s="5">
        <v>0</v>
      </c>
      <c r="G27" s="5">
        <v>0</v>
      </c>
      <c r="H27" s="396">
        <v>3</v>
      </c>
      <c r="I27" s="396">
        <v>0</v>
      </c>
      <c r="J27" s="396">
        <v>3</v>
      </c>
      <c r="K27" s="1081">
        <v>3</v>
      </c>
      <c r="L27" s="5">
        <v>3</v>
      </c>
      <c r="M27" s="396">
        <v>0</v>
      </c>
      <c r="N27" s="1081">
        <v>3</v>
      </c>
      <c r="O27" s="5">
        <v>3</v>
      </c>
      <c r="P27" s="1038">
        <v>0</v>
      </c>
    </row>
    <row r="28" spans="1:16" s="7" customFormat="1" ht="15" customHeight="1">
      <c r="A28" s="592" t="s">
        <v>59</v>
      </c>
      <c r="B28" s="597"/>
      <c r="C28" s="1069">
        <v>3</v>
      </c>
      <c r="D28" s="5">
        <v>3</v>
      </c>
      <c r="E28" s="396">
        <v>0</v>
      </c>
      <c r="F28" s="5">
        <v>0</v>
      </c>
      <c r="G28" s="5">
        <v>0</v>
      </c>
      <c r="H28" s="396">
        <v>0</v>
      </c>
      <c r="I28" s="1037">
        <v>3</v>
      </c>
      <c r="J28" s="1037">
        <v>0</v>
      </c>
      <c r="K28" s="1081">
        <v>3</v>
      </c>
      <c r="L28" s="5">
        <v>0</v>
      </c>
      <c r="M28" s="396">
        <v>0</v>
      </c>
      <c r="N28" s="1081">
        <v>3</v>
      </c>
      <c r="O28" s="5">
        <v>0</v>
      </c>
      <c r="P28" s="1038">
        <v>0</v>
      </c>
    </row>
    <row r="29" spans="1:16" s="39" customFormat="1" ht="4.5" customHeight="1">
      <c r="A29" s="329"/>
      <c r="B29" s="596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70" customFormat="1" ht="21" customHeight="1" thickBot="1">
      <c r="A30" s="593" t="s">
        <v>60</v>
      </c>
      <c r="B30" s="598"/>
      <c r="C30" s="1068">
        <v>213</v>
      </c>
      <c r="D30" s="580">
        <v>207</v>
      </c>
      <c r="E30" s="1065">
        <v>6</v>
      </c>
      <c r="F30" s="580">
        <v>54</v>
      </c>
      <c r="G30" s="580">
        <v>81</v>
      </c>
      <c r="H30" s="1065">
        <v>78</v>
      </c>
      <c r="I30" s="1066">
        <v>78</v>
      </c>
      <c r="J30" s="1066">
        <v>21</v>
      </c>
      <c r="K30" s="580">
        <v>60</v>
      </c>
      <c r="L30" s="580">
        <v>60</v>
      </c>
      <c r="M30" s="1065">
        <v>3</v>
      </c>
      <c r="N30" s="580">
        <v>57</v>
      </c>
      <c r="O30" s="580">
        <v>54</v>
      </c>
      <c r="P30" s="1039">
        <v>3</v>
      </c>
    </row>
    <row r="31" spans="1:16" s="70" customFormat="1" ht="3.6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3"/>
      <c r="N31" s="6"/>
    </row>
    <row r="32" spans="1:16" s="54" customFormat="1" ht="10.95" customHeight="1">
      <c r="A32" s="70" t="s">
        <v>297</v>
      </c>
      <c r="B32" s="70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spans="1:16" s="82" customFormat="1" ht="12.75" customHeight="1">
      <c r="A33" s="8" t="s">
        <v>303</v>
      </c>
      <c r="B33" s="8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</row>
    <row r="35" spans="1:16" s="70" customFormat="1"/>
    <row r="36" spans="1:16" ht="10.75" thickBot="1">
      <c r="A36" s="593" t="s">
        <v>60</v>
      </c>
      <c r="B36" s="598"/>
      <c r="C36" s="1068">
        <v>213</v>
      </c>
      <c r="D36" s="580">
        <v>207</v>
      </c>
      <c r="E36" s="1065">
        <v>3</v>
      </c>
      <c r="F36" s="580">
        <v>48</v>
      </c>
      <c r="G36" s="580">
        <v>81</v>
      </c>
      <c r="H36" s="1065">
        <v>78</v>
      </c>
      <c r="I36" s="580">
        <v>78</v>
      </c>
      <c r="J36" s="1066">
        <v>18</v>
      </c>
      <c r="K36" s="1068">
        <v>63</v>
      </c>
      <c r="L36" s="580">
        <v>60</v>
      </c>
      <c r="M36" s="1065">
        <v>0</v>
      </c>
      <c r="N36" s="1068">
        <v>54</v>
      </c>
      <c r="O36" s="580">
        <v>51</v>
      </c>
      <c r="P36" s="1039">
        <v>0</v>
      </c>
    </row>
    <row r="37" spans="1:16" ht="10.75" thickBot="1">
      <c r="A37" s="593" t="s">
        <v>384</v>
      </c>
      <c r="B37" s="598"/>
      <c r="C37" s="1303">
        <f t="shared" ref="C37:P37" si="0">C30-C36</f>
        <v>0</v>
      </c>
      <c r="D37" s="1304">
        <f t="shared" si="0"/>
        <v>0</v>
      </c>
      <c r="E37" s="1294">
        <f t="shared" si="0"/>
        <v>3</v>
      </c>
      <c r="F37" s="1297">
        <f t="shared" si="0"/>
        <v>6</v>
      </c>
      <c r="G37" s="1305">
        <f t="shared" si="0"/>
        <v>0</v>
      </c>
      <c r="H37" s="1311">
        <f t="shared" si="0"/>
        <v>0</v>
      </c>
      <c r="I37" s="1304">
        <f t="shared" si="0"/>
        <v>0</v>
      </c>
      <c r="J37" s="1334">
        <f t="shared" si="0"/>
        <v>3</v>
      </c>
      <c r="K37" s="1328">
        <f t="shared" si="0"/>
        <v>-3</v>
      </c>
      <c r="L37" s="1304">
        <f t="shared" si="0"/>
        <v>0</v>
      </c>
      <c r="M37" s="1294">
        <f t="shared" si="0"/>
        <v>3</v>
      </c>
      <c r="N37" s="1292">
        <f t="shared" si="0"/>
        <v>3</v>
      </c>
      <c r="O37" s="1293">
        <f t="shared" si="0"/>
        <v>3</v>
      </c>
      <c r="P37" s="1341">
        <f t="shared" si="0"/>
        <v>3</v>
      </c>
    </row>
  </sheetData>
  <mergeCells count="5">
    <mergeCell ref="C6:H7"/>
    <mergeCell ref="K6:P6"/>
    <mergeCell ref="A4:P4"/>
    <mergeCell ref="A6:B12"/>
    <mergeCell ref="N7:P8"/>
  </mergeCells>
  <printOptions horizontalCentered="1"/>
  <pageMargins left="0.39370078740157483" right="0.19685039370078741" top="0.98425196850393704" bottom="0.43307086614173229" header="0.51181102362204722" footer="0.23622047244094491"/>
  <pageSetup paperSize="9" orientation="landscape" r:id="rId1"/>
  <headerFooter alignWithMargins="0">
    <oddHeader>&amp;C&amp;"Arial,Standard"&amp;8- 9 -
&amp;R&amp;8&amp;D</oddHeader>
    <oddFooter>&amp;R
&amp;12...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0">
    <tabColor theme="0" tint="-0.499984740745262"/>
  </sheetPr>
  <dimension ref="A1:AK39"/>
  <sheetViews>
    <sheetView zoomScaleNormal="100" zoomScaleSheetLayoutView="100" workbookViewId="0">
      <selection activeCell="N30" sqref="N30"/>
    </sheetView>
  </sheetViews>
  <sheetFormatPr baseColWidth="10" defaultColWidth="11.3828125" defaultRowHeight="10.3"/>
  <cols>
    <col min="1" max="1" width="7.69140625" style="605" customWidth="1"/>
    <col min="2" max="2" width="0.84375" style="605" customWidth="1"/>
    <col min="3" max="8" width="7.69140625" style="605" customWidth="1"/>
    <col min="9" max="10" width="10.69140625" style="605" customWidth="1"/>
    <col min="11" max="16" width="7.69140625" style="605" customWidth="1"/>
    <col min="17" max="16384" width="11.3828125" style="605"/>
  </cols>
  <sheetData>
    <row r="1" spans="1:37" ht="12.45">
      <c r="I1" s="654"/>
    </row>
    <row r="2" spans="1:37" ht="12.45">
      <c r="A2" s="728" t="s">
        <v>213</v>
      </c>
      <c r="B2" s="653"/>
      <c r="C2" s="652"/>
      <c r="D2" s="649"/>
      <c r="E2" s="649"/>
      <c r="F2" s="649"/>
      <c r="G2" s="649"/>
      <c r="H2" s="649"/>
      <c r="I2" s="651"/>
      <c r="K2" s="650"/>
      <c r="L2" s="649"/>
      <c r="M2" s="649"/>
      <c r="N2" s="648"/>
      <c r="O2" s="649"/>
      <c r="P2" s="649"/>
    </row>
    <row r="3" spans="1:37">
      <c r="A3" s="647"/>
      <c r="B3" s="647"/>
      <c r="C3" s="645"/>
      <c r="D3" s="645"/>
      <c r="E3" s="645"/>
      <c r="F3" s="645"/>
      <c r="G3" s="645"/>
      <c r="H3" s="645"/>
      <c r="I3" s="645"/>
      <c r="K3" s="646"/>
      <c r="L3" s="645"/>
      <c r="M3" s="645" t="s">
        <v>40</v>
      </c>
      <c r="N3" s="645"/>
    </row>
    <row r="4" spans="1:37" s="389" customFormat="1" ht="14.15">
      <c r="A4" s="1596" t="s">
        <v>304</v>
      </c>
      <c r="B4" s="1596"/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1597"/>
      <c r="O4" s="1566"/>
      <c r="P4" s="1566"/>
    </row>
    <row r="5" spans="1:37" ht="10.75" thickBot="1">
      <c r="A5" s="643"/>
      <c r="B5" s="643"/>
      <c r="C5" s="643"/>
      <c r="D5" s="643"/>
      <c r="E5" s="643"/>
      <c r="F5" s="643"/>
      <c r="G5" s="643"/>
      <c r="H5" s="643"/>
      <c r="I5" s="643"/>
      <c r="J5" s="643"/>
      <c r="K5" s="644"/>
      <c r="L5" s="643"/>
      <c r="M5" s="643"/>
      <c r="N5" s="643"/>
    </row>
    <row r="6" spans="1:37" ht="24.65" customHeight="1">
      <c r="A6" s="1590" t="s">
        <v>43</v>
      </c>
      <c r="B6" s="1591"/>
      <c r="C6" s="1583" t="s">
        <v>358</v>
      </c>
      <c r="D6" s="1583" t="s">
        <v>115</v>
      </c>
      <c r="E6" s="1583" t="s">
        <v>115</v>
      </c>
      <c r="F6" s="1583" t="s">
        <v>115</v>
      </c>
      <c r="G6" s="1583" t="s">
        <v>115</v>
      </c>
      <c r="H6" s="1584" t="s">
        <v>115</v>
      </c>
      <c r="I6" s="642" t="s">
        <v>0</v>
      </c>
      <c r="J6" s="642" t="s">
        <v>1</v>
      </c>
      <c r="K6" s="1587" t="s">
        <v>216</v>
      </c>
      <c r="L6" s="1588"/>
      <c r="M6" s="1588"/>
      <c r="N6" s="1588"/>
      <c r="O6" s="1588"/>
      <c r="P6" s="1589"/>
    </row>
    <row r="7" spans="1:37" ht="11.25" customHeight="1">
      <c r="A7" s="1592"/>
      <c r="B7" s="1593"/>
      <c r="C7" s="1585"/>
      <c r="D7" s="1585"/>
      <c r="E7" s="1585"/>
      <c r="F7" s="1585"/>
      <c r="G7" s="1585"/>
      <c r="H7" s="1586"/>
      <c r="I7" s="626" t="s">
        <v>3</v>
      </c>
      <c r="J7" s="626" t="s">
        <v>4</v>
      </c>
      <c r="K7" s="641"/>
      <c r="L7" s="640"/>
      <c r="M7" s="639"/>
      <c r="N7" s="1519" t="s">
        <v>298</v>
      </c>
      <c r="O7" s="1520"/>
      <c r="P7" s="1524"/>
    </row>
    <row r="8" spans="1:37" ht="12" customHeight="1">
      <c r="A8" s="1592"/>
      <c r="B8" s="1593"/>
      <c r="C8" s="629"/>
      <c r="D8" s="626"/>
      <c r="E8" s="626"/>
      <c r="F8" s="638" t="s">
        <v>165</v>
      </c>
      <c r="G8" s="638"/>
      <c r="H8" s="638"/>
      <c r="I8" s="626" t="s">
        <v>8</v>
      </c>
      <c r="J8" s="626" t="s">
        <v>8</v>
      </c>
      <c r="K8" s="627"/>
      <c r="L8" s="637"/>
      <c r="M8" s="626"/>
      <c r="N8" s="1522"/>
      <c r="O8" s="1523"/>
      <c r="P8" s="1525"/>
      <c r="Q8" s="649"/>
      <c r="R8" s="649"/>
      <c r="S8" s="649"/>
      <c r="T8" s="649"/>
      <c r="U8" s="649"/>
      <c r="V8" s="649"/>
      <c r="W8" s="651"/>
      <c r="X8" s="651"/>
      <c r="Y8" s="650"/>
      <c r="Z8" s="649"/>
      <c r="AA8" s="649"/>
      <c r="AB8" s="649"/>
      <c r="AC8" s="649"/>
      <c r="AD8" s="649"/>
      <c r="AE8" s="649"/>
      <c r="AF8" s="649"/>
      <c r="AG8" s="649"/>
      <c r="AH8" s="651"/>
      <c r="AI8" s="649"/>
      <c r="AJ8" s="649"/>
      <c r="AK8" s="736" t="s">
        <v>110</v>
      </c>
    </row>
    <row r="9" spans="1:37" ht="12" customHeight="1">
      <c r="A9" s="1592"/>
      <c r="B9" s="1593"/>
      <c r="C9" s="622"/>
      <c r="D9" s="617"/>
      <c r="E9" s="617"/>
      <c r="F9" s="636" t="s">
        <v>300</v>
      </c>
      <c r="G9" s="635"/>
      <c r="H9" s="635"/>
      <c r="I9" s="626" t="s">
        <v>20</v>
      </c>
      <c r="J9" s="626" t="s">
        <v>20</v>
      </c>
      <c r="K9" s="619"/>
      <c r="L9" s="618"/>
      <c r="M9" s="617"/>
      <c r="N9" s="634"/>
      <c r="O9" s="633"/>
      <c r="P9" s="632"/>
    </row>
    <row r="10" spans="1:37" ht="12" customHeight="1">
      <c r="A10" s="1592"/>
      <c r="B10" s="1593"/>
      <c r="C10" s="629" t="s">
        <v>19</v>
      </c>
      <c r="D10" s="626" t="s">
        <v>17</v>
      </c>
      <c r="E10" s="626" t="s">
        <v>18</v>
      </c>
      <c r="F10" s="631"/>
      <c r="G10" s="630"/>
      <c r="H10" s="630"/>
      <c r="I10" s="626" t="s">
        <v>33</v>
      </c>
      <c r="J10" s="626" t="s">
        <v>33</v>
      </c>
      <c r="K10" s="628" t="s">
        <v>19</v>
      </c>
      <c r="L10" s="627" t="s">
        <v>17</v>
      </c>
      <c r="M10" s="626" t="s">
        <v>18</v>
      </c>
      <c r="N10" s="625" t="s">
        <v>19</v>
      </c>
      <c r="O10" s="624" t="s">
        <v>17</v>
      </c>
      <c r="P10" s="623" t="s">
        <v>18</v>
      </c>
    </row>
    <row r="11" spans="1:37" ht="12" customHeight="1">
      <c r="A11" s="1592"/>
      <c r="B11" s="1593"/>
      <c r="C11" s="629" t="s">
        <v>29</v>
      </c>
      <c r="D11" s="626" t="s">
        <v>28</v>
      </c>
      <c r="E11" s="626" t="s">
        <v>28</v>
      </c>
      <c r="F11" s="627" t="s">
        <v>30</v>
      </c>
      <c r="G11" s="624" t="s">
        <v>31</v>
      </c>
      <c r="H11" s="624" t="s">
        <v>32</v>
      </c>
      <c r="I11" s="626" t="s">
        <v>39</v>
      </c>
      <c r="J11" s="626" t="s">
        <v>39</v>
      </c>
      <c r="K11" s="628" t="s">
        <v>29</v>
      </c>
      <c r="L11" s="627" t="s">
        <v>28</v>
      </c>
      <c r="M11" s="626" t="s">
        <v>34</v>
      </c>
      <c r="N11" s="625" t="s">
        <v>29</v>
      </c>
      <c r="O11" s="624" t="s">
        <v>28</v>
      </c>
      <c r="P11" s="623" t="s">
        <v>34</v>
      </c>
    </row>
    <row r="12" spans="1:37" ht="12" customHeight="1">
      <c r="A12" s="1594"/>
      <c r="B12" s="1595"/>
      <c r="C12" s="735"/>
      <c r="D12" s="621"/>
      <c r="E12" s="621"/>
      <c r="F12" s="616"/>
      <c r="G12" s="620"/>
      <c r="H12" s="620"/>
      <c r="I12" s="621"/>
      <c r="J12" s="621"/>
      <c r="K12" s="734"/>
      <c r="L12" s="616"/>
      <c r="M12" s="621"/>
      <c r="N12" s="735"/>
      <c r="O12" s="616"/>
      <c r="P12" s="615"/>
    </row>
    <row r="13" spans="1:37" ht="15" customHeight="1">
      <c r="A13" s="592" t="s">
        <v>306</v>
      </c>
      <c r="B13" s="601"/>
      <c r="C13" s="1078">
        <v>30</v>
      </c>
      <c r="D13" s="1076">
        <v>3</v>
      </c>
      <c r="E13" s="1077">
        <v>27</v>
      </c>
      <c r="F13" s="1076">
        <v>9</v>
      </c>
      <c r="G13" s="1076">
        <v>9</v>
      </c>
      <c r="H13" s="1077">
        <v>12</v>
      </c>
      <c r="I13" s="1067">
        <v>9</v>
      </c>
      <c r="J13" s="1067">
        <v>6</v>
      </c>
      <c r="K13" s="1080">
        <f>9</f>
        <v>9</v>
      </c>
      <c r="L13" s="1076">
        <v>0</v>
      </c>
      <c r="M13" s="1077">
        <f>6</f>
        <v>6</v>
      </c>
      <c r="N13" s="1080">
        <f>9</f>
        <v>9</v>
      </c>
      <c r="O13" s="1076">
        <v>0</v>
      </c>
      <c r="P13" s="1084">
        <f>6</f>
        <v>6</v>
      </c>
    </row>
    <row r="14" spans="1:37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37" ht="15" customHeight="1">
      <c r="A15" s="592" t="s">
        <v>52</v>
      </c>
      <c r="B15" s="595"/>
      <c r="C15" s="1069">
        <v>0</v>
      </c>
      <c r="D15" s="5">
        <v>0</v>
      </c>
      <c r="E15" s="396">
        <v>0</v>
      </c>
      <c r="F15" s="5">
        <v>0</v>
      </c>
      <c r="G15" s="5">
        <v>0</v>
      </c>
      <c r="H15" s="396">
        <v>0</v>
      </c>
      <c r="I15" s="396">
        <v>0</v>
      </c>
      <c r="J15" s="396">
        <v>0</v>
      </c>
      <c r="K15" s="1081">
        <v>0</v>
      </c>
      <c r="L15" s="5">
        <v>0</v>
      </c>
      <c r="M15" s="396">
        <v>0</v>
      </c>
      <c r="N15" s="1081">
        <v>0</v>
      </c>
      <c r="O15" s="5">
        <v>0</v>
      </c>
      <c r="P15" s="1038">
        <v>0</v>
      </c>
    </row>
    <row r="16" spans="1:37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95"/>
      <c r="C17" s="1069">
        <v>0</v>
      </c>
      <c r="D17" s="5">
        <v>0</v>
      </c>
      <c r="E17" s="396">
        <v>0</v>
      </c>
      <c r="F17" s="5">
        <v>0</v>
      </c>
      <c r="G17" s="5">
        <v>0</v>
      </c>
      <c r="H17" s="396">
        <v>0</v>
      </c>
      <c r="I17" s="396">
        <v>0</v>
      </c>
      <c r="J17" s="396">
        <v>0</v>
      </c>
      <c r="K17" s="1081">
        <v>0</v>
      </c>
      <c r="L17" s="5">
        <v>0</v>
      </c>
      <c r="M17" s="396">
        <v>0</v>
      </c>
      <c r="N17" s="1081">
        <v>0</v>
      </c>
      <c r="O17" s="5">
        <v>0</v>
      </c>
      <c r="P17" s="1038">
        <v>0</v>
      </c>
    </row>
    <row r="18" spans="1:16" ht="15" customHeight="1">
      <c r="A18" s="592" t="s">
        <v>377</v>
      </c>
      <c r="B18" s="595"/>
      <c r="C18" s="1069">
        <f>3+66</f>
        <v>69</v>
      </c>
      <c r="D18" s="5">
        <f>3+6</f>
        <v>9</v>
      </c>
      <c r="E18" s="396">
        <v>60</v>
      </c>
      <c r="F18" s="5">
        <f>3</f>
        <v>3</v>
      </c>
      <c r="G18" s="5">
        <v>33</v>
      </c>
      <c r="H18" s="396">
        <f>3+33</f>
        <v>36</v>
      </c>
      <c r="I18" s="396">
        <f>3+18</f>
        <v>21</v>
      </c>
      <c r="J18" s="396">
        <v>15</v>
      </c>
      <c r="K18" s="1081">
        <v>30</v>
      </c>
      <c r="L18" s="5">
        <v>3</v>
      </c>
      <c r="M18" s="396">
        <v>27</v>
      </c>
      <c r="N18" s="1081">
        <v>24</v>
      </c>
      <c r="O18" s="5">
        <v>0</v>
      </c>
      <c r="P18" s="1038">
        <v>21</v>
      </c>
    </row>
    <row r="19" spans="1:16" ht="15" customHeight="1">
      <c r="A19" s="592" t="s">
        <v>307</v>
      </c>
      <c r="B19" s="595"/>
      <c r="C19" s="1069">
        <v>6</v>
      </c>
      <c r="D19" s="5">
        <v>3</v>
      </c>
      <c r="E19" s="396">
        <v>3</v>
      </c>
      <c r="F19" s="5">
        <v>3</v>
      </c>
      <c r="G19" s="5">
        <v>0</v>
      </c>
      <c r="H19" s="396">
        <v>3</v>
      </c>
      <c r="I19" s="396">
        <v>3</v>
      </c>
      <c r="J19" s="396">
        <v>0</v>
      </c>
      <c r="K19" s="1081">
        <v>6</v>
      </c>
      <c r="L19" s="5">
        <v>3</v>
      </c>
      <c r="M19" s="396">
        <v>3</v>
      </c>
      <c r="N19" s="1081">
        <v>3</v>
      </c>
      <c r="O19" s="5">
        <v>0</v>
      </c>
      <c r="P19" s="1038">
        <v>3</v>
      </c>
    </row>
    <row r="20" spans="1:16" ht="15" customHeight="1">
      <c r="A20" s="592" t="s">
        <v>44</v>
      </c>
      <c r="B20" s="595"/>
      <c r="C20" s="1069">
        <v>0</v>
      </c>
      <c r="D20" s="5">
        <v>0</v>
      </c>
      <c r="E20" s="396">
        <v>0</v>
      </c>
      <c r="F20" s="5">
        <v>0</v>
      </c>
      <c r="G20" s="5">
        <v>0</v>
      </c>
      <c r="H20" s="396">
        <v>0</v>
      </c>
      <c r="I20" s="396">
        <v>0</v>
      </c>
      <c r="J20" s="396">
        <v>0</v>
      </c>
      <c r="K20" s="1081">
        <v>0</v>
      </c>
      <c r="L20" s="5">
        <v>0</v>
      </c>
      <c r="M20" s="396">
        <v>0</v>
      </c>
      <c r="N20" s="1081">
        <v>0</v>
      </c>
      <c r="O20" s="5">
        <v>0</v>
      </c>
      <c r="P20" s="1038">
        <v>0</v>
      </c>
    </row>
    <row r="21" spans="1:16" ht="15" customHeight="1">
      <c r="A21" s="592" t="s">
        <v>45</v>
      </c>
      <c r="B21" s="595"/>
      <c r="C21" s="1069">
        <v>0</v>
      </c>
      <c r="D21" s="5">
        <v>0</v>
      </c>
      <c r="E21" s="396">
        <v>0</v>
      </c>
      <c r="F21" s="5">
        <v>0</v>
      </c>
      <c r="G21" s="5">
        <v>0</v>
      </c>
      <c r="H21" s="396">
        <v>0</v>
      </c>
      <c r="I21" s="396">
        <v>0</v>
      </c>
      <c r="J21" s="396">
        <v>0</v>
      </c>
      <c r="K21" s="1081">
        <v>0</v>
      </c>
      <c r="L21" s="5">
        <v>0</v>
      </c>
      <c r="M21" s="396">
        <v>0</v>
      </c>
      <c r="N21" s="1081">
        <v>0</v>
      </c>
      <c r="O21" s="5">
        <v>0</v>
      </c>
      <c r="P21" s="1038">
        <v>0</v>
      </c>
    </row>
    <row r="22" spans="1:16" ht="15" customHeight="1">
      <c r="A22" s="592" t="s">
        <v>357</v>
      </c>
      <c r="B22" s="597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0</v>
      </c>
      <c r="D24" s="5">
        <v>0</v>
      </c>
      <c r="E24" s="396">
        <v>0</v>
      </c>
      <c r="F24" s="5">
        <v>0</v>
      </c>
      <c r="G24" s="5">
        <v>0</v>
      </c>
      <c r="H24" s="396">
        <v>0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</row>
    <row r="25" spans="1:16" ht="15" customHeight="1">
      <c r="A25" s="592" t="s">
        <v>378</v>
      </c>
      <c r="B25" s="595"/>
      <c r="C25" s="1069">
        <v>0</v>
      </c>
      <c r="D25" s="5">
        <v>0</v>
      </c>
      <c r="E25" s="396">
        <v>0</v>
      </c>
      <c r="F25" s="5">
        <v>0</v>
      </c>
      <c r="G25" s="5">
        <v>0</v>
      </c>
      <c r="H25" s="396">
        <v>0</v>
      </c>
      <c r="I25" s="396">
        <v>0</v>
      </c>
      <c r="J25" s="396">
        <v>0</v>
      </c>
      <c r="K25" s="1081">
        <v>0</v>
      </c>
      <c r="L25" s="5">
        <v>0</v>
      </c>
      <c r="M25" s="396">
        <v>0</v>
      </c>
      <c r="N25" s="1081">
        <v>0</v>
      </c>
      <c r="O25" s="5">
        <v>0</v>
      </c>
      <c r="P25" s="1038">
        <v>0</v>
      </c>
    </row>
    <row r="26" spans="1:16" ht="15" customHeight="1">
      <c r="A26" s="592" t="s">
        <v>56</v>
      </c>
      <c r="B26" s="595"/>
      <c r="C26" s="1069">
        <v>0</v>
      </c>
      <c r="D26" s="5">
        <v>0</v>
      </c>
      <c r="E26" s="396">
        <v>0</v>
      </c>
      <c r="F26" s="5">
        <v>0</v>
      </c>
      <c r="G26" s="5">
        <v>0</v>
      </c>
      <c r="H26" s="396">
        <v>0</v>
      </c>
      <c r="I26" s="396">
        <v>0</v>
      </c>
      <c r="J26" s="396">
        <v>0</v>
      </c>
      <c r="K26" s="1081">
        <v>0</v>
      </c>
      <c r="L26" s="5">
        <v>0</v>
      </c>
      <c r="M26" s="396">
        <v>0</v>
      </c>
      <c r="N26" s="1081">
        <v>0</v>
      </c>
      <c r="O26" s="5">
        <v>0</v>
      </c>
      <c r="P26" s="1038">
        <v>0</v>
      </c>
    </row>
    <row r="27" spans="1:16" s="388" customFormat="1" ht="15" customHeight="1">
      <c r="A27" s="592" t="s">
        <v>57</v>
      </c>
      <c r="B27" s="597"/>
      <c r="C27" s="1069">
        <v>0</v>
      </c>
      <c r="D27" s="5">
        <v>0</v>
      </c>
      <c r="E27" s="396">
        <v>0</v>
      </c>
      <c r="F27" s="5">
        <v>0</v>
      </c>
      <c r="G27" s="5">
        <v>0</v>
      </c>
      <c r="H27" s="396">
        <v>0</v>
      </c>
      <c r="I27" s="396">
        <v>0</v>
      </c>
      <c r="J27" s="396">
        <v>0</v>
      </c>
      <c r="K27" s="1081">
        <v>0</v>
      </c>
      <c r="L27" s="5">
        <v>0</v>
      </c>
      <c r="M27" s="396">
        <v>0</v>
      </c>
      <c r="N27" s="1081">
        <v>0</v>
      </c>
      <c r="O27" s="5">
        <v>0</v>
      </c>
      <c r="P27" s="1038">
        <v>0</v>
      </c>
    </row>
    <row r="28" spans="1:16" s="613" customFormat="1" ht="15" customHeight="1">
      <c r="A28" s="592" t="s">
        <v>59</v>
      </c>
      <c r="B28" s="597"/>
      <c r="C28" s="1069">
        <v>0</v>
      </c>
      <c r="D28" s="5">
        <v>0</v>
      </c>
      <c r="E28" s="396">
        <v>0</v>
      </c>
      <c r="F28" s="5">
        <v>0</v>
      </c>
      <c r="G28" s="5">
        <v>0</v>
      </c>
      <c r="H28" s="396">
        <v>0</v>
      </c>
      <c r="I28" s="1037">
        <v>0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16" s="612" customFormat="1" ht="4.5" customHeight="1">
      <c r="A29" s="329"/>
      <c r="B29" s="596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388" customFormat="1" ht="21" customHeight="1" thickBot="1">
      <c r="A30" s="593" t="s">
        <v>60</v>
      </c>
      <c r="B30" s="598"/>
      <c r="C30" s="1068">
        <f>12+66+30</f>
        <v>108</v>
      </c>
      <c r="D30" s="580">
        <f>6+6+3</f>
        <v>15</v>
      </c>
      <c r="E30" s="1065">
        <f>6+60+27</f>
        <v>93</v>
      </c>
      <c r="F30" s="580">
        <f>3+0+9</f>
        <v>12</v>
      </c>
      <c r="G30" s="580">
        <f>0+33+9</f>
        <v>42</v>
      </c>
      <c r="H30" s="1065">
        <f>6+33+12</f>
        <v>51</v>
      </c>
      <c r="I30" s="1066">
        <f>3+18+9</f>
        <v>30</v>
      </c>
      <c r="J30" s="1066">
        <f>3+15+6</f>
        <v>24</v>
      </c>
      <c r="K30" s="580">
        <f>6+30+9</f>
        <v>45</v>
      </c>
      <c r="L30" s="580">
        <f>3+3</f>
        <v>6</v>
      </c>
      <c r="M30" s="1065">
        <f>3+27+6</f>
        <v>36</v>
      </c>
      <c r="N30" s="580">
        <f>6+24+9</f>
        <v>39</v>
      </c>
      <c r="O30" s="580">
        <v>3</v>
      </c>
      <c r="P30" s="1039">
        <f>3+21+6</f>
        <v>30</v>
      </c>
    </row>
    <row r="31" spans="1:16" s="388" customFormat="1" ht="3.65" customHeight="1">
      <c r="A31" s="605"/>
      <c r="B31" s="605"/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10"/>
      <c r="N31" s="605"/>
    </row>
    <row r="32" spans="1:16" ht="10.95" customHeight="1">
      <c r="A32" s="388" t="s">
        <v>297</v>
      </c>
      <c r="B32" s="388"/>
    </row>
    <row r="33" spans="1:16" s="389" customFormat="1" ht="12" customHeight="1">
      <c r="A33" s="388" t="s">
        <v>308</v>
      </c>
      <c r="B33" s="388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</row>
    <row r="34" spans="1:16" ht="12" customHeight="1">
      <c r="A34" s="71" t="s">
        <v>352</v>
      </c>
      <c r="B34" s="71"/>
      <c r="C34" s="6"/>
      <c r="D34" s="6"/>
      <c r="E34" s="6"/>
      <c r="F34" s="123"/>
      <c r="G34" s="123"/>
      <c r="H34" s="123"/>
      <c r="I34" s="429"/>
    </row>
    <row r="35" spans="1:16" s="389" customFormat="1" ht="12" customHeight="1">
      <c r="A35" s="388" t="s">
        <v>305</v>
      </c>
      <c r="B35" s="388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</row>
    <row r="36" spans="1:16">
      <c r="A36" s="608"/>
      <c r="B36" s="608"/>
      <c r="F36" s="607"/>
      <c r="G36" s="607"/>
      <c r="H36" s="607"/>
      <c r="I36" s="606"/>
    </row>
    <row r="37" spans="1:16" s="388" customFormat="1">
      <c r="C37" s="737"/>
    </row>
    <row r="38" spans="1:16" ht="10.75" thickBot="1">
      <c r="A38" s="593" t="s">
        <v>60</v>
      </c>
      <c r="B38" s="598"/>
      <c r="C38" s="1068">
        <v>105</v>
      </c>
      <c r="D38" s="580">
        <v>15</v>
      </c>
      <c r="E38" s="1065">
        <v>90</v>
      </c>
      <c r="F38" s="580">
        <v>15</v>
      </c>
      <c r="G38" s="580">
        <v>42</v>
      </c>
      <c r="H38" s="1065">
        <v>51</v>
      </c>
      <c r="I38" s="580">
        <v>33</v>
      </c>
      <c r="J38" s="1066">
        <v>21</v>
      </c>
      <c r="K38" s="1068">
        <v>45</v>
      </c>
      <c r="L38" s="580">
        <v>6</v>
      </c>
      <c r="M38" s="1065">
        <v>36</v>
      </c>
      <c r="N38" s="1068">
        <v>36</v>
      </c>
      <c r="O38" s="580">
        <v>0</v>
      </c>
      <c r="P38" s="1039">
        <v>30</v>
      </c>
    </row>
    <row r="39" spans="1:16" ht="10.75" thickBot="1">
      <c r="A39" s="593" t="s">
        <v>384</v>
      </c>
      <c r="B39" s="598"/>
      <c r="C39" s="1292">
        <f t="shared" ref="C39:P39" si="0">C30-C38</f>
        <v>3</v>
      </c>
      <c r="D39" s="1304">
        <f t="shared" si="0"/>
        <v>0</v>
      </c>
      <c r="E39" s="1294">
        <f t="shared" si="0"/>
        <v>3</v>
      </c>
      <c r="F39" s="1295">
        <f t="shared" si="0"/>
        <v>-3</v>
      </c>
      <c r="G39" s="1305">
        <f t="shared" si="0"/>
        <v>0</v>
      </c>
      <c r="H39" s="1311">
        <f t="shared" si="0"/>
        <v>0</v>
      </c>
      <c r="I39" s="1295">
        <f t="shared" si="0"/>
        <v>-3</v>
      </c>
      <c r="J39" s="1334">
        <f t="shared" si="0"/>
        <v>3</v>
      </c>
      <c r="K39" s="1303">
        <f t="shared" si="0"/>
        <v>0</v>
      </c>
      <c r="L39" s="1304">
        <f t="shared" si="0"/>
        <v>0</v>
      </c>
      <c r="M39" s="1302">
        <f t="shared" si="0"/>
        <v>0</v>
      </c>
      <c r="N39" s="1292">
        <f t="shared" si="0"/>
        <v>3</v>
      </c>
      <c r="O39" s="1293">
        <f t="shared" si="0"/>
        <v>3</v>
      </c>
      <c r="P39" s="1342">
        <f t="shared" si="0"/>
        <v>0</v>
      </c>
    </row>
  </sheetData>
  <mergeCells count="5">
    <mergeCell ref="C6:H7"/>
    <mergeCell ref="K6:P6"/>
    <mergeCell ref="A6:B12"/>
    <mergeCell ref="A4:P4"/>
    <mergeCell ref="N7:P8"/>
  </mergeCells>
  <printOptions horizontalCentered="1"/>
  <pageMargins left="0.39370078740157483" right="0.19685039370078741" top="0.98425196850393704" bottom="0.43307086614173229" header="0.51181102362204722" footer="0.23622047244094491"/>
  <pageSetup paperSize="9" scale="99" orientation="landscape" r:id="rId1"/>
  <headerFooter alignWithMargins="0">
    <oddHeader>&amp;C&amp;"Arial,Standard"&amp;8- 10 - &amp;R&amp;8&amp;D</oddHeader>
    <oddFooter>&amp;R
&amp;12...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2">
    <tabColor theme="0" tint="-0.499984740745262"/>
  </sheetPr>
  <dimension ref="A1:AH37"/>
  <sheetViews>
    <sheetView zoomScaleNormal="100" zoomScaleSheetLayoutView="100" workbookViewId="0">
      <selection activeCell="N30" sqref="N30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6" customWidth="1"/>
    <col min="11" max="16" width="7.69140625" style="6" customWidth="1"/>
    <col min="17" max="16384" width="11.3828125" style="6"/>
  </cols>
  <sheetData>
    <row r="1" spans="1:34" ht="12.45">
      <c r="I1" s="84"/>
    </row>
    <row r="2" spans="1:34" ht="12.45">
      <c r="A2" s="728" t="s">
        <v>213</v>
      </c>
      <c r="B2" s="63"/>
      <c r="C2" s="40"/>
      <c r="D2" s="41"/>
      <c r="E2" s="41"/>
      <c r="F2" s="41"/>
      <c r="G2" s="41"/>
      <c r="H2" s="41"/>
      <c r="I2" s="42"/>
      <c r="K2" s="43"/>
      <c r="L2" s="41"/>
      <c r="M2" s="41"/>
      <c r="N2" s="534"/>
      <c r="O2" s="41"/>
      <c r="P2" s="41"/>
    </row>
    <row r="3" spans="1:34">
      <c r="A3" s="65"/>
      <c r="B3" s="65"/>
      <c r="C3" s="44"/>
      <c r="D3" s="44"/>
      <c r="E3" s="44"/>
      <c r="F3" s="44"/>
      <c r="G3" s="44"/>
      <c r="H3" s="44"/>
      <c r="I3" s="44"/>
      <c r="K3" s="409"/>
      <c r="L3" s="44"/>
      <c r="M3" s="44"/>
    </row>
    <row r="4" spans="1:34" s="82" customFormat="1" ht="14.15">
      <c r="B4" s="590" t="s">
        <v>267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O4" s="136"/>
      <c r="P4" s="136"/>
    </row>
    <row r="5" spans="1:34" ht="10.75" thickBot="1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1"/>
      <c r="L5" s="410"/>
      <c r="M5" s="410"/>
      <c r="N5" s="410"/>
    </row>
    <row r="6" spans="1:34" ht="24.65" customHeight="1">
      <c r="A6" s="1501" t="s">
        <v>43</v>
      </c>
      <c r="B6" s="1532"/>
      <c r="C6" s="1513" t="s">
        <v>358</v>
      </c>
      <c r="D6" s="1514" t="s">
        <v>115</v>
      </c>
      <c r="E6" s="1514" t="s">
        <v>115</v>
      </c>
      <c r="F6" s="1514" t="s">
        <v>115</v>
      </c>
      <c r="G6" s="1514" t="s">
        <v>115</v>
      </c>
      <c r="H6" s="1515" t="s">
        <v>115</v>
      </c>
      <c r="I6" s="148" t="s">
        <v>0</v>
      </c>
      <c r="J6" s="207" t="s">
        <v>1</v>
      </c>
      <c r="K6" s="1510" t="s">
        <v>216</v>
      </c>
      <c r="L6" s="1530"/>
      <c r="M6" s="1530"/>
      <c r="N6" s="1530"/>
      <c r="O6" s="1530"/>
      <c r="P6" s="1531"/>
    </row>
    <row r="7" spans="1:34" ht="10.95" customHeight="1">
      <c r="A7" s="1533"/>
      <c r="B7" s="1534"/>
      <c r="C7" s="1539"/>
      <c r="D7" s="1528"/>
      <c r="E7" s="1528"/>
      <c r="F7" s="1528"/>
      <c r="G7" s="1528"/>
      <c r="H7" s="1529"/>
      <c r="I7" s="25" t="s">
        <v>3</v>
      </c>
      <c r="J7" s="19" t="s">
        <v>4</v>
      </c>
      <c r="K7" s="412"/>
      <c r="L7" s="413"/>
      <c r="M7" s="414"/>
      <c r="N7" s="1519" t="s">
        <v>298</v>
      </c>
      <c r="O7" s="1520"/>
      <c r="P7" s="1524"/>
    </row>
    <row r="8" spans="1:34" ht="12" customHeight="1">
      <c r="A8" s="1533"/>
      <c r="B8" s="1534"/>
      <c r="C8" s="20"/>
      <c r="D8" s="19"/>
      <c r="E8" s="19"/>
      <c r="F8" s="21" t="s">
        <v>165</v>
      </c>
      <c r="G8" s="21"/>
      <c r="H8" s="21"/>
      <c r="I8" s="19" t="s">
        <v>8</v>
      </c>
      <c r="J8" s="19" t="s">
        <v>8</v>
      </c>
      <c r="K8" s="15"/>
      <c r="L8" s="415"/>
      <c r="M8" s="19"/>
      <c r="N8" s="1522"/>
      <c r="O8" s="1523"/>
      <c r="P8" s="1525"/>
      <c r="Q8" s="41"/>
      <c r="R8" s="41"/>
      <c r="S8" s="41"/>
      <c r="T8" s="42"/>
      <c r="U8" s="42"/>
      <c r="V8" s="43"/>
      <c r="W8" s="41"/>
      <c r="X8" s="41"/>
      <c r="Y8" s="41"/>
      <c r="Z8" s="41"/>
      <c r="AA8" s="41"/>
      <c r="AB8" s="41"/>
      <c r="AC8" s="41"/>
      <c r="AD8" s="41"/>
      <c r="AE8" s="42"/>
      <c r="AF8" s="41"/>
      <c r="AG8" s="41"/>
      <c r="AH8" s="64" t="s">
        <v>110</v>
      </c>
    </row>
    <row r="9" spans="1:34" ht="12" customHeight="1">
      <c r="A9" s="1533"/>
      <c r="B9" s="1534"/>
      <c r="C9" s="417"/>
      <c r="D9" s="208"/>
      <c r="E9" s="208"/>
      <c r="F9" s="26" t="s">
        <v>300</v>
      </c>
      <c r="G9" s="27"/>
      <c r="H9" s="27"/>
      <c r="I9" s="19" t="s">
        <v>20</v>
      </c>
      <c r="J9" s="19" t="s">
        <v>20</v>
      </c>
      <c r="K9" s="263"/>
      <c r="L9" s="418"/>
      <c r="M9" s="208"/>
      <c r="N9" s="498"/>
      <c r="O9" s="297"/>
      <c r="P9" s="551"/>
    </row>
    <row r="10" spans="1:34" ht="12" customHeight="1">
      <c r="A10" s="1533"/>
      <c r="B10" s="1534"/>
      <c r="C10" s="20" t="s">
        <v>19</v>
      </c>
      <c r="D10" s="19" t="s">
        <v>17</v>
      </c>
      <c r="E10" s="19" t="s">
        <v>18</v>
      </c>
      <c r="F10" s="420"/>
      <c r="G10" s="421"/>
      <c r="H10" s="421"/>
      <c r="I10" s="19" t="s">
        <v>33</v>
      </c>
      <c r="J10" s="19" t="s">
        <v>33</v>
      </c>
      <c r="K10" s="422" t="s">
        <v>19</v>
      </c>
      <c r="L10" s="15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34" ht="12" customHeight="1">
      <c r="A11" s="1533"/>
      <c r="B11" s="1534"/>
      <c r="C11" s="20" t="s">
        <v>29</v>
      </c>
      <c r="D11" s="19" t="s">
        <v>28</v>
      </c>
      <c r="E11" s="19" t="s">
        <v>28</v>
      </c>
      <c r="F11" s="15" t="s">
        <v>30</v>
      </c>
      <c r="G11" s="424" t="s">
        <v>31</v>
      </c>
      <c r="H11" s="424" t="s">
        <v>32</v>
      </c>
      <c r="I11" s="19" t="s">
        <v>39</v>
      </c>
      <c r="J11" s="19" t="s">
        <v>39</v>
      </c>
      <c r="K11" s="422" t="s">
        <v>29</v>
      </c>
      <c r="L11" s="15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34" ht="12" customHeight="1">
      <c r="A12" s="1535"/>
      <c r="B12" s="1536"/>
      <c r="C12" s="417"/>
      <c r="D12" s="425"/>
      <c r="E12" s="425"/>
      <c r="F12" s="426"/>
      <c r="G12" s="427"/>
      <c r="H12" s="427"/>
      <c r="I12" s="208"/>
      <c r="J12" s="208"/>
      <c r="K12" s="263"/>
      <c r="L12" s="418"/>
      <c r="M12" s="208"/>
      <c r="N12" s="417"/>
      <c r="O12" s="426"/>
      <c r="P12" s="518"/>
    </row>
    <row r="13" spans="1:34" ht="15" customHeight="1">
      <c r="A13" s="592" t="s">
        <v>167</v>
      </c>
      <c r="B13" s="558"/>
      <c r="C13" s="1078">
        <f>69+18+27+3+6</f>
        <v>123</v>
      </c>
      <c r="D13" s="1076">
        <f>3+3+6</f>
        <v>12</v>
      </c>
      <c r="E13" s="1077">
        <f>66+15+21+6</f>
        <v>108</v>
      </c>
      <c r="F13" s="1076">
        <f>24+9+9+3</f>
        <v>45</v>
      </c>
      <c r="G13" s="1076">
        <f>21+3+6</f>
        <v>30</v>
      </c>
      <c r="H13" s="1077">
        <f>27+6+12+3</f>
        <v>48</v>
      </c>
      <c r="I13" s="1067">
        <f>27+9+18+3</f>
        <v>57</v>
      </c>
      <c r="J13" s="1067">
        <f>12+6+3</f>
        <v>21</v>
      </c>
      <c r="K13" s="1080">
        <f>21+9+12+3</f>
        <v>45</v>
      </c>
      <c r="L13" s="1076">
        <f>3</f>
        <v>3</v>
      </c>
      <c r="M13" s="1077">
        <f>18+9+9+3</f>
        <v>39</v>
      </c>
      <c r="N13" s="1080">
        <f>15+6+9+3</f>
        <v>33</v>
      </c>
      <c r="O13" s="1076">
        <f>3</f>
        <v>3</v>
      </c>
      <c r="P13" s="1084">
        <f>12+6+9+3</f>
        <v>30</v>
      </c>
    </row>
    <row r="14" spans="1:34" ht="15" customHeight="1">
      <c r="A14" s="592" t="s">
        <v>49</v>
      </c>
      <c r="B14" s="121"/>
      <c r="C14" s="1069">
        <f>6</f>
        <v>6</v>
      </c>
      <c r="D14" s="5">
        <v>0</v>
      </c>
      <c r="E14" s="396">
        <f>6</f>
        <v>6</v>
      </c>
      <c r="F14" s="5">
        <f>3</f>
        <v>3</v>
      </c>
      <c r="G14" s="5">
        <f>3</f>
        <v>3</v>
      </c>
      <c r="H14" s="396">
        <f>0</f>
        <v>0</v>
      </c>
      <c r="I14" s="396">
        <v>6</v>
      </c>
      <c r="J14" s="396">
        <f>6+3</f>
        <v>9</v>
      </c>
      <c r="K14" s="1081">
        <v>3</v>
      </c>
      <c r="L14" s="5">
        <v>0</v>
      </c>
      <c r="M14" s="396">
        <v>3</v>
      </c>
      <c r="N14" s="1081">
        <v>3</v>
      </c>
      <c r="O14" s="5">
        <v>0</v>
      </c>
      <c r="P14" s="1038">
        <v>3</v>
      </c>
    </row>
    <row r="15" spans="1:34" ht="15" customHeight="1">
      <c r="A15" s="592" t="s">
        <v>52</v>
      </c>
      <c r="B15" s="121"/>
      <c r="C15" s="1069">
        <f>120+33+99+3+12</f>
        <v>267</v>
      </c>
      <c r="D15" s="5">
        <f>9+9+21</f>
        <v>39</v>
      </c>
      <c r="E15" s="396">
        <f>111+24+78+3+9</f>
        <v>225</v>
      </c>
      <c r="F15" s="5">
        <f>21+6+12</f>
        <v>39</v>
      </c>
      <c r="G15" s="5">
        <f>48+15+42+3</f>
        <v>108</v>
      </c>
      <c r="H15" s="396">
        <f>51+9+45+6</f>
        <v>111</v>
      </c>
      <c r="I15" s="396">
        <f>57+18+36+6</f>
        <v>117</v>
      </c>
      <c r="J15" s="396">
        <f>27+9+27+3+3</f>
        <v>69</v>
      </c>
      <c r="K15" s="1081">
        <f>39+9+42</f>
        <v>90</v>
      </c>
      <c r="L15" s="5">
        <f>3+9</f>
        <v>12</v>
      </c>
      <c r="M15" s="396">
        <f>36+9+33</f>
        <v>78</v>
      </c>
      <c r="N15" s="1081">
        <f>33+9+39</f>
        <v>81</v>
      </c>
      <c r="O15" s="5">
        <f>3+9</f>
        <v>12</v>
      </c>
      <c r="P15" s="1038">
        <f>30+9+30</f>
        <v>69</v>
      </c>
    </row>
    <row r="16" spans="1:34" ht="15" customHeight="1">
      <c r="A16" s="592" t="s">
        <v>48</v>
      </c>
      <c r="B16" s="557"/>
      <c r="C16" s="1069">
        <v>3</v>
      </c>
      <c r="D16" s="5">
        <v>0</v>
      </c>
      <c r="E16" s="396">
        <v>0</v>
      </c>
      <c r="F16" s="5">
        <v>3</v>
      </c>
      <c r="G16" s="5">
        <v>0</v>
      </c>
      <c r="H16" s="396">
        <v>0</v>
      </c>
      <c r="I16" s="396">
        <v>3</v>
      </c>
      <c r="J16" s="396">
        <v>3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57"/>
      <c r="C17" s="1069">
        <f>108+27+210+21+9</f>
        <v>375</v>
      </c>
      <c r="D17" s="5">
        <f>12+3+36+6+3</f>
        <v>60</v>
      </c>
      <c r="E17" s="396">
        <f>93+24+177+15+9</f>
        <v>318</v>
      </c>
      <c r="F17" s="5">
        <f>36+6+42+6</f>
        <v>90</v>
      </c>
      <c r="G17" s="5">
        <f>42+6+75+9+3</f>
        <v>135</v>
      </c>
      <c r="H17" s="396">
        <f>30+15+93+9+6</f>
        <v>153</v>
      </c>
      <c r="I17" s="396">
        <f>48+9+99+9+3</f>
        <v>168</v>
      </c>
      <c r="J17" s="396">
        <f>21+3+30+6+3</f>
        <v>63</v>
      </c>
      <c r="K17" s="1081">
        <f>45+12+81+9+3</f>
        <v>150</v>
      </c>
      <c r="L17" s="5">
        <f>6+3+18+3</f>
        <v>30</v>
      </c>
      <c r="M17" s="396">
        <f>39+12+66+6+3</f>
        <v>126</v>
      </c>
      <c r="N17" s="1081">
        <f>39+12+66+6+3</f>
        <v>126</v>
      </c>
      <c r="O17" s="5">
        <f>6+3+15+3</f>
        <v>27</v>
      </c>
      <c r="P17" s="1038">
        <f>33+9+51+6+3</f>
        <v>102</v>
      </c>
    </row>
    <row r="18" spans="1:16" ht="15" customHeight="1">
      <c r="A18" s="592" t="s">
        <v>50</v>
      </c>
      <c r="B18" s="558"/>
      <c r="C18" s="1069">
        <f>9+12+3</f>
        <v>24</v>
      </c>
      <c r="D18" s="5">
        <v>3</v>
      </c>
      <c r="E18" s="396">
        <f>9+9+3</f>
        <v>21</v>
      </c>
      <c r="F18" s="5">
        <f>9+12+3</f>
        <v>24</v>
      </c>
      <c r="G18" s="5">
        <v>0</v>
      </c>
      <c r="H18" s="396">
        <v>0</v>
      </c>
      <c r="I18" s="396">
        <f>9+12+3</f>
        <v>24</v>
      </c>
      <c r="J18" s="396">
        <f>3+3</f>
        <v>6</v>
      </c>
      <c r="K18" s="1081">
        <v>3</v>
      </c>
      <c r="L18" s="5">
        <v>3</v>
      </c>
      <c r="M18" s="396">
        <v>0</v>
      </c>
      <c r="N18" s="1081">
        <v>3</v>
      </c>
      <c r="O18" s="5">
        <v>3</v>
      </c>
      <c r="P18" s="1038">
        <v>0</v>
      </c>
    </row>
    <row r="19" spans="1:16" ht="15" customHeight="1">
      <c r="A19" s="592" t="s">
        <v>181</v>
      </c>
      <c r="B19" s="558"/>
      <c r="C19" s="1069">
        <f>69+3+33+9</f>
        <v>114</v>
      </c>
      <c r="D19" s="5">
        <f>6+6+3</f>
        <v>15</v>
      </c>
      <c r="E19" s="396">
        <f>60+3+27+6</f>
        <v>96</v>
      </c>
      <c r="F19" s="5">
        <f>21+3+3</f>
        <v>27</v>
      </c>
      <c r="G19" s="5">
        <f>27+21+3</f>
        <v>51</v>
      </c>
      <c r="H19" s="396">
        <f>21+3+9+3</f>
        <v>36</v>
      </c>
      <c r="I19" s="396">
        <f>33+3+18+3</f>
        <v>57</v>
      </c>
      <c r="J19" s="396">
        <f>15+3+6+6</f>
        <v>30</v>
      </c>
      <c r="K19" s="1081">
        <f>24+18+3</f>
        <v>45</v>
      </c>
      <c r="L19" s="5">
        <f>6+3</f>
        <v>9</v>
      </c>
      <c r="M19" s="396">
        <f>18+15+3</f>
        <v>36</v>
      </c>
      <c r="N19" s="1081">
        <f>21+15+3</f>
        <v>39</v>
      </c>
      <c r="O19" s="5">
        <f>3+3</f>
        <v>6</v>
      </c>
      <c r="P19" s="1038">
        <f>18+12</f>
        <v>30</v>
      </c>
    </row>
    <row r="20" spans="1:16" ht="15" customHeight="1">
      <c r="A20" s="592" t="s">
        <v>44</v>
      </c>
      <c r="B20" s="121"/>
      <c r="C20" s="1069">
        <f>90+15+57+3+9</f>
        <v>174</v>
      </c>
      <c r="D20" s="5">
        <f>15+3+9</f>
        <v>27</v>
      </c>
      <c r="E20" s="396">
        <f>75+12+48+3+9</f>
        <v>147</v>
      </c>
      <c r="F20" s="5">
        <f>24+3+9+3</f>
        <v>39</v>
      </c>
      <c r="G20" s="5">
        <f>30+9+24+3</f>
        <v>66</v>
      </c>
      <c r="H20" s="396">
        <f>36+3+24+6</f>
        <v>69</v>
      </c>
      <c r="I20" s="396">
        <f>48+9+33+3+3</f>
        <v>96</v>
      </c>
      <c r="J20" s="396">
        <f>15+27</f>
        <v>42</v>
      </c>
      <c r="K20" s="1081">
        <f>30+9+24+3</f>
        <v>66</v>
      </c>
      <c r="L20" s="5">
        <f>9+6</f>
        <v>15</v>
      </c>
      <c r="M20" s="396">
        <f>21+9+18+3</f>
        <v>51</v>
      </c>
      <c r="N20" s="1081">
        <f>30+9+18+3</f>
        <v>60</v>
      </c>
      <c r="O20" s="5">
        <f>6+6</f>
        <v>12</v>
      </c>
      <c r="P20" s="1038">
        <f>21+6+15+3</f>
        <v>45</v>
      </c>
    </row>
    <row r="21" spans="1:16" ht="15" customHeight="1">
      <c r="A21" s="592" t="s">
        <v>45</v>
      </c>
      <c r="B21" s="121"/>
      <c r="C21" s="1069">
        <f>78+21+45+6+15</f>
        <v>165</v>
      </c>
      <c r="D21" s="5">
        <f>9+6+9</f>
        <v>24</v>
      </c>
      <c r="E21" s="396">
        <f>69+15+36+3+15</f>
        <v>138</v>
      </c>
      <c r="F21" s="5">
        <f>30+6+12+3</f>
        <v>51</v>
      </c>
      <c r="G21" s="5">
        <f>27+9+18+3+6</f>
        <v>63</v>
      </c>
      <c r="H21" s="396">
        <f>21+6+15+3+6</f>
        <v>51</v>
      </c>
      <c r="I21" s="396">
        <f>36+9+21+6</f>
        <v>72</v>
      </c>
      <c r="J21" s="396">
        <f>18+9+3+3</f>
        <v>33</v>
      </c>
      <c r="K21" s="1081">
        <f>21+3+12+6</f>
        <v>42</v>
      </c>
      <c r="L21" s="5">
        <f>3+3</f>
        <v>6</v>
      </c>
      <c r="M21" s="396">
        <f>18+3+9+6</f>
        <v>36</v>
      </c>
      <c r="N21" s="1081">
        <f>18+3+12+3</f>
        <v>36</v>
      </c>
      <c r="O21" s="5">
        <f>3+3</f>
        <v>6</v>
      </c>
      <c r="P21" s="1038">
        <f>15+3+9+3</f>
        <v>30</v>
      </c>
    </row>
    <row r="22" spans="1:16" ht="15" customHeight="1">
      <c r="A22" s="592" t="s">
        <v>55</v>
      </c>
      <c r="B22" s="558"/>
      <c r="C22" s="1069">
        <f>12+6+3+6</f>
        <v>27</v>
      </c>
      <c r="D22" s="5">
        <f>3+3</f>
        <v>6</v>
      </c>
      <c r="E22" s="396">
        <f>12+3+3+6</f>
        <v>24</v>
      </c>
      <c r="F22" s="5">
        <f>3</f>
        <v>3</v>
      </c>
      <c r="G22" s="5">
        <f>3</f>
        <v>3</v>
      </c>
      <c r="H22" s="396">
        <f>6+3+6</f>
        <v>15</v>
      </c>
      <c r="I22" s="396">
        <f>6+3+3</f>
        <v>12</v>
      </c>
      <c r="J22" s="396">
        <v>3</v>
      </c>
      <c r="K22" s="1081">
        <f>3+3</f>
        <v>6</v>
      </c>
      <c r="L22" s="5">
        <v>0</v>
      </c>
      <c r="M22" s="396">
        <f>3+3</f>
        <v>6</v>
      </c>
      <c r="N22" s="1081">
        <f>3+3</f>
        <v>6</v>
      </c>
      <c r="O22" s="5">
        <v>0</v>
      </c>
      <c r="P22" s="1038">
        <f>3+3</f>
        <v>6</v>
      </c>
    </row>
    <row r="23" spans="1:16" ht="15" customHeight="1">
      <c r="A23" s="592" t="s">
        <v>46</v>
      </c>
      <c r="B23" s="121"/>
      <c r="C23" s="1070">
        <f>3+3</f>
        <v>6</v>
      </c>
      <c r="D23" s="1063">
        <v>0</v>
      </c>
      <c r="E23" s="1064">
        <f>3+3</f>
        <v>6</v>
      </c>
      <c r="F23" s="1063">
        <f>3</f>
        <v>3</v>
      </c>
      <c r="G23" s="1063">
        <f>3+3</f>
        <v>6</v>
      </c>
      <c r="H23" s="1064">
        <f>0</f>
        <v>0</v>
      </c>
      <c r="I23" s="396">
        <f>3+3</f>
        <v>6</v>
      </c>
      <c r="J23" s="396">
        <v>3</v>
      </c>
      <c r="K23" s="1082">
        <v>3</v>
      </c>
      <c r="L23" s="1063">
        <v>0</v>
      </c>
      <c r="M23" s="1064">
        <v>3</v>
      </c>
      <c r="N23" s="1082">
        <v>3</v>
      </c>
      <c r="O23" s="1063">
        <v>0</v>
      </c>
      <c r="P23" s="1036">
        <v>3</v>
      </c>
    </row>
    <row r="24" spans="1:16" ht="15" customHeight="1">
      <c r="A24" s="592" t="s">
        <v>47</v>
      </c>
      <c r="B24" s="558"/>
      <c r="C24" s="1069">
        <f>60+30+9+3+3</f>
        <v>105</v>
      </c>
      <c r="D24" s="5">
        <f>3+6+3+3</f>
        <v>15</v>
      </c>
      <c r="E24" s="396">
        <f>57+24+6+3+3</f>
        <v>93</v>
      </c>
      <c r="F24" s="5">
        <f>21+12</f>
        <v>33</v>
      </c>
      <c r="G24" s="5">
        <f>24+9+3+3</f>
        <v>39</v>
      </c>
      <c r="H24" s="396">
        <f>15+9+6</f>
        <v>30</v>
      </c>
      <c r="I24" s="258">
        <f>24+15+6+3</f>
        <v>48</v>
      </c>
      <c r="J24" s="258">
        <f>9+3+3</f>
        <v>15</v>
      </c>
      <c r="K24" s="1081">
        <f>24+15+9</f>
        <v>48</v>
      </c>
      <c r="L24" s="5">
        <f>3+3+3</f>
        <v>9</v>
      </c>
      <c r="M24" s="396">
        <f>21+12+6</f>
        <v>39</v>
      </c>
      <c r="N24" s="1081">
        <f>15+9+9</f>
        <v>33</v>
      </c>
      <c r="O24" s="5">
        <f>3+3+3</f>
        <v>9</v>
      </c>
      <c r="P24" s="1038">
        <f>12+6+6</f>
        <v>24</v>
      </c>
    </row>
    <row r="25" spans="1:16" ht="15" customHeight="1">
      <c r="A25" s="592" t="s">
        <v>51</v>
      </c>
      <c r="B25" s="121"/>
      <c r="C25" s="1069">
        <f>27+3+6</f>
        <v>36</v>
      </c>
      <c r="D25" s="5">
        <f>6+3</f>
        <v>9</v>
      </c>
      <c r="E25" s="396">
        <f>18+3+3</f>
        <v>24</v>
      </c>
      <c r="F25" s="5">
        <v>6</v>
      </c>
      <c r="G25" s="5">
        <f>12+3+3</f>
        <v>18</v>
      </c>
      <c r="H25" s="396">
        <f>9+3</f>
        <v>12</v>
      </c>
      <c r="I25" s="396">
        <f>12+3</f>
        <v>15</v>
      </c>
      <c r="J25" s="396">
        <f>6+3</f>
        <v>9</v>
      </c>
      <c r="K25" s="1081">
        <f>12+3</f>
        <v>15</v>
      </c>
      <c r="L25" s="5">
        <f>3</f>
        <v>3</v>
      </c>
      <c r="M25" s="396">
        <f>6+3</f>
        <v>9</v>
      </c>
      <c r="N25" s="1081">
        <f>9</f>
        <v>9</v>
      </c>
      <c r="O25" s="5">
        <f>3</f>
        <v>3</v>
      </c>
      <c r="P25" s="1038">
        <f>6</f>
        <v>6</v>
      </c>
    </row>
    <row r="26" spans="1:16" ht="15" customHeight="1">
      <c r="A26" s="592" t="s">
        <v>56</v>
      </c>
      <c r="B26" s="121"/>
      <c r="C26" s="1069">
        <f>63+3+3</f>
        <v>69</v>
      </c>
      <c r="D26" s="5">
        <f>12+3</f>
        <v>15</v>
      </c>
      <c r="E26" s="396">
        <f>51+3+3</f>
        <v>57</v>
      </c>
      <c r="F26" s="5">
        <v>21</v>
      </c>
      <c r="G26" s="5">
        <f>24+3+3</f>
        <v>30</v>
      </c>
      <c r="H26" s="396">
        <f>18+3</f>
        <v>21</v>
      </c>
      <c r="I26" s="396">
        <f>27+3+3</f>
        <v>33</v>
      </c>
      <c r="J26" s="396">
        <v>3</v>
      </c>
      <c r="K26" s="1081">
        <f>24</f>
        <v>24</v>
      </c>
      <c r="L26" s="5">
        <f>3</f>
        <v>3</v>
      </c>
      <c r="M26" s="396">
        <f>21</f>
        <v>21</v>
      </c>
      <c r="N26" s="1081">
        <f>21</f>
        <v>21</v>
      </c>
      <c r="O26" s="5">
        <f>3</f>
        <v>3</v>
      </c>
      <c r="P26" s="1038">
        <f>18</f>
        <v>18</v>
      </c>
    </row>
    <row r="27" spans="1:16" s="70" customFormat="1" ht="15" customHeight="1">
      <c r="A27" s="592" t="s">
        <v>57</v>
      </c>
      <c r="B27" s="122"/>
      <c r="C27" s="1069">
        <f>36+3</f>
        <v>39</v>
      </c>
      <c r="D27" s="5">
        <v>3</v>
      </c>
      <c r="E27" s="396">
        <f>33+3</f>
        <v>36</v>
      </c>
      <c r="F27" s="5">
        <v>15</v>
      </c>
      <c r="G27" s="5">
        <f>12+3</f>
        <v>15</v>
      </c>
      <c r="H27" s="396">
        <v>9</v>
      </c>
      <c r="I27" s="396">
        <f>18+3</f>
        <v>21</v>
      </c>
      <c r="J27" s="396">
        <v>6</v>
      </c>
      <c r="K27" s="1081">
        <f>18+3</f>
        <v>21</v>
      </c>
      <c r="L27" s="5">
        <v>3</v>
      </c>
      <c r="M27" s="396">
        <v>15</v>
      </c>
      <c r="N27" s="1081">
        <f>18+3</f>
        <v>21</v>
      </c>
      <c r="O27" s="5">
        <v>3</v>
      </c>
      <c r="P27" s="1038">
        <v>15</v>
      </c>
    </row>
    <row r="28" spans="1:16" s="7" customFormat="1" ht="15" customHeight="1">
      <c r="A28" s="592" t="s">
        <v>59</v>
      </c>
      <c r="B28" s="122"/>
      <c r="C28" s="1069">
        <v>24</v>
      </c>
      <c r="D28" s="5">
        <v>3</v>
      </c>
      <c r="E28" s="396">
        <v>21</v>
      </c>
      <c r="F28" s="5">
        <v>9</v>
      </c>
      <c r="G28" s="5">
        <v>9</v>
      </c>
      <c r="H28" s="396">
        <v>6</v>
      </c>
      <c r="I28" s="1037">
        <v>15</v>
      </c>
      <c r="J28" s="1037">
        <v>3</v>
      </c>
      <c r="K28" s="1081">
        <v>9</v>
      </c>
      <c r="L28" s="5">
        <v>0</v>
      </c>
      <c r="M28" s="396">
        <v>9</v>
      </c>
      <c r="N28" s="1081">
        <v>9</v>
      </c>
      <c r="O28" s="5">
        <v>0</v>
      </c>
      <c r="P28" s="1038">
        <v>9</v>
      </c>
    </row>
    <row r="29" spans="1:16" s="39" customFormat="1" ht="4.5" customHeight="1">
      <c r="A29" s="329"/>
      <c r="B29" s="557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70" customFormat="1" ht="21" customHeight="1" thickBot="1">
      <c r="A30" s="593" t="s">
        <v>60</v>
      </c>
      <c r="B30" s="541"/>
      <c r="C30" s="1068">
        <f>765+168+513+42+72</f>
        <v>1560</v>
      </c>
      <c r="D30" s="580">
        <f>84+33+96+12+9</f>
        <v>234</v>
      </c>
      <c r="E30" s="1065">
        <f>681+135+414+30+63</f>
        <v>1323</v>
      </c>
      <c r="F30" s="580">
        <f>234+54+105+15+12</f>
        <v>420</v>
      </c>
      <c r="G30" s="580">
        <f>285+57+195+12+24</f>
        <v>573</v>
      </c>
      <c r="H30" s="1065">
        <f>246+57+213+15+36</f>
        <v>567</v>
      </c>
      <c r="I30" s="1066">
        <f>357+87+252+21+30</f>
        <v>747</v>
      </c>
      <c r="J30" s="1066">
        <f>147+30+111+12+15</f>
        <v>315</v>
      </c>
      <c r="K30" s="580">
        <f>273+63+210+9+18</f>
        <v>573</v>
      </c>
      <c r="L30" s="580">
        <f>39+9+45+3</f>
        <v>96</v>
      </c>
      <c r="M30" s="1065">
        <f>234+54+165+9+18</f>
        <v>480</v>
      </c>
      <c r="N30" s="580">
        <f>234+45+177+9+12</f>
        <v>477</v>
      </c>
      <c r="O30" s="580">
        <f>36+6+39+3</f>
        <v>84</v>
      </c>
      <c r="P30" s="1039">
        <f>198+39+138+6+12</f>
        <v>393</v>
      </c>
    </row>
    <row r="31" spans="1:16" s="70" customFormat="1" ht="3.6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3"/>
      <c r="N31" s="6"/>
    </row>
    <row r="32" spans="1:16" ht="10.95" customHeight="1">
      <c r="A32" s="70" t="s">
        <v>297</v>
      </c>
      <c r="B32" s="71"/>
    </row>
    <row r="33" spans="1:16" s="82" customFormat="1" ht="12" customHeight="1">
      <c r="A33" s="70" t="s">
        <v>309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</row>
    <row r="34" spans="1:16" ht="11.9" customHeight="1">
      <c r="A34" s="71"/>
      <c r="B34" s="71"/>
      <c r="F34" s="123"/>
      <c r="G34" s="123"/>
      <c r="H34" s="123"/>
      <c r="I34" s="429"/>
    </row>
    <row r="35" spans="1:16" s="70" customFormat="1"/>
    <row r="36" spans="1:16" ht="10.75" thickBot="1">
      <c r="A36" s="593" t="s">
        <v>60</v>
      </c>
      <c r="B36" s="598"/>
      <c r="C36" s="1068">
        <v>1557</v>
      </c>
      <c r="D36" s="580">
        <v>231</v>
      </c>
      <c r="E36" s="1065">
        <v>1320</v>
      </c>
      <c r="F36" s="580">
        <v>411</v>
      </c>
      <c r="G36" s="580">
        <v>576</v>
      </c>
      <c r="H36" s="1065">
        <v>561</v>
      </c>
      <c r="I36" s="580">
        <v>750</v>
      </c>
      <c r="J36" s="1066">
        <v>318</v>
      </c>
      <c r="K36" s="1068">
        <v>570</v>
      </c>
      <c r="L36" s="580">
        <v>96</v>
      </c>
      <c r="M36" s="1065">
        <v>471</v>
      </c>
      <c r="N36" s="1068">
        <v>483</v>
      </c>
      <c r="O36" s="580">
        <v>87</v>
      </c>
      <c r="P36" s="1039">
        <v>390</v>
      </c>
    </row>
    <row r="37" spans="1:16" ht="10.75" thickBot="1">
      <c r="A37" s="593" t="s">
        <v>384</v>
      </c>
      <c r="B37" s="598"/>
      <c r="C37" s="1292">
        <f t="shared" ref="C37:P37" si="0">C30-C36</f>
        <v>3</v>
      </c>
      <c r="D37" s="1293">
        <f t="shared" si="0"/>
        <v>3</v>
      </c>
      <c r="E37" s="1294">
        <f t="shared" si="0"/>
        <v>3</v>
      </c>
      <c r="F37" s="1314">
        <f t="shared" si="0"/>
        <v>9</v>
      </c>
      <c r="G37" s="1295">
        <f t="shared" si="0"/>
        <v>-3</v>
      </c>
      <c r="H37" s="1298">
        <f t="shared" si="0"/>
        <v>6</v>
      </c>
      <c r="I37" s="1295">
        <f t="shared" si="0"/>
        <v>-3</v>
      </c>
      <c r="J37" s="1336">
        <f t="shared" si="0"/>
        <v>-3</v>
      </c>
      <c r="K37" s="1292">
        <f t="shared" si="0"/>
        <v>3</v>
      </c>
      <c r="L37" s="1304">
        <f t="shared" si="0"/>
        <v>0</v>
      </c>
      <c r="M37" s="1294">
        <f t="shared" si="0"/>
        <v>9</v>
      </c>
      <c r="N37" s="1328">
        <f t="shared" si="0"/>
        <v>-6</v>
      </c>
      <c r="O37" s="1295">
        <f t="shared" si="0"/>
        <v>-3</v>
      </c>
      <c r="P37" s="1341">
        <f t="shared" si="0"/>
        <v>3</v>
      </c>
    </row>
  </sheetData>
  <mergeCells count="4">
    <mergeCell ref="A6:B12"/>
    <mergeCell ref="C6:H7"/>
    <mergeCell ref="K6:P6"/>
    <mergeCell ref="N7:P8"/>
  </mergeCells>
  <printOptions horizontalCentered="1"/>
  <pageMargins left="0.39370078740157483" right="0.19685039370078741" top="0.78740157480314965" bottom="0.43307086614173229" header="0.51181102362204722" footer="0.23622047244094491"/>
  <pageSetup paperSize="9" orientation="landscape" r:id="rId1"/>
  <headerFooter alignWithMargins="0">
    <oddHeader>&amp;C&amp;"Arial,Standard"&amp;8- 11 - &amp;R&amp;8&amp;D</oddHeader>
    <oddFooter>&amp;R
&amp;12...</oddFooter>
  </headerFooter>
  <ignoredErrors>
    <ignoredError sqref="F23 H23 O20 J25:J26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4">
    <tabColor theme="0" tint="-0.499984740745262"/>
  </sheetPr>
  <dimension ref="A2:P233"/>
  <sheetViews>
    <sheetView topLeftCell="A179" zoomScaleNormal="100" zoomScaleSheetLayoutView="100" workbookViewId="0">
      <selection activeCell="M201" sqref="M201"/>
    </sheetView>
  </sheetViews>
  <sheetFormatPr baseColWidth="10" defaultColWidth="11.3828125" defaultRowHeight="10.3"/>
  <cols>
    <col min="1" max="1" width="4.53515625" style="70" customWidth="1"/>
    <col min="2" max="2" width="18.3046875" style="70" customWidth="1"/>
    <col min="3" max="8" width="7.69140625" style="70" customWidth="1"/>
    <col min="9" max="9" width="9.15234375" style="430" customWidth="1"/>
    <col min="10" max="10" width="9.69140625" style="430" customWidth="1"/>
    <col min="11" max="16" width="7.69140625" style="70" customWidth="1"/>
    <col min="17" max="16384" width="11.3828125" style="70"/>
  </cols>
  <sheetData>
    <row r="2" spans="1:16" ht="12.45">
      <c r="A2" s="1598" t="s">
        <v>213</v>
      </c>
      <c r="B2" s="1598"/>
      <c r="C2" s="1598"/>
      <c r="D2" s="41"/>
      <c r="E2" s="41"/>
      <c r="F2" s="41"/>
      <c r="G2" s="41"/>
      <c r="H2" s="41"/>
      <c r="I2" s="43" t="s">
        <v>162</v>
      </c>
      <c r="K2" s="43"/>
      <c r="L2" s="43"/>
      <c r="M2" s="41"/>
      <c r="N2" s="534"/>
    </row>
    <row r="3" spans="1:16">
      <c r="A3" s="65"/>
      <c r="B3" s="40"/>
      <c r="C3" s="41"/>
      <c r="D3" s="41"/>
      <c r="E3" s="41"/>
      <c r="F3" s="41"/>
      <c r="G3" s="41"/>
      <c r="H3" s="41"/>
      <c r="I3" s="70"/>
      <c r="J3" s="42"/>
      <c r="K3" s="41"/>
      <c r="L3" s="41"/>
      <c r="M3" s="41"/>
      <c r="N3" s="41"/>
    </row>
    <row r="4" spans="1:16" ht="14.15">
      <c r="A4" s="1600" t="s">
        <v>155</v>
      </c>
      <c r="B4" s="1566"/>
      <c r="C4" s="1566"/>
      <c r="D4" s="1566"/>
      <c r="E4" s="1566"/>
      <c r="F4" s="1566"/>
      <c r="G4" s="1566"/>
      <c r="H4" s="1566"/>
      <c r="I4" s="1566"/>
      <c r="J4" s="1566"/>
      <c r="K4" s="1566"/>
      <c r="L4" s="1566"/>
      <c r="M4" s="1566"/>
      <c r="N4" s="1566"/>
      <c r="O4" s="1566"/>
      <c r="P4" s="1566"/>
    </row>
    <row r="5" spans="1:16" ht="10" customHeight="1" thickBot="1">
      <c r="A5" s="431"/>
      <c r="B5" s="45"/>
      <c r="C5" s="431"/>
      <c r="D5" s="431"/>
      <c r="E5" s="431"/>
      <c r="F5" s="431"/>
      <c r="G5" s="431"/>
      <c r="H5" s="431"/>
      <c r="I5" s="432"/>
      <c r="J5" s="432"/>
      <c r="K5" s="431"/>
      <c r="L5" s="431"/>
      <c r="M5" s="431"/>
      <c r="N5" s="431"/>
    </row>
    <row r="6" spans="1:16" ht="18" customHeight="1">
      <c r="A6" s="395"/>
      <c r="B6" s="433"/>
      <c r="C6" s="1510" t="s">
        <v>358</v>
      </c>
      <c r="D6" s="1511"/>
      <c r="E6" s="1511"/>
      <c r="F6" s="1511"/>
      <c r="G6" s="1511"/>
      <c r="H6" s="1599"/>
      <c r="I6" s="434" t="s">
        <v>0</v>
      </c>
      <c r="J6" s="434" t="s">
        <v>1</v>
      </c>
      <c r="K6" s="1510" t="s">
        <v>105</v>
      </c>
      <c r="L6" s="1601"/>
      <c r="M6" s="1601"/>
      <c r="N6" s="1601"/>
      <c r="O6" s="1601"/>
      <c r="P6" s="1602"/>
    </row>
    <row r="7" spans="1:16" ht="11.15" customHeight="1">
      <c r="A7" s="262"/>
      <c r="B7" s="208"/>
      <c r="C7" s="413"/>
      <c r="D7" s="413"/>
      <c r="E7" s="442"/>
      <c r="F7" s="499"/>
      <c r="G7" s="443"/>
      <c r="H7" s="443"/>
      <c r="I7" s="1216" t="s">
        <v>3</v>
      </c>
      <c r="J7" s="1216" t="s">
        <v>4</v>
      </c>
      <c r="K7" s="413"/>
      <c r="L7" s="413"/>
      <c r="M7" s="442"/>
      <c r="N7" s="1519" t="s">
        <v>298</v>
      </c>
      <c r="O7" s="1520"/>
      <c r="P7" s="1524"/>
    </row>
    <row r="8" spans="1:16" ht="11.15" customHeight="1">
      <c r="A8" s="262"/>
      <c r="B8" s="19" t="s">
        <v>8</v>
      </c>
      <c r="C8" s="519"/>
      <c r="D8" s="519"/>
      <c r="E8" s="1217"/>
      <c r="F8" s="21" t="s">
        <v>165</v>
      </c>
      <c r="G8" s="117"/>
      <c r="H8" s="117"/>
      <c r="I8" s="1216" t="s">
        <v>8</v>
      </c>
      <c r="J8" s="1216" t="s">
        <v>8</v>
      </c>
      <c r="K8" s="519"/>
      <c r="L8" s="519"/>
      <c r="M8" s="1217"/>
      <c r="N8" s="1522"/>
      <c r="O8" s="1523"/>
      <c r="P8" s="1525"/>
    </row>
    <row r="9" spans="1:16" ht="11.25" customHeight="1">
      <c r="A9" s="435" t="s">
        <v>43</v>
      </c>
      <c r="B9" s="19" t="s">
        <v>61</v>
      </c>
      <c r="C9" s="422" t="s">
        <v>19</v>
      </c>
      <c r="D9" s="15" t="s">
        <v>17</v>
      </c>
      <c r="E9" s="15" t="s">
        <v>18</v>
      </c>
      <c r="F9" s="26" t="s">
        <v>300</v>
      </c>
      <c r="G9" s="27"/>
      <c r="H9" s="27"/>
      <c r="I9" s="1216" t="s">
        <v>20</v>
      </c>
      <c r="J9" s="1216" t="s">
        <v>20</v>
      </c>
      <c r="K9" s="418"/>
      <c r="L9" s="418"/>
      <c r="M9" s="1218"/>
      <c r="N9" s="498"/>
      <c r="O9" s="297"/>
      <c r="P9" s="551"/>
    </row>
    <row r="10" spans="1:16" ht="11.15" customHeight="1">
      <c r="A10" s="262"/>
      <c r="B10" s="19" t="s">
        <v>62</v>
      </c>
      <c r="C10" s="422" t="s">
        <v>29</v>
      </c>
      <c r="D10" s="15" t="s">
        <v>28</v>
      </c>
      <c r="E10" s="15" t="s">
        <v>28</v>
      </c>
      <c r="F10" s="420"/>
      <c r="G10" s="421"/>
      <c r="H10" s="421"/>
      <c r="I10" s="1216" t="s">
        <v>33</v>
      </c>
      <c r="J10" s="1216" t="s">
        <v>33</v>
      </c>
      <c r="K10" s="1212" t="s">
        <v>19</v>
      </c>
      <c r="L10" s="15" t="s">
        <v>17</v>
      </c>
      <c r="M10" s="15" t="s">
        <v>18</v>
      </c>
      <c r="N10" s="20" t="s">
        <v>19</v>
      </c>
      <c r="O10" s="1211" t="s">
        <v>17</v>
      </c>
      <c r="P10" s="503" t="s">
        <v>18</v>
      </c>
    </row>
    <row r="11" spans="1:16" ht="11.15" customHeight="1">
      <c r="A11" s="262"/>
      <c r="B11" s="208"/>
      <c r="C11" s="1219"/>
      <c r="D11" s="418"/>
      <c r="E11" s="418"/>
      <c r="F11" s="15" t="s">
        <v>30</v>
      </c>
      <c r="G11" s="1211" t="s">
        <v>31</v>
      </c>
      <c r="H11" s="1211" t="s">
        <v>32</v>
      </c>
      <c r="I11" s="1216" t="s">
        <v>39</v>
      </c>
      <c r="J11" s="1216" t="s">
        <v>39</v>
      </c>
      <c r="K11" s="1212" t="s">
        <v>29</v>
      </c>
      <c r="L11" s="15" t="s">
        <v>28</v>
      </c>
      <c r="M11" s="15" t="s">
        <v>34</v>
      </c>
      <c r="N11" s="20" t="s">
        <v>29</v>
      </c>
      <c r="O11" s="1211" t="s">
        <v>28</v>
      </c>
      <c r="P11" s="503" t="s">
        <v>34</v>
      </c>
    </row>
    <row r="12" spans="1:16" ht="11.25" customHeight="1">
      <c r="A12" s="394"/>
      <c r="B12" s="425"/>
      <c r="C12" s="437"/>
      <c r="D12" s="438"/>
      <c r="E12" s="438"/>
      <c r="F12" s="436"/>
      <c r="G12" s="439"/>
      <c r="H12" s="439"/>
      <c r="I12" s="440"/>
      <c r="J12" s="440"/>
      <c r="K12" s="441"/>
      <c r="L12" s="438"/>
      <c r="M12" s="438"/>
      <c r="N12" s="417"/>
      <c r="O12" s="426"/>
      <c r="P12" s="518"/>
    </row>
    <row r="13" spans="1:16" s="11" customFormat="1" ht="3" customHeight="1">
      <c r="A13" s="296"/>
      <c r="B13" s="414"/>
      <c r="C13" s="442"/>
      <c r="D13" s="443"/>
      <c r="E13" s="444"/>
      <c r="F13" s="443"/>
      <c r="G13" s="443"/>
      <c r="H13" s="444"/>
      <c r="I13" s="445"/>
      <c r="J13" s="445"/>
      <c r="K13" s="442"/>
      <c r="L13" s="443"/>
      <c r="M13" s="443"/>
      <c r="N13" s="442"/>
      <c r="P13" s="545"/>
    </row>
    <row r="14" spans="1:16" ht="11.15" customHeight="1">
      <c r="A14" s="981" t="s">
        <v>167</v>
      </c>
      <c r="B14" s="989" t="s">
        <v>64</v>
      </c>
      <c r="C14" s="446">
        <f>SUM(C15:C21)</f>
        <v>483</v>
      </c>
      <c r="D14" s="983">
        <f>SUM(D15:D21)</f>
        <v>351</v>
      </c>
      <c r="E14" s="447">
        <f t="shared" ref="E14:O14" si="0">SUM(E15:E21)</f>
        <v>129</v>
      </c>
      <c r="F14" s="983">
        <f t="shared" si="0"/>
        <v>144</v>
      </c>
      <c r="G14" s="447">
        <f t="shared" si="0"/>
        <v>162</v>
      </c>
      <c r="H14" s="447">
        <f t="shared" si="0"/>
        <v>177</v>
      </c>
      <c r="I14" s="983">
        <f t="shared" si="0"/>
        <v>177</v>
      </c>
      <c r="J14" s="446">
        <f t="shared" si="0"/>
        <v>63</v>
      </c>
      <c r="K14" s="446">
        <f t="shared" si="0"/>
        <v>147</v>
      </c>
      <c r="L14" s="983">
        <f t="shared" si="0"/>
        <v>114</v>
      </c>
      <c r="M14" s="448">
        <f t="shared" si="0"/>
        <v>39</v>
      </c>
      <c r="N14" s="983">
        <f t="shared" si="0"/>
        <v>111</v>
      </c>
      <c r="O14" s="983">
        <f t="shared" si="0"/>
        <v>81</v>
      </c>
      <c r="P14" s="1193">
        <f>SUM(P15:P21)</f>
        <v>36</v>
      </c>
    </row>
    <row r="15" spans="1:16" ht="11.15" customHeight="1">
      <c r="A15" s="262"/>
      <c r="B15" s="449" t="s">
        <v>65</v>
      </c>
      <c r="C15" s="450">
        <v>72</v>
      </c>
      <c r="D15" s="451">
        <v>33</v>
      </c>
      <c r="E15" s="452">
        <v>39</v>
      </c>
      <c r="F15" s="451">
        <v>21</v>
      </c>
      <c r="G15" s="451">
        <v>24</v>
      </c>
      <c r="H15" s="451">
        <v>24</v>
      </c>
      <c r="I15" s="477">
        <v>27</v>
      </c>
      <c r="J15" s="450">
        <v>9</v>
      </c>
      <c r="K15" s="450">
        <v>21</v>
      </c>
      <c r="L15" s="451">
        <v>9</v>
      </c>
      <c r="M15" s="452">
        <v>12</v>
      </c>
      <c r="N15" s="452">
        <v>21</v>
      </c>
      <c r="O15" s="1194">
        <v>9</v>
      </c>
      <c r="P15" s="1195">
        <v>12</v>
      </c>
    </row>
    <row r="16" spans="1:16" ht="11.15" customHeight="1">
      <c r="A16" s="262"/>
      <c r="B16" s="449" t="s">
        <v>66</v>
      </c>
      <c r="C16" s="450">
        <v>15</v>
      </c>
      <c r="D16" s="451">
        <v>3</v>
      </c>
      <c r="E16" s="452">
        <v>12</v>
      </c>
      <c r="F16" s="451">
        <v>3</v>
      </c>
      <c r="G16" s="451">
        <v>9</v>
      </c>
      <c r="H16" s="451">
        <v>6</v>
      </c>
      <c r="I16" s="477">
        <v>9</v>
      </c>
      <c r="J16" s="450">
        <v>3</v>
      </c>
      <c r="K16" s="450">
        <v>3</v>
      </c>
      <c r="L16" s="451">
        <v>3</v>
      </c>
      <c r="M16" s="452">
        <v>3</v>
      </c>
      <c r="N16" s="452">
        <v>3</v>
      </c>
      <c r="O16" s="1194">
        <v>3</v>
      </c>
      <c r="P16" s="1195">
        <v>3</v>
      </c>
    </row>
    <row r="17" spans="1:16" ht="11.15" customHeight="1">
      <c r="A17" s="262"/>
      <c r="B17" s="449" t="s">
        <v>67</v>
      </c>
      <c r="C17" s="450">
        <v>81</v>
      </c>
      <c r="D17" s="451">
        <v>51</v>
      </c>
      <c r="E17" s="452">
        <v>30</v>
      </c>
      <c r="F17" s="451">
        <v>15</v>
      </c>
      <c r="G17" s="451">
        <v>27</v>
      </c>
      <c r="H17" s="451">
        <v>39</v>
      </c>
      <c r="I17" s="477">
        <v>21</v>
      </c>
      <c r="J17" s="450">
        <v>9</v>
      </c>
      <c r="K17" s="450">
        <v>27</v>
      </c>
      <c r="L17" s="451">
        <v>24</v>
      </c>
      <c r="M17" s="452">
        <v>3</v>
      </c>
      <c r="N17" s="452">
        <v>21</v>
      </c>
      <c r="O17" s="1194">
        <v>18</v>
      </c>
      <c r="P17" s="1195">
        <v>3</v>
      </c>
    </row>
    <row r="18" spans="1:16" ht="11.15" customHeight="1">
      <c r="A18" s="262"/>
      <c r="B18" s="449" t="s">
        <v>68</v>
      </c>
      <c r="C18" s="450">
        <v>3</v>
      </c>
      <c r="D18" s="451">
        <v>0</v>
      </c>
      <c r="E18" s="452">
        <v>3</v>
      </c>
      <c r="F18" s="451">
        <v>0</v>
      </c>
      <c r="G18" s="451">
        <v>3</v>
      </c>
      <c r="H18" s="451">
        <v>0</v>
      </c>
      <c r="I18" s="477">
        <v>3</v>
      </c>
      <c r="J18" s="450">
        <v>0</v>
      </c>
      <c r="K18" s="450">
        <v>0</v>
      </c>
      <c r="L18" s="473">
        <v>0</v>
      </c>
      <c r="M18" s="474">
        <v>0</v>
      </c>
      <c r="N18" s="452">
        <v>0</v>
      </c>
      <c r="O18" s="1201">
        <v>0</v>
      </c>
      <c r="P18" s="1195">
        <v>0</v>
      </c>
    </row>
    <row r="19" spans="1:16" ht="11.15" customHeight="1">
      <c r="A19" s="262"/>
      <c r="B19" s="449" t="s">
        <v>69</v>
      </c>
      <c r="C19" s="450">
        <v>276</v>
      </c>
      <c r="D19" s="451">
        <v>249</v>
      </c>
      <c r="E19" s="452">
        <v>27</v>
      </c>
      <c r="F19" s="451">
        <v>93</v>
      </c>
      <c r="G19" s="451">
        <v>87</v>
      </c>
      <c r="H19" s="451">
        <v>99</v>
      </c>
      <c r="I19" s="477">
        <v>105</v>
      </c>
      <c r="J19" s="450">
        <v>39</v>
      </c>
      <c r="K19" s="450">
        <v>84</v>
      </c>
      <c r="L19" s="451">
        <v>72</v>
      </c>
      <c r="M19" s="452">
        <v>12</v>
      </c>
      <c r="N19" s="452">
        <v>57</v>
      </c>
      <c r="O19" s="1194">
        <v>48</v>
      </c>
      <c r="P19" s="1195">
        <v>9</v>
      </c>
    </row>
    <row r="20" spans="1:16" ht="11.15" customHeight="1">
      <c r="A20" s="262"/>
      <c r="B20" s="449" t="s">
        <v>70</v>
      </c>
      <c r="C20" s="450">
        <v>33</v>
      </c>
      <c r="D20" s="451">
        <v>15</v>
      </c>
      <c r="E20" s="452">
        <v>15</v>
      </c>
      <c r="F20" s="451">
        <v>12</v>
      </c>
      <c r="G20" s="451">
        <v>9</v>
      </c>
      <c r="H20" s="451">
        <v>9</v>
      </c>
      <c r="I20" s="477">
        <v>12</v>
      </c>
      <c r="J20" s="450">
        <v>3</v>
      </c>
      <c r="K20" s="450">
        <v>12</v>
      </c>
      <c r="L20" s="451">
        <v>6</v>
      </c>
      <c r="M20" s="452">
        <v>9</v>
      </c>
      <c r="N20" s="452">
        <v>9</v>
      </c>
      <c r="O20" s="1194">
        <v>3</v>
      </c>
      <c r="P20" s="1195">
        <v>9</v>
      </c>
    </row>
    <row r="21" spans="1:16" ht="11.15" customHeight="1">
      <c r="A21" s="262"/>
      <c r="B21" s="439" t="s">
        <v>71</v>
      </c>
      <c r="C21" s="450">
        <v>3</v>
      </c>
      <c r="D21" s="451">
        <v>0</v>
      </c>
      <c r="E21" s="452">
        <v>3</v>
      </c>
      <c r="F21" s="451">
        <v>0</v>
      </c>
      <c r="G21" s="451">
        <v>3</v>
      </c>
      <c r="H21" s="451">
        <v>0</v>
      </c>
      <c r="I21" s="477">
        <v>0</v>
      </c>
      <c r="J21" s="450">
        <v>0</v>
      </c>
      <c r="K21" s="450">
        <v>0</v>
      </c>
      <c r="L21" s="473">
        <v>0</v>
      </c>
      <c r="M21" s="474">
        <v>0</v>
      </c>
      <c r="N21" s="452">
        <v>0</v>
      </c>
      <c r="O21" s="1201">
        <v>0</v>
      </c>
      <c r="P21" s="1195">
        <v>0</v>
      </c>
    </row>
    <row r="22" spans="1:16" s="11" customFormat="1" ht="3" customHeight="1">
      <c r="A22" s="262"/>
      <c r="B22" s="418"/>
      <c r="C22" s="446"/>
      <c r="D22" s="451"/>
      <c r="E22" s="452"/>
      <c r="F22" s="451"/>
      <c r="G22" s="451"/>
      <c r="H22" s="451"/>
      <c r="I22" s="477"/>
      <c r="J22" s="450"/>
      <c r="K22" s="446"/>
      <c r="L22" s="451"/>
      <c r="M22" s="452"/>
      <c r="N22" s="452"/>
      <c r="O22" s="739"/>
      <c r="P22" s="1196"/>
    </row>
    <row r="23" spans="1:16">
      <c r="A23" s="981" t="s">
        <v>168</v>
      </c>
      <c r="B23" s="989" t="s">
        <v>64</v>
      </c>
      <c r="C23" s="446">
        <f>SUM(C24:C30)</f>
        <v>273</v>
      </c>
      <c r="D23" s="983">
        <f>SUM(D24:D30)</f>
        <v>225</v>
      </c>
      <c r="E23" s="447">
        <f t="shared" ref="E23:P23" si="1">SUM(E24:E30)</f>
        <v>51</v>
      </c>
      <c r="F23" s="983">
        <f t="shared" si="1"/>
        <v>81</v>
      </c>
      <c r="G23" s="447">
        <f t="shared" si="1"/>
        <v>87</v>
      </c>
      <c r="H23" s="447">
        <f t="shared" si="1"/>
        <v>105</v>
      </c>
      <c r="I23" s="1047">
        <f>SUM(I24:I30)</f>
        <v>105</v>
      </c>
      <c r="J23" s="567">
        <f t="shared" si="1"/>
        <v>48</v>
      </c>
      <c r="K23" s="983">
        <f t="shared" si="1"/>
        <v>75</v>
      </c>
      <c r="L23" s="983">
        <f t="shared" si="1"/>
        <v>57</v>
      </c>
      <c r="M23" s="447">
        <f t="shared" si="1"/>
        <v>21</v>
      </c>
      <c r="N23" s="567">
        <f t="shared" si="1"/>
        <v>69</v>
      </c>
      <c r="O23" s="1192">
        <f>SUM(O24:O30)</f>
        <v>51</v>
      </c>
      <c r="P23" s="1193">
        <f t="shared" si="1"/>
        <v>18</v>
      </c>
    </row>
    <row r="24" spans="1:16" ht="11.15" customHeight="1">
      <c r="A24" s="262"/>
      <c r="B24" s="449" t="s">
        <v>65</v>
      </c>
      <c r="C24" s="450">
        <v>12</v>
      </c>
      <c r="D24" s="451">
        <v>6</v>
      </c>
      <c r="E24" s="452">
        <v>6</v>
      </c>
      <c r="F24" s="451">
        <v>3</v>
      </c>
      <c r="G24" s="451">
        <v>3</v>
      </c>
      <c r="H24" s="451">
        <v>6</v>
      </c>
      <c r="I24" s="477">
        <v>3</v>
      </c>
      <c r="J24" s="450">
        <v>3</v>
      </c>
      <c r="K24" s="450">
        <v>3</v>
      </c>
      <c r="L24" s="473">
        <v>3</v>
      </c>
      <c r="M24" s="474">
        <v>3</v>
      </c>
      <c r="N24" s="452">
        <v>3</v>
      </c>
      <c r="O24" s="1201">
        <v>3</v>
      </c>
      <c r="P24" s="1195">
        <v>3</v>
      </c>
    </row>
    <row r="25" spans="1:16" ht="11.15" customHeight="1">
      <c r="A25" s="262"/>
      <c r="B25" s="449" t="s">
        <v>66</v>
      </c>
      <c r="C25" s="450">
        <v>3</v>
      </c>
      <c r="D25" s="451">
        <v>3</v>
      </c>
      <c r="E25" s="452">
        <v>3</v>
      </c>
      <c r="F25" s="451">
        <v>0</v>
      </c>
      <c r="G25" s="451">
        <v>0</v>
      </c>
      <c r="H25" s="451">
        <v>3</v>
      </c>
      <c r="I25" s="477">
        <v>0</v>
      </c>
      <c r="J25" s="450">
        <v>0</v>
      </c>
      <c r="K25" s="450">
        <v>0</v>
      </c>
      <c r="L25" s="473">
        <v>0</v>
      </c>
      <c r="M25" s="474">
        <v>0</v>
      </c>
      <c r="N25" s="452">
        <v>0</v>
      </c>
      <c r="O25" s="1201">
        <v>0</v>
      </c>
      <c r="P25" s="1195">
        <v>0</v>
      </c>
    </row>
    <row r="26" spans="1:16" ht="11.15" customHeight="1">
      <c r="A26" s="262"/>
      <c r="B26" s="449" t="s">
        <v>67</v>
      </c>
      <c r="C26" s="450">
        <v>0</v>
      </c>
      <c r="D26" s="451">
        <v>0</v>
      </c>
      <c r="E26" s="452">
        <v>0</v>
      </c>
      <c r="F26" s="451">
        <v>0</v>
      </c>
      <c r="G26" s="451">
        <v>0</v>
      </c>
      <c r="H26" s="451">
        <v>0</v>
      </c>
      <c r="I26" s="477">
        <v>0</v>
      </c>
      <c r="J26" s="450">
        <v>0</v>
      </c>
      <c r="K26" s="450">
        <v>0</v>
      </c>
      <c r="L26" s="473">
        <v>0</v>
      </c>
      <c r="M26" s="474">
        <v>0</v>
      </c>
      <c r="N26" s="452">
        <v>0</v>
      </c>
      <c r="O26" s="1201">
        <v>0</v>
      </c>
      <c r="P26" s="1195">
        <v>0</v>
      </c>
    </row>
    <row r="27" spans="1:16" ht="11.15" customHeight="1">
      <c r="A27" s="262"/>
      <c r="B27" s="449" t="s">
        <v>68</v>
      </c>
      <c r="C27" s="450">
        <v>3</v>
      </c>
      <c r="D27" s="451">
        <v>3</v>
      </c>
      <c r="E27" s="452">
        <v>0</v>
      </c>
      <c r="F27" s="451">
        <v>0</v>
      </c>
      <c r="G27" s="451">
        <v>3</v>
      </c>
      <c r="H27" s="451">
        <v>0</v>
      </c>
      <c r="I27" s="477">
        <v>3</v>
      </c>
      <c r="J27" s="450">
        <v>0</v>
      </c>
      <c r="K27" s="450">
        <v>0</v>
      </c>
      <c r="L27" s="473">
        <v>0</v>
      </c>
      <c r="M27" s="474">
        <v>0</v>
      </c>
      <c r="N27" s="452">
        <v>0</v>
      </c>
      <c r="O27" s="1201">
        <v>0</v>
      </c>
      <c r="P27" s="1195">
        <v>0</v>
      </c>
    </row>
    <row r="28" spans="1:16" ht="11.15" customHeight="1">
      <c r="A28" s="262"/>
      <c r="B28" s="449" t="s">
        <v>69</v>
      </c>
      <c r="C28" s="450">
        <v>216</v>
      </c>
      <c r="D28" s="451">
        <v>195</v>
      </c>
      <c r="E28" s="452">
        <v>21</v>
      </c>
      <c r="F28" s="451">
        <v>69</v>
      </c>
      <c r="G28" s="451">
        <v>69</v>
      </c>
      <c r="H28" s="451">
        <v>78</v>
      </c>
      <c r="I28" s="477">
        <v>87</v>
      </c>
      <c r="J28" s="450">
        <v>42</v>
      </c>
      <c r="K28" s="450">
        <v>63</v>
      </c>
      <c r="L28" s="1197">
        <v>51</v>
      </c>
      <c r="M28" s="452">
        <v>12</v>
      </c>
      <c r="N28" s="452">
        <v>57</v>
      </c>
      <c r="O28" s="1194">
        <v>48</v>
      </c>
      <c r="P28" s="1195">
        <v>9</v>
      </c>
    </row>
    <row r="29" spans="1:16" ht="11.15" customHeight="1">
      <c r="A29" s="262"/>
      <c r="B29" s="449" t="s">
        <v>70</v>
      </c>
      <c r="C29" s="450">
        <v>24</v>
      </c>
      <c r="D29" s="451">
        <v>9</v>
      </c>
      <c r="E29" s="452">
        <v>15</v>
      </c>
      <c r="F29" s="451">
        <v>6</v>
      </c>
      <c r="G29" s="451">
        <v>6</v>
      </c>
      <c r="H29" s="451">
        <v>12</v>
      </c>
      <c r="I29" s="477">
        <v>6</v>
      </c>
      <c r="J29" s="450">
        <v>3</v>
      </c>
      <c r="K29" s="450">
        <v>3</v>
      </c>
      <c r="L29" s="451">
        <v>3</v>
      </c>
      <c r="M29" s="452">
        <v>3</v>
      </c>
      <c r="N29" s="452">
        <v>3</v>
      </c>
      <c r="O29" s="1194">
        <v>0</v>
      </c>
      <c r="P29" s="1195">
        <v>3</v>
      </c>
    </row>
    <row r="30" spans="1:16" ht="11.15" customHeight="1">
      <c r="A30" s="262"/>
      <c r="B30" s="439" t="s">
        <v>71</v>
      </c>
      <c r="C30" s="450">
        <v>15</v>
      </c>
      <c r="D30" s="451">
        <v>9</v>
      </c>
      <c r="E30" s="452">
        <v>6</v>
      </c>
      <c r="F30" s="451">
        <v>3</v>
      </c>
      <c r="G30" s="451">
        <v>6</v>
      </c>
      <c r="H30" s="451">
        <v>6</v>
      </c>
      <c r="I30" s="477">
        <v>6</v>
      </c>
      <c r="J30" s="450">
        <v>0</v>
      </c>
      <c r="K30" s="450">
        <v>6</v>
      </c>
      <c r="L30" s="473">
        <v>0</v>
      </c>
      <c r="M30" s="474">
        <v>3</v>
      </c>
      <c r="N30" s="452">
        <v>6</v>
      </c>
      <c r="O30" s="1201">
        <v>0</v>
      </c>
      <c r="P30" s="1195">
        <v>3</v>
      </c>
    </row>
    <row r="31" spans="1:16" s="11" customFormat="1" ht="3" customHeight="1">
      <c r="A31" s="262"/>
      <c r="B31" s="418"/>
      <c r="C31" s="446"/>
      <c r="D31" s="451"/>
      <c r="E31" s="452"/>
      <c r="F31" s="451"/>
      <c r="G31" s="451"/>
      <c r="H31" s="451"/>
      <c r="I31" s="477"/>
      <c r="J31" s="450"/>
      <c r="K31" s="446"/>
      <c r="L31" s="451"/>
      <c r="M31" s="452"/>
      <c r="N31" s="452"/>
      <c r="O31" s="739"/>
      <c r="P31" s="1198"/>
    </row>
    <row r="32" spans="1:16">
      <c r="A32" s="981" t="s">
        <v>169</v>
      </c>
      <c r="B32" s="989" t="s">
        <v>64</v>
      </c>
      <c r="C32" s="446">
        <f>SUM(C33:C39)</f>
        <v>1515</v>
      </c>
      <c r="D32" s="983">
        <f>SUM(D33:D39)</f>
        <v>1227</v>
      </c>
      <c r="E32" s="447">
        <f t="shared" ref="E32:P32" si="2">SUM(E33:E39)</f>
        <v>297</v>
      </c>
      <c r="F32" s="983">
        <f t="shared" si="2"/>
        <v>450</v>
      </c>
      <c r="G32" s="447">
        <f>SUM(G33:G39)</f>
        <v>525</v>
      </c>
      <c r="H32" s="447">
        <f t="shared" si="2"/>
        <v>546</v>
      </c>
      <c r="I32" s="1047">
        <f t="shared" si="2"/>
        <v>582</v>
      </c>
      <c r="J32" s="567">
        <f t="shared" si="2"/>
        <v>210</v>
      </c>
      <c r="K32" s="983">
        <f>SUM(K33:K39)</f>
        <v>648</v>
      </c>
      <c r="L32" s="983">
        <f t="shared" si="2"/>
        <v>525</v>
      </c>
      <c r="M32" s="447">
        <f t="shared" si="2"/>
        <v>114</v>
      </c>
      <c r="N32" s="567">
        <f>SUM(N33:N39)</f>
        <v>522</v>
      </c>
      <c r="O32" s="1192">
        <f t="shared" si="2"/>
        <v>417</v>
      </c>
      <c r="P32" s="1193">
        <f t="shared" si="2"/>
        <v>105</v>
      </c>
    </row>
    <row r="33" spans="1:16" ht="11.15" customHeight="1">
      <c r="A33" s="262"/>
      <c r="B33" s="449" t="s">
        <v>65</v>
      </c>
      <c r="C33" s="450">
        <v>147</v>
      </c>
      <c r="D33" s="451">
        <v>72</v>
      </c>
      <c r="E33" s="452">
        <v>75</v>
      </c>
      <c r="F33" s="451">
        <v>45</v>
      </c>
      <c r="G33" s="451">
        <v>63</v>
      </c>
      <c r="H33" s="451">
        <v>39</v>
      </c>
      <c r="I33" s="477">
        <v>63</v>
      </c>
      <c r="J33" s="450">
        <v>30</v>
      </c>
      <c r="K33" s="450">
        <v>72</v>
      </c>
      <c r="L33" s="451">
        <v>33</v>
      </c>
      <c r="M33" s="452">
        <v>39</v>
      </c>
      <c r="N33" s="452">
        <v>63</v>
      </c>
      <c r="O33" s="1194">
        <v>30</v>
      </c>
      <c r="P33" s="1195">
        <v>36</v>
      </c>
    </row>
    <row r="34" spans="1:16" ht="11.15" customHeight="1">
      <c r="A34" s="262"/>
      <c r="B34" s="449" t="s">
        <v>66</v>
      </c>
      <c r="C34" s="450">
        <v>42</v>
      </c>
      <c r="D34" s="451">
        <v>24</v>
      </c>
      <c r="E34" s="452">
        <v>21</v>
      </c>
      <c r="F34" s="451">
        <v>9</v>
      </c>
      <c r="G34" s="1199">
        <v>15</v>
      </c>
      <c r="H34" s="1199">
        <v>21</v>
      </c>
      <c r="I34" s="477">
        <v>21</v>
      </c>
      <c r="J34" s="450">
        <v>6</v>
      </c>
      <c r="K34" s="450">
        <v>21</v>
      </c>
      <c r="L34" s="451">
        <v>12</v>
      </c>
      <c r="M34" s="452">
        <v>9</v>
      </c>
      <c r="N34" s="452">
        <v>21</v>
      </c>
      <c r="O34" s="1194">
        <v>9</v>
      </c>
      <c r="P34" s="1195">
        <v>9</v>
      </c>
    </row>
    <row r="35" spans="1:16" ht="11.15" customHeight="1">
      <c r="A35" s="262"/>
      <c r="B35" s="449" t="s">
        <v>67</v>
      </c>
      <c r="C35" s="450">
        <v>120</v>
      </c>
      <c r="D35" s="451">
        <v>84</v>
      </c>
      <c r="E35" s="452">
        <v>39</v>
      </c>
      <c r="F35" s="451">
        <v>27</v>
      </c>
      <c r="G35" s="451">
        <v>45</v>
      </c>
      <c r="H35" s="451">
        <v>48</v>
      </c>
      <c r="I35" s="477">
        <v>39</v>
      </c>
      <c r="J35" s="450">
        <v>15</v>
      </c>
      <c r="K35" s="450">
        <v>66</v>
      </c>
      <c r="L35" s="451">
        <v>48</v>
      </c>
      <c r="M35" s="452">
        <v>18</v>
      </c>
      <c r="N35" s="452">
        <v>54</v>
      </c>
      <c r="O35" s="1194">
        <v>39</v>
      </c>
      <c r="P35" s="1195">
        <v>15</v>
      </c>
    </row>
    <row r="36" spans="1:16" ht="11.15" customHeight="1">
      <c r="A36" s="262"/>
      <c r="B36" s="449" t="s">
        <v>68</v>
      </c>
      <c r="C36" s="450">
        <v>30</v>
      </c>
      <c r="D36" s="451">
        <v>27</v>
      </c>
      <c r="E36" s="452">
        <v>6</v>
      </c>
      <c r="F36" s="451">
        <v>3</v>
      </c>
      <c r="G36" s="451">
        <v>12</v>
      </c>
      <c r="H36" s="451">
        <v>15</v>
      </c>
      <c r="I36" s="477">
        <v>9</v>
      </c>
      <c r="J36" s="450">
        <v>0</v>
      </c>
      <c r="K36" s="450">
        <v>21</v>
      </c>
      <c r="L36" s="451">
        <v>15</v>
      </c>
      <c r="M36" s="452">
        <v>3</v>
      </c>
      <c r="N36" s="452">
        <v>21</v>
      </c>
      <c r="O36" s="1194">
        <v>15</v>
      </c>
      <c r="P36" s="1195">
        <v>3</v>
      </c>
    </row>
    <row r="37" spans="1:16" ht="11.15" customHeight="1">
      <c r="A37" s="262"/>
      <c r="B37" s="449" t="s">
        <v>69</v>
      </c>
      <c r="C37" s="450">
        <v>1110</v>
      </c>
      <c r="D37" s="451">
        <v>984</v>
      </c>
      <c r="E37" s="452">
        <v>126</v>
      </c>
      <c r="F37" s="451">
        <v>354</v>
      </c>
      <c r="G37" s="451">
        <v>366</v>
      </c>
      <c r="H37" s="451">
        <v>393</v>
      </c>
      <c r="I37" s="477">
        <v>423</v>
      </c>
      <c r="J37" s="450">
        <v>150</v>
      </c>
      <c r="K37" s="450">
        <v>447</v>
      </c>
      <c r="L37" s="451">
        <v>408</v>
      </c>
      <c r="M37" s="452">
        <v>36</v>
      </c>
      <c r="N37" s="452">
        <v>345</v>
      </c>
      <c r="O37" s="1194">
        <v>315</v>
      </c>
      <c r="P37" s="1195">
        <v>33</v>
      </c>
    </row>
    <row r="38" spans="1:16" ht="11.15" customHeight="1">
      <c r="A38" s="262"/>
      <c r="B38" s="449" t="s">
        <v>70</v>
      </c>
      <c r="C38" s="450">
        <v>36</v>
      </c>
      <c r="D38" s="451">
        <v>27</v>
      </c>
      <c r="E38" s="452">
        <v>9</v>
      </c>
      <c r="F38" s="451">
        <v>9</v>
      </c>
      <c r="G38" s="451">
        <v>12</v>
      </c>
      <c r="H38" s="451">
        <v>15</v>
      </c>
      <c r="I38" s="477">
        <v>12</v>
      </c>
      <c r="J38" s="450">
        <v>6</v>
      </c>
      <c r="K38" s="450">
        <v>9</v>
      </c>
      <c r="L38" s="451">
        <v>6</v>
      </c>
      <c r="M38" s="452">
        <v>0</v>
      </c>
      <c r="N38" s="452">
        <v>6</v>
      </c>
      <c r="O38" s="1194">
        <v>6</v>
      </c>
      <c r="P38" s="1195">
        <v>0</v>
      </c>
    </row>
    <row r="39" spans="1:16" ht="11.15" customHeight="1">
      <c r="A39" s="262"/>
      <c r="B39" s="439" t="s">
        <v>71</v>
      </c>
      <c r="C39" s="450">
        <v>30</v>
      </c>
      <c r="D39" s="451">
        <v>9</v>
      </c>
      <c r="E39" s="452">
        <v>21</v>
      </c>
      <c r="F39" s="451">
        <v>3</v>
      </c>
      <c r="G39" s="451">
        <v>12</v>
      </c>
      <c r="H39" s="451">
        <v>15</v>
      </c>
      <c r="I39" s="477">
        <v>15</v>
      </c>
      <c r="J39" s="450">
        <v>3</v>
      </c>
      <c r="K39" s="450">
        <v>12</v>
      </c>
      <c r="L39" s="451">
        <v>3</v>
      </c>
      <c r="M39" s="452">
        <v>9</v>
      </c>
      <c r="N39" s="452">
        <v>12</v>
      </c>
      <c r="O39" s="1194">
        <v>3</v>
      </c>
      <c r="P39" s="1195">
        <v>9</v>
      </c>
    </row>
    <row r="40" spans="1:16" ht="3" customHeight="1">
      <c r="A40" s="262"/>
      <c r="B40" s="453"/>
      <c r="C40" s="446"/>
      <c r="D40" s="451"/>
      <c r="E40" s="452"/>
      <c r="F40" s="451"/>
      <c r="G40" s="451"/>
      <c r="H40" s="451"/>
      <c r="I40" s="477"/>
      <c r="J40" s="450"/>
      <c r="K40" s="446"/>
      <c r="L40" s="451"/>
      <c r="M40" s="452"/>
      <c r="N40" s="452"/>
      <c r="O40" s="467"/>
      <c r="P40" s="1200"/>
    </row>
    <row r="41" spans="1:16">
      <c r="A41" s="981" t="s">
        <v>170</v>
      </c>
      <c r="B41" s="989" t="s">
        <v>64</v>
      </c>
      <c r="C41" s="446">
        <f>SUM(C42:C48)</f>
        <v>93</v>
      </c>
      <c r="D41" s="983">
        <f>SUM(D42:D48)</f>
        <v>72</v>
      </c>
      <c r="E41" s="447">
        <f t="shared" ref="E41:P41" si="3">SUM(E42:E48)</f>
        <v>18</v>
      </c>
      <c r="F41" s="983">
        <f t="shared" si="3"/>
        <v>30</v>
      </c>
      <c r="G41" s="447">
        <f t="shared" si="3"/>
        <v>24</v>
      </c>
      <c r="H41" s="447">
        <f t="shared" si="3"/>
        <v>42</v>
      </c>
      <c r="I41" s="1047">
        <f t="shared" si="3"/>
        <v>30</v>
      </c>
      <c r="J41" s="450">
        <v>0</v>
      </c>
      <c r="K41" s="983">
        <f t="shared" si="3"/>
        <v>54</v>
      </c>
      <c r="L41" s="983">
        <f t="shared" si="3"/>
        <v>45</v>
      </c>
      <c r="M41" s="447">
        <f t="shared" si="3"/>
        <v>12</v>
      </c>
      <c r="N41" s="567">
        <f>SUM(N42:N48)</f>
        <v>51</v>
      </c>
      <c r="O41" s="1192">
        <f t="shared" si="3"/>
        <v>42</v>
      </c>
      <c r="P41" s="1193">
        <f t="shared" si="3"/>
        <v>9</v>
      </c>
    </row>
    <row r="42" spans="1:16" ht="11.15" customHeight="1">
      <c r="A42" s="435"/>
      <c r="B42" s="449" t="s">
        <v>65</v>
      </c>
      <c r="C42" s="450">
        <v>0</v>
      </c>
      <c r="D42" s="451">
        <v>0</v>
      </c>
      <c r="E42" s="452">
        <v>0</v>
      </c>
      <c r="F42" s="451">
        <v>0</v>
      </c>
      <c r="G42" s="451">
        <v>0</v>
      </c>
      <c r="H42" s="451">
        <v>0</v>
      </c>
      <c r="I42" s="477">
        <v>0</v>
      </c>
      <c r="J42" s="450">
        <v>0</v>
      </c>
      <c r="K42" s="450">
        <v>0</v>
      </c>
      <c r="L42" s="473">
        <v>0</v>
      </c>
      <c r="M42" s="474">
        <v>0</v>
      </c>
      <c r="N42" s="452">
        <v>0</v>
      </c>
      <c r="O42" s="1201">
        <v>0</v>
      </c>
      <c r="P42" s="1195">
        <v>0</v>
      </c>
    </row>
    <row r="43" spans="1:16" ht="11.15" customHeight="1">
      <c r="A43" s="435"/>
      <c r="B43" s="449" t="s">
        <v>66</v>
      </c>
      <c r="C43" s="450">
        <v>0</v>
      </c>
      <c r="D43" s="451">
        <v>0</v>
      </c>
      <c r="E43" s="452">
        <v>0</v>
      </c>
      <c r="F43" s="451">
        <v>0</v>
      </c>
      <c r="G43" s="451">
        <v>0</v>
      </c>
      <c r="H43" s="451">
        <v>0</v>
      </c>
      <c r="I43" s="477">
        <v>0</v>
      </c>
      <c r="J43" s="450">
        <v>0</v>
      </c>
      <c r="K43" s="450">
        <v>0</v>
      </c>
      <c r="L43" s="473">
        <v>0</v>
      </c>
      <c r="M43" s="474">
        <v>0</v>
      </c>
      <c r="N43" s="452">
        <v>0</v>
      </c>
      <c r="O43" s="1201">
        <v>0</v>
      </c>
      <c r="P43" s="1195">
        <v>0</v>
      </c>
    </row>
    <row r="44" spans="1:16" ht="11.15" customHeight="1">
      <c r="A44" s="435"/>
      <c r="B44" s="449" t="s">
        <v>67</v>
      </c>
      <c r="C44" s="450">
        <v>0</v>
      </c>
      <c r="D44" s="451">
        <v>0</v>
      </c>
      <c r="E44" s="452">
        <v>0</v>
      </c>
      <c r="F44" s="451">
        <v>0</v>
      </c>
      <c r="G44" s="451">
        <v>0</v>
      </c>
      <c r="H44" s="451">
        <v>0</v>
      </c>
      <c r="I44" s="477">
        <v>0</v>
      </c>
      <c r="J44" s="450">
        <v>0</v>
      </c>
      <c r="K44" s="450">
        <v>0</v>
      </c>
      <c r="L44" s="473">
        <v>0</v>
      </c>
      <c r="M44" s="474">
        <v>0</v>
      </c>
      <c r="N44" s="452">
        <v>0</v>
      </c>
      <c r="O44" s="1201">
        <v>0</v>
      </c>
      <c r="P44" s="1195">
        <v>0</v>
      </c>
    </row>
    <row r="45" spans="1:16" ht="11.15" customHeight="1">
      <c r="A45" s="435"/>
      <c r="B45" s="449" t="s">
        <v>68</v>
      </c>
      <c r="C45" s="450">
        <v>0</v>
      </c>
      <c r="D45" s="451">
        <v>0</v>
      </c>
      <c r="E45" s="452">
        <v>0</v>
      </c>
      <c r="F45" s="451">
        <v>0</v>
      </c>
      <c r="G45" s="451">
        <v>0</v>
      </c>
      <c r="H45" s="451">
        <v>0</v>
      </c>
      <c r="I45" s="477">
        <v>0</v>
      </c>
      <c r="J45" s="450">
        <v>0</v>
      </c>
      <c r="K45" s="450">
        <v>0</v>
      </c>
      <c r="L45" s="473">
        <v>0</v>
      </c>
      <c r="M45" s="474">
        <v>0</v>
      </c>
      <c r="N45" s="452">
        <v>0</v>
      </c>
      <c r="O45" s="1201">
        <v>0</v>
      </c>
      <c r="P45" s="1195">
        <v>0</v>
      </c>
    </row>
    <row r="46" spans="1:16" ht="11.15" customHeight="1">
      <c r="A46" s="435"/>
      <c r="B46" s="449" t="s">
        <v>69</v>
      </c>
      <c r="C46" s="450">
        <v>84</v>
      </c>
      <c r="D46" s="451">
        <v>69</v>
      </c>
      <c r="E46" s="452">
        <v>15</v>
      </c>
      <c r="F46" s="451">
        <v>24</v>
      </c>
      <c r="G46" s="451">
        <v>21</v>
      </c>
      <c r="H46" s="451">
        <v>42</v>
      </c>
      <c r="I46" s="477">
        <v>24</v>
      </c>
      <c r="J46" s="450">
        <v>0</v>
      </c>
      <c r="K46" s="450">
        <v>48</v>
      </c>
      <c r="L46" s="451">
        <v>39</v>
      </c>
      <c r="M46" s="452">
        <v>12</v>
      </c>
      <c r="N46" s="452">
        <v>45</v>
      </c>
      <c r="O46" s="1194">
        <v>36</v>
      </c>
      <c r="P46" s="1195">
        <v>9</v>
      </c>
    </row>
    <row r="47" spans="1:16" ht="11.15" customHeight="1">
      <c r="A47" s="435"/>
      <c r="B47" s="449" t="s">
        <v>70</v>
      </c>
      <c r="C47" s="450">
        <v>9</v>
      </c>
      <c r="D47" s="451">
        <v>3</v>
      </c>
      <c r="E47" s="452">
        <v>3</v>
      </c>
      <c r="F47" s="451">
        <v>6</v>
      </c>
      <c r="G47" s="451">
        <v>3</v>
      </c>
      <c r="H47" s="451">
        <v>0</v>
      </c>
      <c r="I47" s="477">
        <v>6</v>
      </c>
      <c r="J47" s="450">
        <v>0</v>
      </c>
      <c r="K47" s="450">
        <v>6</v>
      </c>
      <c r="L47" s="473">
        <v>6</v>
      </c>
      <c r="M47" s="474">
        <v>0</v>
      </c>
      <c r="N47" s="452">
        <v>6</v>
      </c>
      <c r="O47" s="1201">
        <v>6</v>
      </c>
      <c r="P47" s="1195">
        <v>0</v>
      </c>
    </row>
    <row r="48" spans="1:16" ht="11.15" customHeight="1">
      <c r="A48" s="435"/>
      <c r="B48" s="439" t="s">
        <v>71</v>
      </c>
      <c r="C48" s="450">
        <v>0</v>
      </c>
      <c r="D48" s="451">
        <v>0</v>
      </c>
      <c r="E48" s="452">
        <v>0</v>
      </c>
      <c r="F48" s="451">
        <v>0</v>
      </c>
      <c r="G48" s="451">
        <v>0</v>
      </c>
      <c r="H48" s="451">
        <v>0</v>
      </c>
      <c r="I48" s="477">
        <v>0</v>
      </c>
      <c r="J48" s="450">
        <v>0</v>
      </c>
      <c r="K48" s="450">
        <v>0</v>
      </c>
      <c r="L48" s="473">
        <v>0</v>
      </c>
      <c r="M48" s="474">
        <v>0</v>
      </c>
      <c r="N48" s="452">
        <v>0</v>
      </c>
      <c r="O48" s="1201">
        <v>0</v>
      </c>
      <c r="P48" s="1195">
        <v>0</v>
      </c>
    </row>
    <row r="49" spans="1:16" ht="5.15" customHeight="1" thickBot="1">
      <c r="A49" s="454"/>
      <c r="B49" s="455"/>
      <c r="C49" s="456"/>
      <c r="D49" s="457"/>
      <c r="E49" s="458"/>
      <c r="F49" s="457"/>
      <c r="G49" s="457"/>
      <c r="H49" s="457"/>
      <c r="I49" s="456"/>
      <c r="J49" s="460"/>
      <c r="K49" s="456"/>
      <c r="L49" s="457"/>
      <c r="M49" s="461"/>
      <c r="N49" s="480"/>
      <c r="O49" s="481"/>
      <c r="P49" s="1202"/>
    </row>
    <row r="50" spans="1:16" ht="5.15" customHeight="1">
      <c r="A50" s="116"/>
      <c r="B50" s="63"/>
      <c r="C50" s="451"/>
      <c r="D50" s="451"/>
      <c r="E50" s="447"/>
      <c r="F50" s="451"/>
      <c r="G50" s="451"/>
      <c r="H50" s="451"/>
      <c r="I50" s="451"/>
      <c r="J50" s="451"/>
      <c r="K50" s="451"/>
      <c r="L50" s="451"/>
      <c r="M50" s="462"/>
      <c r="N50" s="462"/>
    </row>
    <row r="51" spans="1:16" ht="12" customHeight="1">
      <c r="A51" s="63" t="s">
        <v>156</v>
      </c>
      <c r="B51" s="40"/>
      <c r="C51" s="463"/>
      <c r="D51" s="463"/>
      <c r="E51" s="463"/>
      <c r="F51" s="463"/>
      <c r="G51" s="463"/>
      <c r="H51" s="463"/>
      <c r="I51" s="464" t="s">
        <v>201</v>
      </c>
      <c r="K51" s="464"/>
      <c r="L51" s="464"/>
      <c r="M51" s="463"/>
      <c r="N51" s="463"/>
    </row>
    <row r="52" spans="1:16" ht="12" customHeight="1" thickBot="1">
      <c r="A52" s="465"/>
      <c r="B52" s="409"/>
      <c r="C52" s="466"/>
      <c r="D52" s="466"/>
      <c r="E52" s="467"/>
      <c r="F52" s="467"/>
      <c r="G52" s="467"/>
      <c r="H52" s="467"/>
      <c r="I52" s="467"/>
      <c r="J52" s="467"/>
      <c r="K52" s="467"/>
      <c r="L52" s="467"/>
      <c r="M52" s="467"/>
      <c r="N52" s="467"/>
    </row>
    <row r="53" spans="1:16" ht="18" customHeight="1">
      <c r="A53" s="395"/>
      <c r="B53" s="433"/>
      <c r="C53" s="1510" t="s">
        <v>358</v>
      </c>
      <c r="D53" s="1511"/>
      <c r="E53" s="1511"/>
      <c r="F53" s="1511"/>
      <c r="G53" s="1511"/>
      <c r="H53" s="1599"/>
      <c r="I53" s="434" t="s">
        <v>0</v>
      </c>
      <c r="J53" s="434" t="s">
        <v>1</v>
      </c>
      <c r="K53" s="1510" t="s">
        <v>105</v>
      </c>
      <c r="L53" s="1601"/>
      <c r="M53" s="1601"/>
      <c r="N53" s="1601"/>
      <c r="O53" s="1601"/>
      <c r="P53" s="1602"/>
    </row>
    <row r="54" spans="1:16" ht="11.15" customHeight="1">
      <c r="A54" s="262"/>
      <c r="B54" s="208"/>
      <c r="C54" s="413"/>
      <c r="D54" s="413"/>
      <c r="E54" s="442"/>
      <c r="F54" s="499"/>
      <c r="G54" s="443"/>
      <c r="H54" s="443"/>
      <c r="I54" s="1216" t="s">
        <v>3</v>
      </c>
      <c r="J54" s="1216" t="s">
        <v>4</v>
      </c>
      <c r="K54" s="413"/>
      <c r="L54" s="413"/>
      <c r="M54" s="442"/>
      <c r="N54" s="1519" t="s">
        <v>298</v>
      </c>
      <c r="O54" s="1520"/>
      <c r="P54" s="1524"/>
    </row>
    <row r="55" spans="1:16" ht="11.15" customHeight="1">
      <c r="A55" s="262"/>
      <c r="B55" s="19" t="s">
        <v>8</v>
      </c>
      <c r="C55" s="519"/>
      <c r="D55" s="519"/>
      <c r="E55" s="1217"/>
      <c r="F55" s="21" t="s">
        <v>165</v>
      </c>
      <c r="G55" s="117"/>
      <c r="H55" s="117"/>
      <c r="I55" s="1216" t="s">
        <v>8</v>
      </c>
      <c r="J55" s="1216" t="s">
        <v>8</v>
      </c>
      <c r="K55" s="519"/>
      <c r="L55" s="519"/>
      <c r="M55" s="1217"/>
      <c r="N55" s="1522"/>
      <c r="O55" s="1523"/>
      <c r="P55" s="1525"/>
    </row>
    <row r="56" spans="1:16" ht="11.15" customHeight="1">
      <c r="A56" s="435" t="s">
        <v>43</v>
      </c>
      <c r="B56" s="19" t="s">
        <v>61</v>
      </c>
      <c r="C56" s="422" t="s">
        <v>19</v>
      </c>
      <c r="D56" s="15" t="s">
        <v>17</v>
      </c>
      <c r="E56" s="15" t="s">
        <v>18</v>
      </c>
      <c r="F56" s="26" t="s">
        <v>300</v>
      </c>
      <c r="G56" s="27"/>
      <c r="H56" s="27"/>
      <c r="I56" s="1216" t="s">
        <v>20</v>
      </c>
      <c r="J56" s="1216" t="s">
        <v>20</v>
      </c>
      <c r="K56" s="418"/>
      <c r="L56" s="418"/>
      <c r="M56" s="1218"/>
      <c r="N56" s="498"/>
      <c r="O56" s="297"/>
      <c r="P56" s="551"/>
    </row>
    <row r="57" spans="1:16" ht="11.15" customHeight="1">
      <c r="A57" s="262"/>
      <c r="B57" s="19" t="s">
        <v>62</v>
      </c>
      <c r="C57" s="422" t="s">
        <v>29</v>
      </c>
      <c r="D57" s="15" t="s">
        <v>28</v>
      </c>
      <c r="E57" s="15" t="s">
        <v>28</v>
      </c>
      <c r="F57" s="420"/>
      <c r="G57" s="421"/>
      <c r="H57" s="421"/>
      <c r="I57" s="1216" t="s">
        <v>33</v>
      </c>
      <c r="J57" s="1216" t="s">
        <v>33</v>
      </c>
      <c r="K57" s="1212" t="s">
        <v>19</v>
      </c>
      <c r="L57" s="15" t="s">
        <v>17</v>
      </c>
      <c r="M57" s="15" t="s">
        <v>18</v>
      </c>
      <c r="N57" s="20" t="s">
        <v>19</v>
      </c>
      <c r="O57" s="1211" t="s">
        <v>17</v>
      </c>
      <c r="P57" s="503" t="s">
        <v>18</v>
      </c>
    </row>
    <row r="58" spans="1:16" ht="11.15" customHeight="1">
      <c r="A58" s="262"/>
      <c r="B58" s="208"/>
      <c r="C58" s="1219"/>
      <c r="D58" s="418"/>
      <c r="E58" s="418"/>
      <c r="F58" s="15" t="s">
        <v>30</v>
      </c>
      <c r="G58" s="1211" t="s">
        <v>31</v>
      </c>
      <c r="H58" s="1211" t="s">
        <v>32</v>
      </c>
      <c r="I58" s="1216" t="s">
        <v>39</v>
      </c>
      <c r="J58" s="1216" t="s">
        <v>39</v>
      </c>
      <c r="K58" s="1212" t="s">
        <v>29</v>
      </c>
      <c r="L58" s="15" t="s">
        <v>28</v>
      </c>
      <c r="M58" s="15" t="s">
        <v>34</v>
      </c>
      <c r="N58" s="20" t="s">
        <v>29</v>
      </c>
      <c r="O58" s="1211" t="s">
        <v>28</v>
      </c>
      <c r="P58" s="503" t="s">
        <v>34</v>
      </c>
    </row>
    <row r="59" spans="1:16" ht="11.15" customHeight="1">
      <c r="A59" s="394"/>
      <c r="B59" s="425"/>
      <c r="C59" s="437"/>
      <c r="D59" s="438"/>
      <c r="E59" s="438"/>
      <c r="F59" s="436"/>
      <c r="G59" s="439"/>
      <c r="H59" s="439"/>
      <c r="I59" s="440"/>
      <c r="J59" s="440"/>
      <c r="K59" s="441"/>
      <c r="L59" s="438"/>
      <c r="M59" s="438"/>
      <c r="N59" s="417"/>
      <c r="O59" s="426"/>
      <c r="P59" s="518"/>
    </row>
    <row r="60" spans="1:16" ht="3" customHeight="1">
      <c r="A60" s="296"/>
      <c r="B60" s="414"/>
      <c r="C60" s="468"/>
      <c r="D60" s="469"/>
      <c r="E60" s="470"/>
      <c r="F60" s="469"/>
      <c r="G60" s="469"/>
      <c r="H60" s="470"/>
      <c r="I60" s="471"/>
      <c r="J60" s="472"/>
      <c r="K60" s="468"/>
      <c r="L60" s="469"/>
      <c r="M60" s="469"/>
      <c r="N60" s="468"/>
      <c r="O60" s="82"/>
      <c r="P60" s="546"/>
    </row>
    <row r="61" spans="1:16" s="11" customFormat="1">
      <c r="A61" s="981" t="s">
        <v>180</v>
      </c>
      <c r="B61" s="989" t="s">
        <v>64</v>
      </c>
      <c r="C61" s="446">
        <f>SUM(C62:C68)</f>
        <v>3450</v>
      </c>
      <c r="D61" s="983">
        <f>SUM(D62:D68)</f>
        <v>2976</v>
      </c>
      <c r="E61" s="447">
        <f t="shared" ref="E61:P61" si="4">SUM(E62:E68)</f>
        <v>474</v>
      </c>
      <c r="F61" s="983">
        <f t="shared" si="4"/>
        <v>1119</v>
      </c>
      <c r="G61" s="447">
        <f t="shared" si="4"/>
        <v>1101</v>
      </c>
      <c r="H61" s="447">
        <f t="shared" si="4"/>
        <v>1230</v>
      </c>
      <c r="I61" s="983">
        <f t="shared" si="4"/>
        <v>1281</v>
      </c>
      <c r="J61" s="446">
        <f t="shared" si="4"/>
        <v>405</v>
      </c>
      <c r="K61" s="446">
        <f>SUM(K62:K68)</f>
        <v>1215</v>
      </c>
      <c r="L61" s="983">
        <f t="shared" si="4"/>
        <v>1038</v>
      </c>
      <c r="M61" s="448">
        <f t="shared" si="4"/>
        <v>177</v>
      </c>
      <c r="N61" s="983">
        <f t="shared" si="4"/>
        <v>963</v>
      </c>
      <c r="O61" s="983">
        <f>SUM(O62:O68)</f>
        <v>810</v>
      </c>
      <c r="P61" s="1193">
        <f t="shared" si="4"/>
        <v>153</v>
      </c>
    </row>
    <row r="62" spans="1:16" ht="11.15" customHeight="1">
      <c r="A62" s="262"/>
      <c r="B62" s="449" t="s">
        <v>65</v>
      </c>
      <c r="C62" s="450">
        <v>348</v>
      </c>
      <c r="D62" s="451">
        <v>198</v>
      </c>
      <c r="E62" s="452">
        <v>150</v>
      </c>
      <c r="F62" s="451">
        <v>102</v>
      </c>
      <c r="G62" s="451">
        <v>108</v>
      </c>
      <c r="H62" s="451">
        <v>138</v>
      </c>
      <c r="I62" s="477">
        <v>129</v>
      </c>
      <c r="J62" s="450">
        <v>45</v>
      </c>
      <c r="K62" s="450">
        <v>138</v>
      </c>
      <c r="L62" s="451">
        <v>84</v>
      </c>
      <c r="M62" s="452">
        <v>54</v>
      </c>
      <c r="N62" s="452">
        <v>123</v>
      </c>
      <c r="O62" s="1194">
        <v>72</v>
      </c>
      <c r="P62" s="1195">
        <v>51</v>
      </c>
    </row>
    <row r="63" spans="1:16" ht="11.15" customHeight="1">
      <c r="A63" s="262"/>
      <c r="B63" s="449" t="s">
        <v>66</v>
      </c>
      <c r="C63" s="450">
        <v>57</v>
      </c>
      <c r="D63" s="451">
        <v>42</v>
      </c>
      <c r="E63" s="452">
        <v>15</v>
      </c>
      <c r="F63" s="451">
        <v>9</v>
      </c>
      <c r="G63" s="451">
        <v>24</v>
      </c>
      <c r="H63" s="451">
        <v>21</v>
      </c>
      <c r="I63" s="477">
        <v>24</v>
      </c>
      <c r="J63" s="450">
        <v>6</v>
      </c>
      <c r="K63" s="450">
        <v>18</v>
      </c>
      <c r="L63" s="451">
        <v>12</v>
      </c>
      <c r="M63" s="452">
        <v>6</v>
      </c>
      <c r="N63" s="452">
        <v>18</v>
      </c>
      <c r="O63" s="1194">
        <v>9</v>
      </c>
      <c r="P63" s="1195">
        <v>6</v>
      </c>
    </row>
    <row r="64" spans="1:16" ht="11.15" customHeight="1">
      <c r="A64" s="262"/>
      <c r="B64" s="449" t="s">
        <v>67</v>
      </c>
      <c r="C64" s="450">
        <v>222</v>
      </c>
      <c r="D64" s="451">
        <v>174</v>
      </c>
      <c r="E64" s="452">
        <v>48</v>
      </c>
      <c r="F64" s="451">
        <v>66</v>
      </c>
      <c r="G64" s="451">
        <v>75</v>
      </c>
      <c r="H64" s="451">
        <v>84</v>
      </c>
      <c r="I64" s="477">
        <v>75</v>
      </c>
      <c r="J64" s="450">
        <v>21</v>
      </c>
      <c r="K64" s="450">
        <v>72</v>
      </c>
      <c r="L64" s="451">
        <v>48</v>
      </c>
      <c r="M64" s="452">
        <v>24</v>
      </c>
      <c r="N64" s="452">
        <v>63</v>
      </c>
      <c r="O64" s="1194">
        <v>42</v>
      </c>
      <c r="P64" s="1195">
        <v>21</v>
      </c>
    </row>
    <row r="65" spans="1:16" ht="11.15" customHeight="1">
      <c r="A65" s="262"/>
      <c r="B65" s="449" t="s">
        <v>68</v>
      </c>
      <c r="C65" s="450">
        <v>30</v>
      </c>
      <c r="D65" s="451">
        <v>24</v>
      </c>
      <c r="E65" s="452">
        <v>6</v>
      </c>
      <c r="F65" s="451">
        <v>9</v>
      </c>
      <c r="G65" s="451">
        <v>12</v>
      </c>
      <c r="H65" s="451">
        <v>9</v>
      </c>
      <c r="I65" s="477">
        <v>15</v>
      </c>
      <c r="J65" s="450">
        <v>0</v>
      </c>
      <c r="K65" s="450">
        <v>9</v>
      </c>
      <c r="L65" s="473">
        <v>6</v>
      </c>
      <c r="M65" s="474">
        <v>3</v>
      </c>
      <c r="N65" s="452">
        <v>9</v>
      </c>
      <c r="O65" s="1201">
        <v>6</v>
      </c>
      <c r="P65" s="1195">
        <v>3</v>
      </c>
    </row>
    <row r="66" spans="1:16" ht="11.15" customHeight="1">
      <c r="A66" s="262"/>
      <c r="B66" s="449" t="s">
        <v>69</v>
      </c>
      <c r="C66" s="450">
        <v>2556</v>
      </c>
      <c r="D66" s="451">
        <v>2361</v>
      </c>
      <c r="E66" s="452">
        <v>195</v>
      </c>
      <c r="F66" s="451">
        <v>855</v>
      </c>
      <c r="G66" s="451">
        <v>807</v>
      </c>
      <c r="H66" s="451">
        <v>894</v>
      </c>
      <c r="I66" s="477">
        <v>948</v>
      </c>
      <c r="J66" s="450">
        <v>300</v>
      </c>
      <c r="K66" s="450">
        <v>885</v>
      </c>
      <c r="L66" s="451">
        <v>816</v>
      </c>
      <c r="M66" s="452">
        <v>69</v>
      </c>
      <c r="N66" s="452">
        <v>678</v>
      </c>
      <c r="O66" s="1194">
        <v>624</v>
      </c>
      <c r="P66" s="1195">
        <v>54</v>
      </c>
    </row>
    <row r="67" spans="1:16" ht="11.15" customHeight="1">
      <c r="A67" s="262"/>
      <c r="B67" s="449" t="s">
        <v>70</v>
      </c>
      <c r="C67" s="450">
        <v>198</v>
      </c>
      <c r="D67" s="451">
        <v>153</v>
      </c>
      <c r="E67" s="452">
        <v>42</v>
      </c>
      <c r="F67" s="451">
        <v>69</v>
      </c>
      <c r="G67" s="451">
        <v>60</v>
      </c>
      <c r="H67" s="451">
        <v>69</v>
      </c>
      <c r="I67" s="477">
        <v>75</v>
      </c>
      <c r="J67" s="450">
        <v>27</v>
      </c>
      <c r="K67" s="450">
        <v>78</v>
      </c>
      <c r="L67" s="451">
        <v>66</v>
      </c>
      <c r="M67" s="452">
        <v>12</v>
      </c>
      <c r="N67" s="452">
        <v>60</v>
      </c>
      <c r="O67" s="1194">
        <v>51</v>
      </c>
      <c r="P67" s="1195">
        <v>9</v>
      </c>
    </row>
    <row r="68" spans="1:16" ht="11.15" customHeight="1">
      <c r="A68" s="262"/>
      <c r="B68" s="436" t="s">
        <v>71</v>
      </c>
      <c r="C68" s="450">
        <v>39</v>
      </c>
      <c r="D68" s="451">
        <v>24</v>
      </c>
      <c r="E68" s="452">
        <v>18</v>
      </c>
      <c r="F68" s="451">
        <v>9</v>
      </c>
      <c r="G68" s="451">
        <v>15</v>
      </c>
      <c r="H68" s="451">
        <v>15</v>
      </c>
      <c r="I68" s="477">
        <v>15</v>
      </c>
      <c r="J68" s="450">
        <v>6</v>
      </c>
      <c r="K68" s="450">
        <v>15</v>
      </c>
      <c r="L68" s="473">
        <v>6</v>
      </c>
      <c r="M68" s="474">
        <v>9</v>
      </c>
      <c r="N68" s="452">
        <v>12</v>
      </c>
      <c r="O68" s="1201">
        <v>6</v>
      </c>
      <c r="P68" s="1195">
        <v>9</v>
      </c>
    </row>
    <row r="69" spans="1:16" s="11" customFormat="1" ht="3" customHeight="1">
      <c r="A69" s="262"/>
      <c r="B69" s="418"/>
      <c r="C69" s="446"/>
      <c r="D69" s="451"/>
      <c r="E69" s="452"/>
      <c r="F69" s="451"/>
      <c r="G69" s="451"/>
      <c r="H69" s="452"/>
      <c r="I69" s="477"/>
      <c r="J69" s="450"/>
      <c r="K69" s="446"/>
      <c r="L69" s="451"/>
      <c r="M69" s="452"/>
      <c r="N69" s="452"/>
      <c r="O69" s="739"/>
      <c r="P69" s="1196"/>
    </row>
    <row r="70" spans="1:16">
      <c r="A70" s="981" t="s">
        <v>171</v>
      </c>
      <c r="B70" s="989" t="s">
        <v>64</v>
      </c>
      <c r="C70" s="446">
        <f t="shared" ref="C70:H70" si="5">SUM(C71:C78)</f>
        <v>849</v>
      </c>
      <c r="D70" s="983">
        <f t="shared" si="5"/>
        <v>684</v>
      </c>
      <c r="E70" s="447">
        <f t="shared" si="5"/>
        <v>162</v>
      </c>
      <c r="F70" s="983">
        <f t="shared" si="5"/>
        <v>252</v>
      </c>
      <c r="G70" s="447">
        <f t="shared" si="5"/>
        <v>273</v>
      </c>
      <c r="H70" s="447">
        <f t="shared" si="5"/>
        <v>321</v>
      </c>
      <c r="I70" s="1047">
        <f t="shared" ref="I70:P70" si="6">SUM(I71:I78)</f>
        <v>315</v>
      </c>
      <c r="J70" s="567">
        <f t="shared" si="6"/>
        <v>108</v>
      </c>
      <c r="K70" s="983">
        <f t="shared" si="6"/>
        <v>246</v>
      </c>
      <c r="L70" s="983">
        <f t="shared" si="6"/>
        <v>177</v>
      </c>
      <c r="M70" s="447">
        <f t="shared" si="6"/>
        <v>72</v>
      </c>
      <c r="N70" s="567">
        <f t="shared" si="6"/>
        <v>210</v>
      </c>
      <c r="O70" s="1192">
        <f t="shared" si="6"/>
        <v>147</v>
      </c>
      <c r="P70" s="1193">
        <f t="shared" si="6"/>
        <v>69</v>
      </c>
    </row>
    <row r="71" spans="1:16" ht="11.15" customHeight="1">
      <c r="A71" s="262"/>
      <c r="B71" s="449" t="s">
        <v>65</v>
      </c>
      <c r="C71" s="450">
        <v>156</v>
      </c>
      <c r="D71" s="473">
        <v>81</v>
      </c>
      <c r="E71" s="474">
        <v>75</v>
      </c>
      <c r="F71" s="473">
        <v>36</v>
      </c>
      <c r="G71" s="473">
        <v>51</v>
      </c>
      <c r="H71" s="473">
        <v>66</v>
      </c>
      <c r="I71" s="477">
        <v>51</v>
      </c>
      <c r="J71" s="450">
        <v>15</v>
      </c>
      <c r="K71" s="450">
        <v>66</v>
      </c>
      <c r="L71" s="473">
        <v>27</v>
      </c>
      <c r="M71" s="474">
        <v>39</v>
      </c>
      <c r="N71" s="452">
        <v>60</v>
      </c>
      <c r="O71" s="1201">
        <v>24</v>
      </c>
      <c r="P71" s="1195">
        <v>39</v>
      </c>
    </row>
    <row r="72" spans="1:16" ht="11.15" customHeight="1">
      <c r="A72" s="262"/>
      <c r="B72" s="449" t="s">
        <v>66</v>
      </c>
      <c r="C72" s="450">
        <v>24</v>
      </c>
      <c r="D72" s="473">
        <v>18</v>
      </c>
      <c r="E72" s="474">
        <v>6</v>
      </c>
      <c r="F72" s="473">
        <v>9</v>
      </c>
      <c r="G72" s="473">
        <v>12</v>
      </c>
      <c r="H72" s="473">
        <v>3</v>
      </c>
      <c r="I72" s="477">
        <v>15</v>
      </c>
      <c r="J72" s="450">
        <v>0</v>
      </c>
      <c r="K72" s="450">
        <v>3</v>
      </c>
      <c r="L72" s="473">
        <v>3</v>
      </c>
      <c r="M72" s="474">
        <v>0</v>
      </c>
      <c r="N72" s="452">
        <v>3</v>
      </c>
      <c r="O72" s="1201">
        <v>3</v>
      </c>
      <c r="P72" s="1195">
        <v>0</v>
      </c>
    </row>
    <row r="73" spans="1:16" ht="11.15" customHeight="1">
      <c r="A73" s="262"/>
      <c r="B73" s="449" t="s">
        <v>67</v>
      </c>
      <c r="C73" s="450">
        <v>30</v>
      </c>
      <c r="D73" s="473">
        <v>21</v>
      </c>
      <c r="E73" s="474">
        <v>9</v>
      </c>
      <c r="F73" s="473">
        <v>12</v>
      </c>
      <c r="G73" s="473">
        <v>9</v>
      </c>
      <c r="H73" s="473">
        <v>9</v>
      </c>
      <c r="I73" s="477">
        <v>15</v>
      </c>
      <c r="J73" s="450">
        <v>6</v>
      </c>
      <c r="K73" s="450">
        <v>9</v>
      </c>
      <c r="L73" s="473">
        <v>9</v>
      </c>
      <c r="M73" s="474">
        <v>0</v>
      </c>
      <c r="N73" s="452">
        <v>6</v>
      </c>
      <c r="O73" s="1201">
        <v>6</v>
      </c>
      <c r="P73" s="1195">
        <v>0</v>
      </c>
    </row>
    <row r="74" spans="1:16" ht="11.15" customHeight="1">
      <c r="A74" s="262"/>
      <c r="B74" s="449" t="s">
        <v>68</v>
      </c>
      <c r="C74" s="450">
        <v>3</v>
      </c>
      <c r="D74" s="1022">
        <v>0</v>
      </c>
      <c r="E74" s="452">
        <v>0</v>
      </c>
      <c r="F74" s="477">
        <v>0</v>
      </c>
      <c r="G74" s="451">
        <v>0</v>
      </c>
      <c r="H74" s="473">
        <v>3</v>
      </c>
      <c r="I74" s="477">
        <v>0</v>
      </c>
      <c r="J74" s="450">
        <v>3</v>
      </c>
      <c r="K74" s="450">
        <v>3</v>
      </c>
      <c r="L74" s="473">
        <v>3</v>
      </c>
      <c r="M74" s="474">
        <v>0</v>
      </c>
      <c r="N74" s="452">
        <v>3</v>
      </c>
      <c r="O74" s="1201">
        <v>3</v>
      </c>
      <c r="P74" s="1195">
        <v>0</v>
      </c>
    </row>
    <row r="75" spans="1:16" ht="11.15" customHeight="1">
      <c r="A75" s="262"/>
      <c r="B75" s="449" t="s">
        <v>69</v>
      </c>
      <c r="C75" s="450">
        <v>591</v>
      </c>
      <c r="D75" s="473">
        <v>534</v>
      </c>
      <c r="E75" s="474">
        <v>57</v>
      </c>
      <c r="F75" s="473">
        <v>177</v>
      </c>
      <c r="G75" s="473">
        <v>192</v>
      </c>
      <c r="H75" s="473">
        <v>222</v>
      </c>
      <c r="I75" s="477">
        <v>213</v>
      </c>
      <c r="J75" s="450">
        <v>72</v>
      </c>
      <c r="K75" s="450">
        <v>156</v>
      </c>
      <c r="L75" s="1197">
        <v>129</v>
      </c>
      <c r="M75" s="452">
        <v>27</v>
      </c>
      <c r="N75" s="452">
        <v>132</v>
      </c>
      <c r="O75" s="1194">
        <v>108</v>
      </c>
      <c r="P75" s="1195">
        <v>24</v>
      </c>
    </row>
    <row r="76" spans="1:16" ht="11.15" customHeight="1">
      <c r="A76" s="262"/>
      <c r="B76" s="449" t="s">
        <v>70</v>
      </c>
      <c r="C76" s="450">
        <v>24</v>
      </c>
      <c r="D76" s="473">
        <v>18</v>
      </c>
      <c r="E76" s="474">
        <v>6</v>
      </c>
      <c r="F76" s="473">
        <v>9</v>
      </c>
      <c r="G76" s="473">
        <v>6</v>
      </c>
      <c r="H76" s="473">
        <v>9</v>
      </c>
      <c r="I76" s="477">
        <v>12</v>
      </c>
      <c r="J76" s="450">
        <v>6</v>
      </c>
      <c r="K76" s="450">
        <v>9</v>
      </c>
      <c r="L76" s="451">
        <v>6</v>
      </c>
      <c r="M76" s="452">
        <v>6</v>
      </c>
      <c r="N76" s="452">
        <v>6</v>
      </c>
      <c r="O76" s="1194">
        <v>3</v>
      </c>
      <c r="P76" s="1195">
        <v>6</v>
      </c>
    </row>
    <row r="77" spans="1:16" ht="11.15" customHeight="1">
      <c r="A77" s="262"/>
      <c r="B77" s="449" t="s">
        <v>71</v>
      </c>
      <c r="C77" s="450">
        <v>0</v>
      </c>
      <c r="D77" s="451">
        <v>0</v>
      </c>
      <c r="E77" s="474">
        <v>0</v>
      </c>
      <c r="F77" s="451">
        <v>0</v>
      </c>
      <c r="G77" s="451">
        <v>0</v>
      </c>
      <c r="H77" s="452">
        <v>0</v>
      </c>
      <c r="I77" s="477">
        <v>0</v>
      </c>
      <c r="J77" s="450">
        <v>0</v>
      </c>
      <c r="K77" s="450">
        <v>0</v>
      </c>
      <c r="L77" s="473">
        <v>0</v>
      </c>
      <c r="M77" s="474">
        <v>0</v>
      </c>
      <c r="N77" s="452">
        <v>0</v>
      </c>
      <c r="O77" s="1201">
        <v>0</v>
      </c>
      <c r="P77" s="1195">
        <v>0</v>
      </c>
    </row>
    <row r="78" spans="1:16" ht="11.15" customHeight="1">
      <c r="A78" s="1230"/>
      <c r="B78" s="449" t="s">
        <v>354</v>
      </c>
      <c r="C78" s="450">
        <v>21</v>
      </c>
      <c r="D78" s="451">
        <v>12</v>
      </c>
      <c r="E78" s="474">
        <v>9</v>
      </c>
      <c r="F78" s="451">
        <v>9</v>
      </c>
      <c r="G78" s="451">
        <v>3</v>
      </c>
      <c r="H78" s="452">
        <v>9</v>
      </c>
      <c r="I78" s="477">
        <v>9</v>
      </c>
      <c r="J78" s="450">
        <v>6</v>
      </c>
      <c r="K78" s="450">
        <v>0</v>
      </c>
      <c r="L78" s="473">
        <v>0</v>
      </c>
      <c r="M78" s="474">
        <v>0</v>
      </c>
      <c r="N78" s="452">
        <v>0</v>
      </c>
      <c r="O78" s="1194">
        <v>0</v>
      </c>
      <c r="P78" s="1195">
        <v>0</v>
      </c>
    </row>
    <row r="79" spans="1:16" ht="3" customHeight="1">
      <c r="A79" s="262"/>
      <c r="B79" s="436"/>
      <c r="C79" s="446"/>
      <c r="D79" s="451"/>
      <c r="E79" s="452"/>
      <c r="F79" s="451"/>
      <c r="G79" s="451"/>
      <c r="H79" s="452"/>
      <c r="I79" s="477"/>
      <c r="J79" s="450"/>
      <c r="K79" s="446"/>
      <c r="L79" s="451"/>
      <c r="M79" s="452"/>
      <c r="N79" s="452"/>
      <c r="O79" s="739"/>
      <c r="P79" s="1198"/>
    </row>
    <row r="80" spans="1:16">
      <c r="A80" s="981" t="s">
        <v>181</v>
      </c>
      <c r="B80" s="989" t="s">
        <v>64</v>
      </c>
      <c r="C80" s="446">
        <f>SUM(C81:C87)</f>
        <v>459</v>
      </c>
      <c r="D80" s="983">
        <f>SUM(D81:D87)</f>
        <v>369</v>
      </c>
      <c r="E80" s="447">
        <f t="shared" ref="E80:P80" si="7">SUM(E81:E87)</f>
        <v>87</v>
      </c>
      <c r="F80" s="983">
        <f t="shared" si="7"/>
        <v>150</v>
      </c>
      <c r="G80" s="447">
        <f t="shared" si="7"/>
        <v>156</v>
      </c>
      <c r="H80" s="447">
        <f t="shared" si="7"/>
        <v>153</v>
      </c>
      <c r="I80" s="1047">
        <f t="shared" si="7"/>
        <v>171</v>
      </c>
      <c r="J80" s="567">
        <f t="shared" si="7"/>
        <v>72</v>
      </c>
      <c r="K80" s="983">
        <f t="shared" si="7"/>
        <v>177</v>
      </c>
      <c r="L80" s="983">
        <f t="shared" si="7"/>
        <v>150</v>
      </c>
      <c r="M80" s="447">
        <f t="shared" si="7"/>
        <v>24</v>
      </c>
      <c r="N80" s="567">
        <f>SUM(N81:N87)</f>
        <v>150</v>
      </c>
      <c r="O80" s="1192">
        <f t="shared" si="7"/>
        <v>126</v>
      </c>
      <c r="P80" s="1193">
        <f t="shared" si="7"/>
        <v>24</v>
      </c>
    </row>
    <row r="81" spans="1:16" ht="11.15" customHeight="1">
      <c r="A81" s="262"/>
      <c r="B81" s="449" t="s">
        <v>65</v>
      </c>
      <c r="C81" s="450">
        <v>81</v>
      </c>
      <c r="D81" s="451">
        <v>45</v>
      </c>
      <c r="E81" s="452">
        <v>33</v>
      </c>
      <c r="F81" s="451">
        <v>24</v>
      </c>
      <c r="G81" s="451">
        <v>27</v>
      </c>
      <c r="H81" s="451">
        <v>27</v>
      </c>
      <c r="I81" s="477">
        <v>27</v>
      </c>
      <c r="J81" s="450">
        <v>15</v>
      </c>
      <c r="K81" s="450">
        <v>30</v>
      </c>
      <c r="L81" s="451">
        <v>21</v>
      </c>
      <c r="M81" s="452">
        <v>9</v>
      </c>
      <c r="N81" s="452">
        <v>24</v>
      </c>
      <c r="O81" s="1194">
        <v>15</v>
      </c>
      <c r="P81" s="1195">
        <v>9</v>
      </c>
    </row>
    <row r="82" spans="1:16" ht="11.15" customHeight="1">
      <c r="A82" s="262"/>
      <c r="B82" s="449" t="s">
        <v>66</v>
      </c>
      <c r="C82" s="450">
        <v>9</v>
      </c>
      <c r="D82" s="451">
        <v>6</v>
      </c>
      <c r="E82" s="452">
        <v>3</v>
      </c>
      <c r="F82" s="451">
        <v>6</v>
      </c>
      <c r="G82" s="451">
        <v>3</v>
      </c>
      <c r="H82" s="451">
        <v>3</v>
      </c>
      <c r="I82" s="477">
        <v>6</v>
      </c>
      <c r="J82" s="450">
        <v>3</v>
      </c>
      <c r="K82" s="450">
        <v>6</v>
      </c>
      <c r="L82" s="451">
        <v>6</v>
      </c>
      <c r="M82" s="452">
        <v>0</v>
      </c>
      <c r="N82" s="452">
        <v>6</v>
      </c>
      <c r="O82" s="1194">
        <v>6</v>
      </c>
      <c r="P82" s="1195">
        <v>0</v>
      </c>
    </row>
    <row r="83" spans="1:16" ht="11.15" customHeight="1">
      <c r="A83" s="262"/>
      <c r="B83" s="449" t="s">
        <v>67</v>
      </c>
      <c r="C83" s="450">
        <v>18</v>
      </c>
      <c r="D83" s="451">
        <v>9</v>
      </c>
      <c r="E83" s="452">
        <v>9</v>
      </c>
      <c r="F83" s="451">
        <v>6</v>
      </c>
      <c r="G83" s="451">
        <v>6</v>
      </c>
      <c r="H83" s="451">
        <v>6</v>
      </c>
      <c r="I83" s="477">
        <v>9</v>
      </c>
      <c r="J83" s="450">
        <v>3</v>
      </c>
      <c r="K83" s="450">
        <v>9</v>
      </c>
      <c r="L83" s="451">
        <v>6</v>
      </c>
      <c r="M83" s="452">
        <v>3</v>
      </c>
      <c r="N83" s="452">
        <v>6</v>
      </c>
      <c r="O83" s="1194">
        <v>3</v>
      </c>
      <c r="P83" s="1195">
        <v>3</v>
      </c>
    </row>
    <row r="84" spans="1:16" ht="11.15" customHeight="1">
      <c r="A84" s="262"/>
      <c r="B84" s="449" t="s">
        <v>68</v>
      </c>
      <c r="C84" s="450">
        <v>9</v>
      </c>
      <c r="D84" s="451">
        <v>6</v>
      </c>
      <c r="E84" s="452">
        <v>6</v>
      </c>
      <c r="F84" s="451">
        <v>3</v>
      </c>
      <c r="G84" s="451">
        <v>3</v>
      </c>
      <c r="H84" s="451">
        <v>3</v>
      </c>
      <c r="I84" s="477">
        <v>3</v>
      </c>
      <c r="J84" s="450">
        <v>0</v>
      </c>
      <c r="K84" s="450">
        <v>6</v>
      </c>
      <c r="L84" s="451">
        <v>6</v>
      </c>
      <c r="M84" s="452">
        <v>0</v>
      </c>
      <c r="N84" s="452">
        <v>6</v>
      </c>
      <c r="O84" s="1194">
        <v>6</v>
      </c>
      <c r="P84" s="1195">
        <v>0</v>
      </c>
    </row>
    <row r="85" spans="1:16" ht="11.15" customHeight="1">
      <c r="A85" s="262"/>
      <c r="B85" s="449" t="s">
        <v>69</v>
      </c>
      <c r="C85" s="450">
        <v>327</v>
      </c>
      <c r="D85" s="451">
        <v>294</v>
      </c>
      <c r="E85" s="452">
        <v>33</v>
      </c>
      <c r="F85" s="451">
        <v>105</v>
      </c>
      <c r="G85" s="451">
        <v>111</v>
      </c>
      <c r="H85" s="451">
        <v>111</v>
      </c>
      <c r="I85" s="477">
        <v>120</v>
      </c>
      <c r="J85" s="450">
        <v>48</v>
      </c>
      <c r="K85" s="450">
        <v>120</v>
      </c>
      <c r="L85" s="451">
        <v>105</v>
      </c>
      <c r="M85" s="452">
        <v>12</v>
      </c>
      <c r="N85" s="452">
        <v>102</v>
      </c>
      <c r="O85" s="1194">
        <v>90</v>
      </c>
      <c r="P85" s="1195">
        <v>12</v>
      </c>
    </row>
    <row r="86" spans="1:16" ht="11.15" customHeight="1">
      <c r="A86" s="262"/>
      <c r="B86" s="449" t="s">
        <v>70</v>
      </c>
      <c r="C86" s="450">
        <v>6</v>
      </c>
      <c r="D86" s="451">
        <v>6</v>
      </c>
      <c r="E86" s="452">
        <v>0</v>
      </c>
      <c r="F86" s="451">
        <v>3</v>
      </c>
      <c r="G86" s="451">
        <v>3</v>
      </c>
      <c r="H86" s="451">
        <v>0</v>
      </c>
      <c r="I86" s="477">
        <v>3</v>
      </c>
      <c r="J86" s="450">
        <v>0</v>
      </c>
      <c r="K86" s="450">
        <v>3</v>
      </c>
      <c r="L86" s="451">
        <v>3</v>
      </c>
      <c r="M86" s="452">
        <v>0</v>
      </c>
      <c r="N86" s="452">
        <v>3</v>
      </c>
      <c r="O86" s="1194">
        <v>3</v>
      </c>
      <c r="P86" s="1195">
        <v>0</v>
      </c>
    </row>
    <row r="87" spans="1:16" ht="11.15" customHeight="1">
      <c r="A87" s="262"/>
      <c r="B87" s="436" t="s">
        <v>71</v>
      </c>
      <c r="C87" s="450">
        <v>9</v>
      </c>
      <c r="D87" s="451">
        <v>3</v>
      </c>
      <c r="E87" s="452">
        <v>3</v>
      </c>
      <c r="F87" s="451">
        <v>3</v>
      </c>
      <c r="G87" s="451">
        <v>3</v>
      </c>
      <c r="H87" s="451">
        <v>3</v>
      </c>
      <c r="I87" s="477">
        <v>3</v>
      </c>
      <c r="J87" s="450">
        <v>3</v>
      </c>
      <c r="K87" s="450">
        <v>3</v>
      </c>
      <c r="L87" s="451">
        <v>3</v>
      </c>
      <c r="M87" s="452">
        <v>0</v>
      </c>
      <c r="N87" s="452">
        <v>3</v>
      </c>
      <c r="O87" s="1194">
        <v>3</v>
      </c>
      <c r="P87" s="1195">
        <v>0</v>
      </c>
    </row>
    <row r="88" spans="1:16" s="11" customFormat="1" ht="3" customHeight="1">
      <c r="A88" s="262"/>
      <c r="B88" s="436"/>
      <c r="C88" s="446"/>
      <c r="D88" s="451"/>
      <c r="E88" s="452"/>
      <c r="F88" s="451"/>
      <c r="G88" s="451"/>
      <c r="H88" s="452"/>
      <c r="I88" s="477"/>
      <c r="J88" s="450"/>
      <c r="K88" s="446"/>
      <c r="L88" s="451"/>
      <c r="M88" s="452"/>
      <c r="N88" s="452"/>
      <c r="O88" s="467"/>
      <c r="P88" s="1200"/>
    </row>
    <row r="89" spans="1:16">
      <c r="A89" s="981" t="s">
        <v>172</v>
      </c>
      <c r="B89" s="989" t="s">
        <v>64</v>
      </c>
      <c r="C89" s="446">
        <f>SUM(C90:C96)</f>
        <v>1839</v>
      </c>
      <c r="D89" s="983">
        <f>SUM(D90:D96)</f>
        <v>1428</v>
      </c>
      <c r="E89" s="447">
        <f t="shared" ref="E89:P89" si="8">SUM(E90:E96)</f>
        <v>408</v>
      </c>
      <c r="F89" s="983">
        <f t="shared" si="8"/>
        <v>585</v>
      </c>
      <c r="G89" s="447">
        <f t="shared" si="8"/>
        <v>663</v>
      </c>
      <c r="H89" s="447">
        <f t="shared" si="8"/>
        <v>588</v>
      </c>
      <c r="I89" s="1047">
        <f>SUM(I90:I96)</f>
        <v>723</v>
      </c>
      <c r="J89" s="567">
        <f t="shared" si="8"/>
        <v>222</v>
      </c>
      <c r="K89" s="983">
        <f t="shared" si="8"/>
        <v>633</v>
      </c>
      <c r="L89" s="983">
        <f t="shared" si="8"/>
        <v>489</v>
      </c>
      <c r="M89" s="447">
        <f t="shared" si="8"/>
        <v>141</v>
      </c>
      <c r="N89" s="567">
        <f>SUM(N90:N96)</f>
        <v>561</v>
      </c>
      <c r="O89" s="1192">
        <f t="shared" si="8"/>
        <v>432</v>
      </c>
      <c r="P89" s="1193">
        <f t="shared" si="8"/>
        <v>132</v>
      </c>
    </row>
    <row r="90" spans="1:16" ht="11.15" customHeight="1">
      <c r="A90" s="262"/>
      <c r="B90" s="449" t="s">
        <v>65</v>
      </c>
      <c r="C90" s="450">
        <v>261</v>
      </c>
      <c r="D90" s="451">
        <v>126</v>
      </c>
      <c r="E90" s="452">
        <v>135</v>
      </c>
      <c r="F90" s="451">
        <v>84</v>
      </c>
      <c r="G90" s="451">
        <v>87</v>
      </c>
      <c r="H90" s="451">
        <v>87</v>
      </c>
      <c r="I90" s="477">
        <v>102</v>
      </c>
      <c r="J90" s="450">
        <v>27</v>
      </c>
      <c r="K90" s="450">
        <v>99</v>
      </c>
      <c r="L90" s="473">
        <v>45</v>
      </c>
      <c r="M90" s="474">
        <v>54</v>
      </c>
      <c r="N90" s="452">
        <v>87</v>
      </c>
      <c r="O90" s="1201">
        <v>39</v>
      </c>
      <c r="P90" s="1195">
        <v>48</v>
      </c>
    </row>
    <row r="91" spans="1:16" ht="11.15" customHeight="1">
      <c r="A91" s="262"/>
      <c r="B91" s="449" t="s">
        <v>66</v>
      </c>
      <c r="C91" s="450">
        <v>105</v>
      </c>
      <c r="D91" s="451">
        <v>60</v>
      </c>
      <c r="E91" s="452">
        <v>42</v>
      </c>
      <c r="F91" s="451">
        <v>24</v>
      </c>
      <c r="G91" s="451">
        <v>39</v>
      </c>
      <c r="H91" s="451">
        <v>42</v>
      </c>
      <c r="I91" s="477">
        <v>45</v>
      </c>
      <c r="J91" s="450">
        <v>12</v>
      </c>
      <c r="K91" s="450">
        <v>36</v>
      </c>
      <c r="L91" s="473">
        <v>21</v>
      </c>
      <c r="M91" s="474">
        <v>15</v>
      </c>
      <c r="N91" s="452">
        <v>33</v>
      </c>
      <c r="O91" s="1201">
        <v>18</v>
      </c>
      <c r="P91" s="1195">
        <v>15</v>
      </c>
    </row>
    <row r="92" spans="1:16" ht="11.15" customHeight="1">
      <c r="A92" s="262"/>
      <c r="B92" s="449" t="s">
        <v>67</v>
      </c>
      <c r="C92" s="450">
        <v>96</v>
      </c>
      <c r="D92" s="451">
        <v>69</v>
      </c>
      <c r="E92" s="452">
        <v>27</v>
      </c>
      <c r="F92" s="451">
        <v>21</v>
      </c>
      <c r="G92" s="451">
        <v>42</v>
      </c>
      <c r="H92" s="451">
        <v>33</v>
      </c>
      <c r="I92" s="477">
        <v>33</v>
      </c>
      <c r="J92" s="450">
        <v>9</v>
      </c>
      <c r="K92" s="450">
        <v>33</v>
      </c>
      <c r="L92" s="473">
        <v>15</v>
      </c>
      <c r="M92" s="474">
        <v>18</v>
      </c>
      <c r="N92" s="452">
        <v>27</v>
      </c>
      <c r="O92" s="1201">
        <v>12</v>
      </c>
      <c r="P92" s="1195">
        <v>15</v>
      </c>
    </row>
    <row r="93" spans="1:16" ht="11.15" customHeight="1">
      <c r="A93" s="262"/>
      <c r="B93" s="449" t="s">
        <v>68</v>
      </c>
      <c r="C93" s="450">
        <v>60</v>
      </c>
      <c r="D93" s="451">
        <v>51</v>
      </c>
      <c r="E93" s="452">
        <v>9</v>
      </c>
      <c r="F93" s="451">
        <v>18</v>
      </c>
      <c r="G93" s="451">
        <v>21</v>
      </c>
      <c r="H93" s="451">
        <v>21</v>
      </c>
      <c r="I93" s="477">
        <v>24</v>
      </c>
      <c r="J93" s="450">
        <v>6</v>
      </c>
      <c r="K93" s="450">
        <v>27</v>
      </c>
      <c r="L93" s="473">
        <v>21</v>
      </c>
      <c r="M93" s="474">
        <v>3</v>
      </c>
      <c r="N93" s="452">
        <v>24</v>
      </c>
      <c r="O93" s="1201">
        <v>21</v>
      </c>
      <c r="P93" s="1195">
        <v>3</v>
      </c>
    </row>
    <row r="94" spans="1:16" ht="11.15" customHeight="1">
      <c r="A94" s="262"/>
      <c r="B94" s="449" t="s">
        <v>69</v>
      </c>
      <c r="C94" s="450">
        <v>1227</v>
      </c>
      <c r="D94" s="451">
        <v>1065</v>
      </c>
      <c r="E94" s="452">
        <v>162</v>
      </c>
      <c r="F94" s="451">
        <v>414</v>
      </c>
      <c r="G94" s="451">
        <v>438</v>
      </c>
      <c r="H94" s="451">
        <v>375</v>
      </c>
      <c r="I94" s="477">
        <v>483</v>
      </c>
      <c r="J94" s="450">
        <v>156</v>
      </c>
      <c r="K94" s="450">
        <v>408</v>
      </c>
      <c r="L94" s="451">
        <v>369</v>
      </c>
      <c r="M94" s="452">
        <v>39</v>
      </c>
      <c r="N94" s="452">
        <v>360</v>
      </c>
      <c r="O94" s="1194">
        <v>324</v>
      </c>
      <c r="P94" s="1195">
        <v>39</v>
      </c>
    </row>
    <row r="95" spans="1:16" ht="11.15" customHeight="1">
      <c r="A95" s="262"/>
      <c r="B95" s="449" t="s">
        <v>70</v>
      </c>
      <c r="C95" s="450">
        <v>54</v>
      </c>
      <c r="D95" s="451">
        <v>39</v>
      </c>
      <c r="E95" s="452">
        <v>15</v>
      </c>
      <c r="F95" s="451">
        <v>15</v>
      </c>
      <c r="G95" s="451">
        <v>18</v>
      </c>
      <c r="H95" s="451">
        <v>21</v>
      </c>
      <c r="I95" s="477">
        <v>18</v>
      </c>
      <c r="J95" s="450">
        <v>6</v>
      </c>
      <c r="K95" s="450">
        <v>18</v>
      </c>
      <c r="L95" s="473">
        <v>12</v>
      </c>
      <c r="M95" s="474">
        <v>6</v>
      </c>
      <c r="N95" s="452">
        <v>18</v>
      </c>
      <c r="O95" s="1201">
        <v>12</v>
      </c>
      <c r="P95" s="1195">
        <v>6</v>
      </c>
    </row>
    <row r="96" spans="1:16" ht="11.15" customHeight="1">
      <c r="A96" s="262"/>
      <c r="B96" s="436" t="s">
        <v>71</v>
      </c>
      <c r="C96" s="450">
        <v>36</v>
      </c>
      <c r="D96" s="451">
        <v>18</v>
      </c>
      <c r="E96" s="452">
        <v>18</v>
      </c>
      <c r="F96" s="451">
        <v>9</v>
      </c>
      <c r="G96" s="451">
        <v>18</v>
      </c>
      <c r="H96" s="451">
        <v>9</v>
      </c>
      <c r="I96" s="477">
        <v>18</v>
      </c>
      <c r="J96" s="450">
        <v>6</v>
      </c>
      <c r="K96" s="450">
        <v>12</v>
      </c>
      <c r="L96" s="473">
        <v>6</v>
      </c>
      <c r="M96" s="474">
        <v>6</v>
      </c>
      <c r="N96" s="452">
        <v>12</v>
      </c>
      <c r="O96" s="1201">
        <v>6</v>
      </c>
      <c r="P96" s="1195">
        <v>6</v>
      </c>
    </row>
    <row r="97" spans="1:16" ht="3" customHeight="1" thickBot="1">
      <c r="A97" s="475"/>
      <c r="B97" s="266"/>
      <c r="C97" s="460"/>
      <c r="D97" s="457"/>
      <c r="E97" s="458"/>
      <c r="F97" s="457"/>
      <c r="G97" s="457"/>
      <c r="H97" s="459"/>
      <c r="I97" s="456"/>
      <c r="J97" s="460"/>
      <c r="K97" s="456"/>
      <c r="L97" s="457"/>
      <c r="M97" s="461"/>
      <c r="N97" s="480"/>
      <c r="O97" s="481"/>
      <c r="P97" s="1202"/>
    </row>
    <row r="98" spans="1:16" ht="3" customHeight="1">
      <c r="A98" s="476"/>
      <c r="B98" s="82"/>
      <c r="C98" s="451"/>
      <c r="D98" s="451"/>
      <c r="E98" s="447"/>
      <c r="F98" s="451"/>
      <c r="G98" s="451"/>
      <c r="H98" s="451"/>
      <c r="I98" s="451"/>
      <c r="J98" s="451"/>
      <c r="K98" s="451"/>
      <c r="L98" s="451"/>
      <c r="M98" s="462"/>
      <c r="N98" s="663"/>
      <c r="O98" s="82"/>
      <c r="P98" s="563"/>
    </row>
    <row r="99" spans="1:16">
      <c r="A99" s="63" t="s">
        <v>156</v>
      </c>
      <c r="B99" s="40"/>
      <c r="C99" s="463"/>
      <c r="D99" s="463"/>
      <c r="E99" s="463"/>
      <c r="F99" s="463"/>
      <c r="G99" s="463"/>
      <c r="H99" s="463"/>
      <c r="I99" s="464" t="s">
        <v>202</v>
      </c>
      <c r="K99" s="464"/>
      <c r="L99" s="464"/>
      <c r="M99" s="463"/>
      <c r="N99" s="463"/>
      <c r="O99" s="82"/>
      <c r="P99" s="82"/>
    </row>
    <row r="100" spans="1:16" ht="10.75" thickBot="1">
      <c r="A100" s="465"/>
      <c r="B100" s="409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2"/>
      <c r="O100" s="82"/>
      <c r="P100" s="82"/>
    </row>
    <row r="101" spans="1:16" ht="18" customHeight="1">
      <c r="A101" s="395"/>
      <c r="B101" s="433"/>
      <c r="C101" s="1510" t="s">
        <v>358</v>
      </c>
      <c r="D101" s="1511"/>
      <c r="E101" s="1511"/>
      <c r="F101" s="1511"/>
      <c r="G101" s="1511"/>
      <c r="H101" s="1599"/>
      <c r="I101" s="434" t="s">
        <v>0</v>
      </c>
      <c r="J101" s="434" t="s">
        <v>1</v>
      </c>
      <c r="K101" s="1510" t="s">
        <v>105</v>
      </c>
      <c r="L101" s="1601"/>
      <c r="M101" s="1601"/>
      <c r="N101" s="1601"/>
      <c r="O101" s="1601"/>
      <c r="P101" s="1602"/>
    </row>
    <row r="102" spans="1:16" ht="11.15" customHeight="1">
      <c r="A102" s="262"/>
      <c r="B102" s="208"/>
      <c r="C102" s="413"/>
      <c r="D102" s="413"/>
      <c r="E102" s="442"/>
      <c r="F102" s="499"/>
      <c r="G102" s="443"/>
      <c r="H102" s="443"/>
      <c r="I102" s="1216" t="s">
        <v>3</v>
      </c>
      <c r="J102" s="1216" t="s">
        <v>4</v>
      </c>
      <c r="K102" s="413"/>
      <c r="L102" s="413"/>
      <c r="M102" s="442"/>
      <c r="N102" s="1519" t="s">
        <v>298</v>
      </c>
      <c r="O102" s="1520"/>
      <c r="P102" s="1524"/>
    </row>
    <row r="103" spans="1:16" ht="11.15" customHeight="1">
      <c r="A103" s="262"/>
      <c r="B103" s="19" t="s">
        <v>8</v>
      </c>
      <c r="C103" s="519"/>
      <c r="D103" s="519"/>
      <c r="E103" s="1217"/>
      <c r="F103" s="21" t="s">
        <v>165</v>
      </c>
      <c r="G103" s="117"/>
      <c r="H103" s="117"/>
      <c r="I103" s="1216" t="s">
        <v>8</v>
      </c>
      <c r="J103" s="1216" t="s">
        <v>8</v>
      </c>
      <c r="K103" s="519"/>
      <c r="L103" s="519"/>
      <c r="M103" s="1217"/>
      <c r="N103" s="1522"/>
      <c r="O103" s="1523"/>
      <c r="P103" s="1525"/>
    </row>
    <row r="104" spans="1:16" ht="11.15" customHeight="1">
      <c r="A104" s="435" t="s">
        <v>43</v>
      </c>
      <c r="B104" s="19" t="s">
        <v>61</v>
      </c>
      <c r="C104" s="422" t="s">
        <v>19</v>
      </c>
      <c r="D104" s="15" t="s">
        <v>17</v>
      </c>
      <c r="E104" s="15" t="s">
        <v>18</v>
      </c>
      <c r="F104" s="26" t="s">
        <v>300</v>
      </c>
      <c r="G104" s="27"/>
      <c r="H104" s="27"/>
      <c r="I104" s="1216" t="s">
        <v>20</v>
      </c>
      <c r="J104" s="1216" t="s">
        <v>20</v>
      </c>
      <c r="K104" s="418"/>
      <c r="L104" s="418"/>
      <c r="M104" s="1218"/>
      <c r="N104" s="498"/>
      <c r="O104" s="297"/>
      <c r="P104" s="551"/>
    </row>
    <row r="105" spans="1:16" ht="11.15" customHeight="1">
      <c r="A105" s="262"/>
      <c r="B105" s="19" t="s">
        <v>62</v>
      </c>
      <c r="C105" s="422" t="s">
        <v>29</v>
      </c>
      <c r="D105" s="15" t="s">
        <v>28</v>
      </c>
      <c r="E105" s="15" t="s">
        <v>28</v>
      </c>
      <c r="F105" s="420"/>
      <c r="G105" s="421"/>
      <c r="H105" s="421"/>
      <c r="I105" s="1216" t="s">
        <v>33</v>
      </c>
      <c r="J105" s="1216" t="s">
        <v>33</v>
      </c>
      <c r="K105" s="1212" t="s">
        <v>19</v>
      </c>
      <c r="L105" s="15" t="s">
        <v>17</v>
      </c>
      <c r="M105" s="15" t="s">
        <v>18</v>
      </c>
      <c r="N105" s="20" t="s">
        <v>19</v>
      </c>
      <c r="O105" s="1211" t="s">
        <v>17</v>
      </c>
      <c r="P105" s="503" t="s">
        <v>18</v>
      </c>
    </row>
    <row r="106" spans="1:16" ht="11.15" customHeight="1">
      <c r="A106" s="262"/>
      <c r="B106" s="208"/>
      <c r="C106" s="1219"/>
      <c r="D106" s="418"/>
      <c r="E106" s="418"/>
      <c r="F106" s="15" t="s">
        <v>30</v>
      </c>
      <c r="G106" s="1211" t="s">
        <v>31</v>
      </c>
      <c r="H106" s="1211" t="s">
        <v>32</v>
      </c>
      <c r="I106" s="1216" t="s">
        <v>39</v>
      </c>
      <c r="J106" s="1216" t="s">
        <v>39</v>
      </c>
      <c r="K106" s="1212" t="s">
        <v>29</v>
      </c>
      <c r="L106" s="15" t="s">
        <v>28</v>
      </c>
      <c r="M106" s="15" t="s">
        <v>34</v>
      </c>
      <c r="N106" s="20" t="s">
        <v>29</v>
      </c>
      <c r="O106" s="1211" t="s">
        <v>28</v>
      </c>
      <c r="P106" s="503" t="s">
        <v>34</v>
      </c>
    </row>
    <row r="107" spans="1:16" ht="11.15" customHeight="1">
      <c r="A107" s="394"/>
      <c r="B107" s="425"/>
      <c r="C107" s="437"/>
      <c r="D107" s="438"/>
      <c r="E107" s="438"/>
      <c r="F107" s="436"/>
      <c r="G107" s="439"/>
      <c r="H107" s="439"/>
      <c r="I107" s="440"/>
      <c r="J107" s="440"/>
      <c r="K107" s="441"/>
      <c r="L107" s="438"/>
      <c r="M107" s="438"/>
      <c r="N107" s="553"/>
      <c r="O107" s="426"/>
      <c r="P107" s="518"/>
    </row>
    <row r="108" spans="1:16" ht="13.95" customHeight="1">
      <c r="A108" s="1222" t="s">
        <v>173</v>
      </c>
      <c r="B108" s="1221" t="s">
        <v>64</v>
      </c>
      <c r="C108" s="1223">
        <f>SUM(C109:C115)</f>
        <v>1926</v>
      </c>
      <c r="D108" s="1224">
        <f>SUM(D109:D115)</f>
        <v>1500</v>
      </c>
      <c r="E108" s="1225">
        <f t="shared" ref="E108:P108" si="9">SUM(E109:E115)</f>
        <v>423</v>
      </c>
      <c r="F108" s="1224">
        <f t="shared" si="9"/>
        <v>570</v>
      </c>
      <c r="G108" s="1225">
        <f t="shared" si="9"/>
        <v>642</v>
      </c>
      <c r="H108" s="1225">
        <f t="shared" si="9"/>
        <v>714</v>
      </c>
      <c r="I108" s="1226">
        <f t="shared" si="9"/>
        <v>738</v>
      </c>
      <c r="J108" s="1227">
        <f t="shared" si="9"/>
        <v>192</v>
      </c>
      <c r="K108" s="1227">
        <f t="shared" si="9"/>
        <v>705</v>
      </c>
      <c r="L108" s="1226">
        <f t="shared" si="9"/>
        <v>528</v>
      </c>
      <c r="M108" s="1228">
        <f t="shared" si="9"/>
        <v>177</v>
      </c>
      <c r="N108" s="1226">
        <f>SUM(N109:N115)</f>
        <v>597</v>
      </c>
      <c r="O108" s="1226">
        <f t="shared" si="9"/>
        <v>441</v>
      </c>
      <c r="P108" s="1193">
        <f t="shared" si="9"/>
        <v>156</v>
      </c>
    </row>
    <row r="109" spans="1:16" ht="11.15" customHeight="1">
      <c r="A109" s="262"/>
      <c r="B109" s="449" t="s">
        <v>65</v>
      </c>
      <c r="C109" s="450">
        <v>444</v>
      </c>
      <c r="D109" s="451">
        <v>225</v>
      </c>
      <c r="E109" s="452">
        <v>219</v>
      </c>
      <c r="F109" s="451">
        <v>132</v>
      </c>
      <c r="G109" s="451">
        <v>144</v>
      </c>
      <c r="H109" s="451">
        <v>168</v>
      </c>
      <c r="I109" s="477">
        <v>180</v>
      </c>
      <c r="J109" s="450">
        <v>45</v>
      </c>
      <c r="K109" s="450">
        <v>138</v>
      </c>
      <c r="L109" s="451">
        <v>66</v>
      </c>
      <c r="M109" s="452">
        <v>72</v>
      </c>
      <c r="N109" s="452">
        <v>126</v>
      </c>
      <c r="O109" s="1194">
        <v>60</v>
      </c>
      <c r="P109" s="1195">
        <v>66</v>
      </c>
    </row>
    <row r="110" spans="1:16" ht="11.15" customHeight="1">
      <c r="A110" s="262"/>
      <c r="B110" s="449" t="s">
        <v>66</v>
      </c>
      <c r="C110" s="450">
        <v>93</v>
      </c>
      <c r="D110" s="451">
        <v>66</v>
      </c>
      <c r="E110" s="452">
        <v>30</v>
      </c>
      <c r="F110" s="451">
        <v>24</v>
      </c>
      <c r="G110" s="451">
        <v>39</v>
      </c>
      <c r="H110" s="451">
        <v>30</v>
      </c>
      <c r="I110" s="477">
        <v>42</v>
      </c>
      <c r="J110" s="450">
        <v>6</v>
      </c>
      <c r="K110" s="450">
        <v>48</v>
      </c>
      <c r="L110" s="451">
        <v>27</v>
      </c>
      <c r="M110" s="452">
        <v>21</v>
      </c>
      <c r="N110" s="452">
        <v>48</v>
      </c>
      <c r="O110" s="1194">
        <v>27</v>
      </c>
      <c r="P110" s="1195">
        <v>21</v>
      </c>
    </row>
    <row r="111" spans="1:16" ht="11.15" customHeight="1">
      <c r="A111" s="262"/>
      <c r="B111" s="449" t="s">
        <v>67</v>
      </c>
      <c r="C111" s="450">
        <v>81</v>
      </c>
      <c r="D111" s="451">
        <v>57</v>
      </c>
      <c r="E111" s="452">
        <v>24</v>
      </c>
      <c r="F111" s="451">
        <v>18</v>
      </c>
      <c r="G111" s="451">
        <v>33</v>
      </c>
      <c r="H111" s="451">
        <v>30</v>
      </c>
      <c r="I111" s="477">
        <v>24</v>
      </c>
      <c r="J111" s="450">
        <v>12</v>
      </c>
      <c r="K111" s="450">
        <v>39</v>
      </c>
      <c r="L111" s="451">
        <v>27</v>
      </c>
      <c r="M111" s="452">
        <v>12</v>
      </c>
      <c r="N111" s="452">
        <v>33</v>
      </c>
      <c r="O111" s="1194">
        <v>24</v>
      </c>
      <c r="P111" s="1195">
        <v>9</v>
      </c>
    </row>
    <row r="112" spans="1:16" ht="11.15" customHeight="1">
      <c r="A112" s="262"/>
      <c r="B112" s="449" t="s">
        <v>68</v>
      </c>
      <c r="C112" s="450">
        <v>18</v>
      </c>
      <c r="D112" s="451">
        <v>12</v>
      </c>
      <c r="E112" s="452">
        <v>3</v>
      </c>
      <c r="F112" s="451">
        <v>3</v>
      </c>
      <c r="G112" s="451">
        <v>3</v>
      </c>
      <c r="H112" s="451">
        <v>9</v>
      </c>
      <c r="I112" s="477">
        <v>6</v>
      </c>
      <c r="J112" s="450">
        <v>0</v>
      </c>
      <c r="K112" s="450">
        <v>3</v>
      </c>
      <c r="L112" s="473">
        <v>3</v>
      </c>
      <c r="M112" s="474">
        <v>0</v>
      </c>
      <c r="N112" s="452">
        <v>3</v>
      </c>
      <c r="O112" s="1201">
        <v>3</v>
      </c>
      <c r="P112" s="1195">
        <v>0</v>
      </c>
    </row>
    <row r="113" spans="1:16" ht="11.15" customHeight="1">
      <c r="A113" s="262"/>
      <c r="B113" s="449" t="s">
        <v>69</v>
      </c>
      <c r="C113" s="450">
        <v>1227</v>
      </c>
      <c r="D113" s="451">
        <v>1107</v>
      </c>
      <c r="E113" s="452">
        <v>117</v>
      </c>
      <c r="F113" s="451">
        <v>375</v>
      </c>
      <c r="G113" s="451">
        <v>399</v>
      </c>
      <c r="H113" s="451">
        <v>453</v>
      </c>
      <c r="I113" s="477">
        <v>462</v>
      </c>
      <c r="J113" s="450">
        <v>123</v>
      </c>
      <c r="K113" s="450">
        <v>447</v>
      </c>
      <c r="L113" s="451">
        <v>393</v>
      </c>
      <c r="M113" s="452">
        <v>54</v>
      </c>
      <c r="N113" s="452">
        <v>357</v>
      </c>
      <c r="O113" s="1194">
        <v>315</v>
      </c>
      <c r="P113" s="1195">
        <v>42</v>
      </c>
    </row>
    <row r="114" spans="1:16" ht="11.15" customHeight="1">
      <c r="A114" s="262"/>
      <c r="B114" s="449" t="s">
        <v>70</v>
      </c>
      <c r="C114" s="450">
        <v>21</v>
      </c>
      <c r="D114" s="451">
        <v>12</v>
      </c>
      <c r="E114" s="452">
        <v>9</v>
      </c>
      <c r="F114" s="451">
        <v>6</v>
      </c>
      <c r="G114" s="451">
        <v>12</v>
      </c>
      <c r="H114" s="451">
        <v>6</v>
      </c>
      <c r="I114" s="477">
        <v>6</v>
      </c>
      <c r="J114" s="450">
        <v>3</v>
      </c>
      <c r="K114" s="450">
        <v>9</v>
      </c>
      <c r="L114" s="451">
        <v>6</v>
      </c>
      <c r="M114" s="452">
        <v>0</v>
      </c>
      <c r="N114" s="452">
        <v>9</v>
      </c>
      <c r="O114" s="1194">
        <v>6</v>
      </c>
      <c r="P114" s="1195">
        <v>0</v>
      </c>
    </row>
    <row r="115" spans="1:16" ht="11.15" customHeight="1">
      <c r="A115" s="262"/>
      <c r="B115" s="436" t="s">
        <v>71</v>
      </c>
      <c r="C115" s="450">
        <v>42</v>
      </c>
      <c r="D115" s="451">
        <v>21</v>
      </c>
      <c r="E115" s="452">
        <v>21</v>
      </c>
      <c r="F115" s="451">
        <v>12</v>
      </c>
      <c r="G115" s="451">
        <v>12</v>
      </c>
      <c r="H115" s="451">
        <v>18</v>
      </c>
      <c r="I115" s="477">
        <v>18</v>
      </c>
      <c r="J115" s="450">
        <v>3</v>
      </c>
      <c r="K115" s="450">
        <v>21</v>
      </c>
      <c r="L115" s="473">
        <v>6</v>
      </c>
      <c r="M115" s="474">
        <v>18</v>
      </c>
      <c r="N115" s="452">
        <v>21</v>
      </c>
      <c r="O115" s="1201">
        <v>6</v>
      </c>
      <c r="P115" s="1195">
        <v>18</v>
      </c>
    </row>
    <row r="116" spans="1:16" ht="3" customHeight="1">
      <c r="A116" s="262"/>
      <c r="B116" s="436"/>
      <c r="C116" s="450"/>
      <c r="D116" s="451"/>
      <c r="E116" s="452"/>
      <c r="F116" s="451"/>
      <c r="G116" s="451"/>
      <c r="H116" s="452"/>
      <c r="I116" s="477"/>
      <c r="J116" s="450"/>
      <c r="K116" s="446"/>
      <c r="L116" s="451"/>
      <c r="M116" s="452"/>
      <c r="N116" s="452"/>
      <c r="O116" s="739"/>
      <c r="P116" s="1196"/>
    </row>
    <row r="117" spans="1:16">
      <c r="A117" s="981" t="s">
        <v>174</v>
      </c>
      <c r="B117" s="989" t="s">
        <v>64</v>
      </c>
      <c r="C117" s="446">
        <f>SUM(C118:C124)</f>
        <v>204</v>
      </c>
      <c r="D117" s="983">
        <f>SUM(D118:D124)</f>
        <v>171</v>
      </c>
      <c r="E117" s="447">
        <f t="shared" ref="E117:P117" si="10">SUM(E118:E124)</f>
        <v>33</v>
      </c>
      <c r="F117" s="983">
        <f t="shared" si="10"/>
        <v>66</v>
      </c>
      <c r="G117" s="447">
        <f t="shared" si="10"/>
        <v>63</v>
      </c>
      <c r="H117" s="447">
        <f t="shared" si="10"/>
        <v>81</v>
      </c>
      <c r="I117" s="1047">
        <f t="shared" si="10"/>
        <v>84</v>
      </c>
      <c r="J117" s="567">
        <f t="shared" si="10"/>
        <v>33</v>
      </c>
      <c r="K117" s="983">
        <f>SUM(K118:K124)</f>
        <v>75</v>
      </c>
      <c r="L117" s="983">
        <f t="shared" si="10"/>
        <v>63</v>
      </c>
      <c r="M117" s="447">
        <f t="shared" si="10"/>
        <v>6</v>
      </c>
      <c r="N117" s="567">
        <f>SUM(N118:N124)</f>
        <v>51</v>
      </c>
      <c r="O117" s="1192">
        <f t="shared" si="10"/>
        <v>42</v>
      </c>
      <c r="P117" s="1193">
        <f t="shared" si="10"/>
        <v>6</v>
      </c>
    </row>
    <row r="118" spans="1:16" ht="11.15" customHeight="1">
      <c r="A118" s="262"/>
      <c r="B118" s="449" t="s">
        <v>65</v>
      </c>
      <c r="C118" s="450">
        <v>30</v>
      </c>
      <c r="D118" s="451">
        <v>18</v>
      </c>
      <c r="E118" s="452">
        <v>12</v>
      </c>
      <c r="F118" s="451">
        <v>12</v>
      </c>
      <c r="G118" s="451">
        <v>12</v>
      </c>
      <c r="H118" s="451">
        <v>6</v>
      </c>
      <c r="I118" s="477">
        <v>12</v>
      </c>
      <c r="J118" s="450">
        <v>3</v>
      </c>
      <c r="K118" s="450">
        <v>9</v>
      </c>
      <c r="L118" s="473">
        <v>3</v>
      </c>
      <c r="M118" s="474">
        <v>3</v>
      </c>
      <c r="N118" s="452">
        <v>6</v>
      </c>
      <c r="O118" s="1201">
        <v>3</v>
      </c>
      <c r="P118" s="1195">
        <v>3</v>
      </c>
    </row>
    <row r="119" spans="1:16" ht="11.15" customHeight="1">
      <c r="A119" s="262"/>
      <c r="B119" s="449" t="s">
        <v>66</v>
      </c>
      <c r="C119" s="450">
        <v>0</v>
      </c>
      <c r="D119" s="451">
        <v>0</v>
      </c>
      <c r="E119" s="452">
        <v>0</v>
      </c>
      <c r="F119" s="451">
        <v>0</v>
      </c>
      <c r="G119" s="451">
        <v>0</v>
      </c>
      <c r="H119" s="451">
        <v>0</v>
      </c>
      <c r="I119" s="477">
        <v>0</v>
      </c>
      <c r="J119" s="450">
        <v>0</v>
      </c>
      <c r="K119" s="450">
        <v>0</v>
      </c>
      <c r="L119" s="473">
        <v>0</v>
      </c>
      <c r="M119" s="474">
        <v>0</v>
      </c>
      <c r="N119" s="452">
        <v>0</v>
      </c>
      <c r="O119" s="1201">
        <v>0</v>
      </c>
      <c r="P119" s="1195">
        <v>0</v>
      </c>
    </row>
    <row r="120" spans="1:16" ht="11.15" customHeight="1">
      <c r="A120" s="262"/>
      <c r="B120" s="449" t="s">
        <v>67</v>
      </c>
      <c r="C120" s="450">
        <v>15</v>
      </c>
      <c r="D120" s="451">
        <v>12</v>
      </c>
      <c r="E120" s="452">
        <v>3</v>
      </c>
      <c r="F120" s="451">
        <v>6</v>
      </c>
      <c r="G120" s="451">
        <v>3</v>
      </c>
      <c r="H120" s="452">
        <v>9</v>
      </c>
      <c r="I120" s="477">
        <v>6</v>
      </c>
      <c r="J120" s="450">
        <v>3</v>
      </c>
      <c r="K120" s="450">
        <v>6</v>
      </c>
      <c r="L120" s="473">
        <v>6</v>
      </c>
      <c r="M120" s="474">
        <v>0</v>
      </c>
      <c r="N120" s="452">
        <v>6</v>
      </c>
      <c r="O120" s="1201">
        <v>6</v>
      </c>
      <c r="P120" s="1195">
        <v>0</v>
      </c>
    </row>
    <row r="121" spans="1:16" ht="11.15" customHeight="1">
      <c r="A121" s="262"/>
      <c r="B121" s="449" t="s">
        <v>68</v>
      </c>
      <c r="C121" s="450">
        <v>0</v>
      </c>
      <c r="D121" s="451">
        <v>0</v>
      </c>
      <c r="E121" s="452">
        <v>0</v>
      </c>
      <c r="F121" s="451">
        <v>0</v>
      </c>
      <c r="G121" s="451">
        <v>0</v>
      </c>
      <c r="H121" s="452">
        <v>0</v>
      </c>
      <c r="I121" s="477">
        <v>0</v>
      </c>
      <c r="J121" s="450">
        <v>0</v>
      </c>
      <c r="K121" s="450">
        <v>0</v>
      </c>
      <c r="L121" s="473">
        <v>0</v>
      </c>
      <c r="M121" s="474">
        <v>0</v>
      </c>
      <c r="N121" s="452">
        <v>0</v>
      </c>
      <c r="O121" s="1201">
        <v>0</v>
      </c>
      <c r="P121" s="1195">
        <v>0</v>
      </c>
    </row>
    <row r="122" spans="1:16" ht="11.15" customHeight="1">
      <c r="A122" s="262"/>
      <c r="B122" s="449" t="s">
        <v>69</v>
      </c>
      <c r="C122" s="450">
        <v>156</v>
      </c>
      <c r="D122" s="451">
        <v>141</v>
      </c>
      <c r="E122" s="452">
        <v>15</v>
      </c>
      <c r="F122" s="451">
        <v>48</v>
      </c>
      <c r="G122" s="451">
        <v>45</v>
      </c>
      <c r="H122" s="452">
        <v>66</v>
      </c>
      <c r="I122" s="477">
        <v>63</v>
      </c>
      <c r="J122" s="450">
        <v>24</v>
      </c>
      <c r="K122" s="450">
        <v>60</v>
      </c>
      <c r="L122" s="1197">
        <v>54</v>
      </c>
      <c r="M122" s="452">
        <v>3</v>
      </c>
      <c r="N122" s="452">
        <v>39</v>
      </c>
      <c r="O122" s="1194">
        <v>33</v>
      </c>
      <c r="P122" s="1195">
        <v>3</v>
      </c>
    </row>
    <row r="123" spans="1:16" ht="11.15" customHeight="1">
      <c r="A123" s="262"/>
      <c r="B123" s="449" t="s">
        <v>70</v>
      </c>
      <c r="C123" s="450">
        <v>3</v>
      </c>
      <c r="D123" s="451">
        <v>0</v>
      </c>
      <c r="E123" s="452">
        <v>3</v>
      </c>
      <c r="F123" s="451">
        <v>0</v>
      </c>
      <c r="G123" s="451">
        <v>3</v>
      </c>
      <c r="H123" s="452">
        <v>0</v>
      </c>
      <c r="I123" s="477">
        <v>3</v>
      </c>
      <c r="J123" s="450">
        <v>3</v>
      </c>
      <c r="K123" s="450">
        <v>0</v>
      </c>
      <c r="L123" s="451">
        <v>0</v>
      </c>
      <c r="M123" s="452">
        <v>0</v>
      </c>
      <c r="N123" s="452">
        <v>0</v>
      </c>
      <c r="O123" s="1194">
        <v>0</v>
      </c>
      <c r="P123" s="1195">
        <v>0</v>
      </c>
    </row>
    <row r="124" spans="1:16" ht="11.15" customHeight="1">
      <c r="A124" s="262"/>
      <c r="B124" s="436" t="s">
        <v>71</v>
      </c>
      <c r="C124" s="450">
        <v>0</v>
      </c>
      <c r="D124" s="451">
        <v>0</v>
      </c>
      <c r="E124" s="452">
        <v>0</v>
      </c>
      <c r="F124" s="451">
        <v>0</v>
      </c>
      <c r="G124" s="451">
        <v>0</v>
      </c>
      <c r="H124" s="452">
        <v>0</v>
      </c>
      <c r="I124" s="477">
        <v>0</v>
      </c>
      <c r="J124" s="450">
        <v>0</v>
      </c>
      <c r="K124" s="450">
        <v>0</v>
      </c>
      <c r="L124" s="473">
        <v>0</v>
      </c>
      <c r="M124" s="474">
        <v>0</v>
      </c>
      <c r="N124" s="452">
        <v>0</v>
      </c>
      <c r="O124" s="1201">
        <v>0</v>
      </c>
      <c r="P124" s="1195">
        <v>0</v>
      </c>
    </row>
    <row r="125" spans="1:16" s="11" customFormat="1" ht="3" customHeight="1">
      <c r="A125" s="262"/>
      <c r="B125" s="436"/>
      <c r="C125" s="446"/>
      <c r="D125" s="451"/>
      <c r="E125" s="452"/>
      <c r="F125" s="451"/>
      <c r="G125" s="451"/>
      <c r="H125" s="452"/>
      <c r="I125" s="477"/>
      <c r="J125" s="450"/>
      <c r="K125" s="446"/>
      <c r="L125" s="451"/>
      <c r="M125" s="452"/>
      <c r="N125" s="452"/>
      <c r="O125" s="739"/>
      <c r="P125" s="1198"/>
    </row>
    <row r="126" spans="1:16">
      <c r="A126" s="981" t="s">
        <v>175</v>
      </c>
      <c r="B126" s="989" t="s">
        <v>64</v>
      </c>
      <c r="C126" s="446">
        <f>SUM(C127:C133)</f>
        <v>471</v>
      </c>
      <c r="D126" s="983">
        <f>SUM(D127:D133)</f>
        <v>369</v>
      </c>
      <c r="E126" s="447">
        <f t="shared" ref="E126:P126" si="11">SUM(E127:E133)</f>
        <v>105</v>
      </c>
      <c r="F126" s="983">
        <f t="shared" si="11"/>
        <v>129</v>
      </c>
      <c r="G126" s="447">
        <f t="shared" si="11"/>
        <v>159</v>
      </c>
      <c r="H126" s="447">
        <f t="shared" si="11"/>
        <v>186</v>
      </c>
      <c r="I126" s="1047">
        <f t="shared" si="11"/>
        <v>159</v>
      </c>
      <c r="J126" s="567">
        <f t="shared" si="11"/>
        <v>48</v>
      </c>
      <c r="K126" s="983">
        <f>SUM(K127:K133)</f>
        <v>162</v>
      </c>
      <c r="L126" s="983">
        <f t="shared" si="11"/>
        <v>126</v>
      </c>
      <c r="M126" s="447">
        <f t="shared" si="11"/>
        <v>36</v>
      </c>
      <c r="N126" s="567">
        <f>SUM(N127:N133)</f>
        <v>120</v>
      </c>
      <c r="O126" s="1192">
        <f t="shared" si="11"/>
        <v>87</v>
      </c>
      <c r="P126" s="1193">
        <f t="shared" si="11"/>
        <v>30</v>
      </c>
    </row>
    <row r="127" spans="1:16" ht="11.15" customHeight="1">
      <c r="A127" s="262"/>
      <c r="B127" s="449" t="s">
        <v>65</v>
      </c>
      <c r="C127" s="450">
        <v>42</v>
      </c>
      <c r="D127" s="451">
        <v>21</v>
      </c>
      <c r="E127" s="452">
        <v>21</v>
      </c>
      <c r="F127" s="451">
        <v>18</v>
      </c>
      <c r="G127" s="451">
        <v>15</v>
      </c>
      <c r="H127" s="452">
        <v>9</v>
      </c>
      <c r="I127" s="477">
        <v>21</v>
      </c>
      <c r="J127" s="450">
        <v>6</v>
      </c>
      <c r="K127" s="450">
        <v>21</v>
      </c>
      <c r="L127" s="451">
        <v>6</v>
      </c>
      <c r="M127" s="452">
        <v>15</v>
      </c>
      <c r="N127" s="452">
        <v>18</v>
      </c>
      <c r="O127" s="1194">
        <v>3</v>
      </c>
      <c r="P127" s="1195">
        <v>12</v>
      </c>
    </row>
    <row r="128" spans="1:16" ht="11.15" customHeight="1">
      <c r="A128" s="262"/>
      <c r="B128" s="449" t="s">
        <v>66</v>
      </c>
      <c r="C128" s="450">
        <v>0</v>
      </c>
      <c r="D128" s="451">
        <v>0</v>
      </c>
      <c r="E128" s="452">
        <v>0</v>
      </c>
      <c r="F128" s="451">
        <v>0</v>
      </c>
      <c r="G128" s="451">
        <v>0</v>
      </c>
      <c r="H128" s="452">
        <v>0</v>
      </c>
      <c r="I128" s="477">
        <v>0</v>
      </c>
      <c r="J128" s="450">
        <v>0</v>
      </c>
      <c r="K128" s="450">
        <v>0</v>
      </c>
      <c r="L128" s="451">
        <v>0</v>
      </c>
      <c r="M128" s="452">
        <v>0</v>
      </c>
      <c r="N128" s="452">
        <v>0</v>
      </c>
      <c r="O128" s="1194">
        <v>0</v>
      </c>
      <c r="P128" s="1195">
        <v>0</v>
      </c>
    </row>
    <row r="129" spans="1:16" ht="11.15" customHeight="1">
      <c r="A129" s="262"/>
      <c r="B129" s="449" t="s">
        <v>67</v>
      </c>
      <c r="C129" s="450">
        <v>12</v>
      </c>
      <c r="D129" s="451">
        <v>12</v>
      </c>
      <c r="E129" s="452">
        <v>3</v>
      </c>
      <c r="F129" s="451">
        <v>3</v>
      </c>
      <c r="G129" s="451">
        <v>6</v>
      </c>
      <c r="H129" s="452">
        <v>3</v>
      </c>
      <c r="I129" s="477">
        <v>3</v>
      </c>
      <c r="J129" s="450">
        <v>0</v>
      </c>
      <c r="K129" s="450">
        <v>3</v>
      </c>
      <c r="L129" s="451">
        <v>3</v>
      </c>
      <c r="M129" s="452">
        <v>0</v>
      </c>
      <c r="N129" s="452">
        <v>3</v>
      </c>
      <c r="O129" s="1194">
        <v>3</v>
      </c>
      <c r="P129" s="1195">
        <v>0</v>
      </c>
    </row>
    <row r="130" spans="1:16" ht="11.15" customHeight="1">
      <c r="A130" s="262"/>
      <c r="B130" s="449" t="s">
        <v>68</v>
      </c>
      <c r="C130" s="450">
        <v>0</v>
      </c>
      <c r="D130" s="451">
        <v>0</v>
      </c>
      <c r="E130" s="452">
        <v>0</v>
      </c>
      <c r="F130" s="451">
        <v>0</v>
      </c>
      <c r="G130" s="451">
        <v>0</v>
      </c>
      <c r="H130" s="452">
        <v>0</v>
      </c>
      <c r="I130" s="477">
        <v>0</v>
      </c>
      <c r="J130" s="450">
        <v>0</v>
      </c>
      <c r="K130" s="450">
        <v>0</v>
      </c>
      <c r="L130" s="451">
        <v>0</v>
      </c>
      <c r="M130" s="452">
        <v>0</v>
      </c>
      <c r="N130" s="452">
        <v>0</v>
      </c>
      <c r="O130" s="1194">
        <v>0</v>
      </c>
      <c r="P130" s="1195">
        <v>0</v>
      </c>
    </row>
    <row r="131" spans="1:16" ht="11.15" customHeight="1">
      <c r="A131" s="262"/>
      <c r="B131" s="449" t="s">
        <v>69</v>
      </c>
      <c r="C131" s="450">
        <v>402</v>
      </c>
      <c r="D131" s="451">
        <v>327</v>
      </c>
      <c r="E131" s="452">
        <v>75</v>
      </c>
      <c r="F131" s="451">
        <v>102</v>
      </c>
      <c r="G131" s="451">
        <v>132</v>
      </c>
      <c r="H131" s="452">
        <v>168</v>
      </c>
      <c r="I131" s="477">
        <v>129</v>
      </c>
      <c r="J131" s="450">
        <v>42</v>
      </c>
      <c r="K131" s="450">
        <v>135</v>
      </c>
      <c r="L131" s="451">
        <v>114</v>
      </c>
      <c r="M131" s="452">
        <v>21</v>
      </c>
      <c r="N131" s="452">
        <v>96</v>
      </c>
      <c r="O131" s="1194">
        <v>78</v>
      </c>
      <c r="P131" s="1195">
        <v>18</v>
      </c>
    </row>
    <row r="132" spans="1:16" ht="11.15" customHeight="1">
      <c r="A132" s="262"/>
      <c r="B132" s="449" t="s">
        <v>70</v>
      </c>
      <c r="C132" s="450">
        <v>12</v>
      </c>
      <c r="D132" s="451">
        <v>9</v>
      </c>
      <c r="E132" s="452">
        <v>3</v>
      </c>
      <c r="F132" s="451">
        <v>6</v>
      </c>
      <c r="G132" s="451">
        <v>3</v>
      </c>
      <c r="H132" s="452">
        <v>3</v>
      </c>
      <c r="I132" s="477">
        <v>6</v>
      </c>
      <c r="J132" s="450">
        <v>0</v>
      </c>
      <c r="K132" s="450">
        <v>3</v>
      </c>
      <c r="L132" s="451">
        <v>3</v>
      </c>
      <c r="M132" s="452">
        <v>0</v>
      </c>
      <c r="N132" s="452">
        <v>3</v>
      </c>
      <c r="O132" s="1194">
        <v>3</v>
      </c>
      <c r="P132" s="1195">
        <v>0</v>
      </c>
    </row>
    <row r="133" spans="1:16" ht="11.15" customHeight="1">
      <c r="A133" s="262"/>
      <c r="B133" s="436" t="s">
        <v>71</v>
      </c>
      <c r="C133" s="450">
        <v>3</v>
      </c>
      <c r="D133" s="451">
        <v>0</v>
      </c>
      <c r="E133" s="452">
        <v>3</v>
      </c>
      <c r="F133" s="451">
        <v>0</v>
      </c>
      <c r="G133" s="451">
        <v>3</v>
      </c>
      <c r="H133" s="452">
        <v>3</v>
      </c>
      <c r="I133" s="477">
        <v>0</v>
      </c>
      <c r="J133" s="450">
        <v>0</v>
      </c>
      <c r="K133" s="450">
        <v>0</v>
      </c>
      <c r="L133" s="451">
        <v>0</v>
      </c>
      <c r="M133" s="452">
        <v>0</v>
      </c>
      <c r="N133" s="452">
        <v>0</v>
      </c>
      <c r="O133" s="1194">
        <v>0</v>
      </c>
      <c r="P133" s="1195">
        <v>0</v>
      </c>
    </row>
    <row r="134" spans="1:16" s="11" customFormat="1" ht="3" customHeight="1">
      <c r="A134" s="262"/>
      <c r="B134" s="436"/>
      <c r="C134" s="446"/>
      <c r="D134" s="451"/>
      <c r="E134" s="452"/>
      <c r="F134" s="451"/>
      <c r="G134" s="451"/>
      <c r="H134" s="452"/>
      <c r="I134" s="477"/>
      <c r="J134" s="450"/>
      <c r="K134" s="446"/>
      <c r="L134" s="451"/>
      <c r="M134" s="452"/>
      <c r="N134" s="452"/>
      <c r="O134" s="467"/>
      <c r="P134" s="1200"/>
    </row>
    <row r="135" spans="1:16">
      <c r="A135" s="981" t="s">
        <v>176</v>
      </c>
      <c r="B135" s="989" t="s">
        <v>64</v>
      </c>
      <c r="C135" s="446">
        <f>SUM(C136:C142)</f>
        <v>198</v>
      </c>
      <c r="D135" s="983">
        <f>SUM(D136:D142)</f>
        <v>153</v>
      </c>
      <c r="E135" s="447">
        <f t="shared" ref="E135:P135" si="12">SUM(E136:E142)</f>
        <v>45</v>
      </c>
      <c r="F135" s="983">
        <f t="shared" si="12"/>
        <v>66</v>
      </c>
      <c r="G135" s="447">
        <f t="shared" si="12"/>
        <v>66</v>
      </c>
      <c r="H135" s="447">
        <f t="shared" si="12"/>
        <v>60</v>
      </c>
      <c r="I135" s="1047">
        <f t="shared" si="12"/>
        <v>78</v>
      </c>
      <c r="J135" s="567">
        <f t="shared" si="12"/>
        <v>36</v>
      </c>
      <c r="K135" s="983">
        <f>SUM(K136:K142)</f>
        <v>81</v>
      </c>
      <c r="L135" s="983">
        <f t="shared" si="12"/>
        <v>69</v>
      </c>
      <c r="M135" s="447">
        <f t="shared" si="12"/>
        <v>15</v>
      </c>
      <c r="N135" s="567">
        <f t="shared" si="12"/>
        <v>57</v>
      </c>
      <c r="O135" s="1192">
        <f>SUM(O136:O142)</f>
        <v>51</v>
      </c>
      <c r="P135" s="1193">
        <f t="shared" si="12"/>
        <v>12</v>
      </c>
    </row>
    <row r="136" spans="1:16" ht="11.15" customHeight="1">
      <c r="A136" s="262"/>
      <c r="B136" s="449" t="s">
        <v>65</v>
      </c>
      <c r="C136" s="450">
        <v>30</v>
      </c>
      <c r="D136" s="451">
        <v>15</v>
      </c>
      <c r="E136" s="452">
        <v>15</v>
      </c>
      <c r="F136" s="451">
        <v>12</v>
      </c>
      <c r="G136" s="451">
        <v>9</v>
      </c>
      <c r="H136" s="451">
        <v>9</v>
      </c>
      <c r="I136" s="477">
        <v>12</v>
      </c>
      <c r="J136" s="450">
        <v>3</v>
      </c>
      <c r="K136" s="450">
        <v>12</v>
      </c>
      <c r="L136" s="473">
        <v>6</v>
      </c>
      <c r="M136" s="474">
        <v>6</v>
      </c>
      <c r="N136" s="452">
        <v>9</v>
      </c>
      <c r="O136" s="1201">
        <v>6</v>
      </c>
      <c r="P136" s="1195">
        <v>6</v>
      </c>
    </row>
    <row r="137" spans="1:16" ht="11.15" customHeight="1">
      <c r="A137" s="262"/>
      <c r="B137" s="449" t="s">
        <v>66</v>
      </c>
      <c r="C137" s="450">
        <v>9</v>
      </c>
      <c r="D137" s="451">
        <v>3</v>
      </c>
      <c r="E137" s="452">
        <v>6</v>
      </c>
      <c r="F137" s="451">
        <v>3</v>
      </c>
      <c r="G137" s="451">
        <v>3</v>
      </c>
      <c r="H137" s="452">
        <v>3</v>
      </c>
      <c r="I137" s="477">
        <v>6</v>
      </c>
      <c r="J137" s="450">
        <v>0</v>
      </c>
      <c r="K137" s="450">
        <v>0</v>
      </c>
      <c r="L137" s="473">
        <v>0</v>
      </c>
      <c r="M137" s="474">
        <v>0</v>
      </c>
      <c r="N137" s="452">
        <v>0</v>
      </c>
      <c r="O137" s="1201">
        <v>0</v>
      </c>
      <c r="P137" s="1195">
        <v>0</v>
      </c>
    </row>
    <row r="138" spans="1:16" ht="11.15" customHeight="1">
      <c r="A138" s="262"/>
      <c r="B138" s="449" t="s">
        <v>67</v>
      </c>
      <c r="C138" s="450">
        <v>21</v>
      </c>
      <c r="D138" s="451">
        <v>12</v>
      </c>
      <c r="E138" s="452">
        <v>9</v>
      </c>
      <c r="F138" s="451">
        <v>9</v>
      </c>
      <c r="G138" s="451">
        <v>9</v>
      </c>
      <c r="H138" s="451">
        <v>3</v>
      </c>
      <c r="I138" s="477">
        <v>9</v>
      </c>
      <c r="J138" s="450">
        <v>3</v>
      </c>
      <c r="K138" s="450">
        <v>18</v>
      </c>
      <c r="L138" s="473">
        <v>12</v>
      </c>
      <c r="M138" s="474">
        <v>6</v>
      </c>
      <c r="N138" s="452">
        <v>12</v>
      </c>
      <c r="O138" s="1201">
        <v>9</v>
      </c>
      <c r="P138" s="1195">
        <v>3</v>
      </c>
    </row>
    <row r="139" spans="1:16" ht="11.15" customHeight="1">
      <c r="A139" s="262"/>
      <c r="B139" s="449" t="s">
        <v>68</v>
      </c>
      <c r="C139" s="450">
        <v>3</v>
      </c>
      <c r="D139" s="451">
        <v>3</v>
      </c>
      <c r="E139" s="452">
        <v>0</v>
      </c>
      <c r="F139" s="451">
        <v>3</v>
      </c>
      <c r="G139" s="451">
        <v>0</v>
      </c>
      <c r="H139" s="451">
        <v>0</v>
      </c>
      <c r="I139" s="477">
        <v>3</v>
      </c>
      <c r="J139" s="450">
        <v>0</v>
      </c>
      <c r="K139" s="450">
        <v>0</v>
      </c>
      <c r="L139" s="473">
        <v>0</v>
      </c>
      <c r="M139" s="474">
        <v>0</v>
      </c>
      <c r="N139" s="452">
        <v>0</v>
      </c>
      <c r="O139" s="1201">
        <v>0</v>
      </c>
      <c r="P139" s="1195">
        <v>0</v>
      </c>
    </row>
    <row r="140" spans="1:16" ht="11.15" customHeight="1">
      <c r="A140" s="262"/>
      <c r="B140" s="449" t="s">
        <v>69</v>
      </c>
      <c r="C140" s="450">
        <v>132</v>
      </c>
      <c r="D140" s="451">
        <v>117</v>
      </c>
      <c r="E140" s="452">
        <v>15</v>
      </c>
      <c r="F140" s="451">
        <v>39</v>
      </c>
      <c r="G140" s="451">
        <v>45</v>
      </c>
      <c r="H140" s="451">
        <v>45</v>
      </c>
      <c r="I140" s="477">
        <v>48</v>
      </c>
      <c r="J140" s="450">
        <v>27</v>
      </c>
      <c r="K140" s="450">
        <v>48</v>
      </c>
      <c r="L140" s="451">
        <v>48</v>
      </c>
      <c r="M140" s="452">
        <v>3</v>
      </c>
      <c r="N140" s="452">
        <v>33</v>
      </c>
      <c r="O140" s="1194">
        <v>33</v>
      </c>
      <c r="P140" s="1195">
        <v>3</v>
      </c>
    </row>
    <row r="141" spans="1:16" ht="11.15" customHeight="1">
      <c r="A141" s="262"/>
      <c r="B141" s="449" t="s">
        <v>70</v>
      </c>
      <c r="C141" s="450">
        <v>3</v>
      </c>
      <c r="D141" s="451">
        <v>3</v>
      </c>
      <c r="E141" s="452">
        <v>0</v>
      </c>
      <c r="F141" s="451">
        <v>0</v>
      </c>
      <c r="G141" s="451">
        <v>0</v>
      </c>
      <c r="H141" s="452">
        <v>0</v>
      </c>
      <c r="I141" s="477">
        <v>0</v>
      </c>
      <c r="J141" s="450">
        <v>3</v>
      </c>
      <c r="K141" s="450">
        <v>3</v>
      </c>
      <c r="L141" s="473">
        <v>3</v>
      </c>
      <c r="M141" s="474">
        <v>0</v>
      </c>
      <c r="N141" s="452">
        <v>3</v>
      </c>
      <c r="O141" s="1201">
        <v>3</v>
      </c>
      <c r="P141" s="1195">
        <v>0</v>
      </c>
    </row>
    <row r="142" spans="1:16" ht="11.15" customHeight="1">
      <c r="A142" s="262"/>
      <c r="B142" s="436" t="s">
        <v>71</v>
      </c>
      <c r="C142" s="450">
        <v>0</v>
      </c>
      <c r="D142" s="451">
        <v>0</v>
      </c>
      <c r="E142" s="452">
        <v>0</v>
      </c>
      <c r="F142" s="451">
        <v>0</v>
      </c>
      <c r="G142" s="451">
        <v>0</v>
      </c>
      <c r="H142" s="452">
        <v>0</v>
      </c>
      <c r="I142" s="450">
        <v>0</v>
      </c>
      <c r="J142" s="451">
        <v>0</v>
      </c>
      <c r="K142" s="450">
        <v>0</v>
      </c>
      <c r="L142" s="451">
        <v>0</v>
      </c>
      <c r="M142" s="451">
        <v>0</v>
      </c>
      <c r="N142" s="450">
        <v>0</v>
      </c>
      <c r="O142" s="477">
        <v>0</v>
      </c>
      <c r="P142" s="1207">
        <v>0</v>
      </c>
    </row>
    <row r="143" spans="1:16" ht="3" customHeight="1" thickBot="1">
      <c r="A143" s="281"/>
      <c r="B143" s="478"/>
      <c r="C143" s="456"/>
      <c r="D143" s="457"/>
      <c r="E143" s="479"/>
      <c r="F143" s="461"/>
      <c r="G143" s="461"/>
      <c r="H143" s="479"/>
      <c r="I143" s="1203"/>
      <c r="J143" s="1204"/>
      <c r="K143" s="1205"/>
      <c r="L143" s="1204"/>
      <c r="M143" s="1204"/>
      <c r="N143" s="1205"/>
      <c r="O143" s="1206"/>
      <c r="P143" s="1204"/>
    </row>
    <row r="144" spans="1:16" ht="3" customHeight="1">
      <c r="A144" s="476"/>
      <c r="B144" s="82"/>
      <c r="C144" s="451"/>
      <c r="D144" s="451"/>
      <c r="E144" s="462"/>
      <c r="F144" s="462"/>
      <c r="G144" s="462"/>
      <c r="H144" s="462"/>
      <c r="I144" s="462"/>
      <c r="J144" s="462"/>
      <c r="K144" s="462"/>
      <c r="L144" s="462"/>
      <c r="M144" s="462"/>
      <c r="N144" s="462"/>
    </row>
    <row r="145" spans="1:16">
      <c r="A145" s="63" t="s">
        <v>156</v>
      </c>
      <c r="B145" s="409"/>
      <c r="C145" s="482"/>
      <c r="D145" s="482"/>
      <c r="E145" s="482"/>
      <c r="F145" s="482"/>
      <c r="G145" s="482"/>
      <c r="H145" s="482"/>
      <c r="I145" s="464" t="s">
        <v>203</v>
      </c>
      <c r="K145" s="464"/>
      <c r="L145" s="464"/>
      <c r="M145" s="482"/>
      <c r="N145" s="482"/>
    </row>
    <row r="146" spans="1:16" ht="10.75" thickBot="1">
      <c r="A146" s="465"/>
      <c r="B146" s="409"/>
      <c r="C146" s="466"/>
      <c r="D146" s="466"/>
      <c r="E146" s="447"/>
      <c r="F146" s="466"/>
      <c r="G146" s="466"/>
      <c r="H146" s="466"/>
      <c r="I146" s="466"/>
      <c r="J146" s="466"/>
      <c r="K146" s="466"/>
      <c r="L146" s="466"/>
      <c r="M146" s="467"/>
      <c r="N146" s="467"/>
    </row>
    <row r="147" spans="1:16" ht="18.45" customHeight="1">
      <c r="A147" s="395"/>
      <c r="B147" s="433"/>
      <c r="C147" s="1510" t="s">
        <v>358</v>
      </c>
      <c r="D147" s="1511"/>
      <c r="E147" s="1511"/>
      <c r="F147" s="1511"/>
      <c r="G147" s="1511"/>
      <c r="H147" s="1599"/>
      <c r="I147" s="434" t="s">
        <v>0</v>
      </c>
      <c r="J147" s="434" t="s">
        <v>1</v>
      </c>
      <c r="K147" s="1510" t="s">
        <v>105</v>
      </c>
      <c r="L147" s="1601"/>
      <c r="M147" s="1601"/>
      <c r="N147" s="1601"/>
      <c r="O147" s="1601"/>
      <c r="P147" s="1602"/>
    </row>
    <row r="148" spans="1:16" ht="11.15" customHeight="1">
      <c r="A148" s="262"/>
      <c r="B148" s="208"/>
      <c r="C148" s="413"/>
      <c r="D148" s="413"/>
      <c r="E148" s="442"/>
      <c r="F148" s="499"/>
      <c r="G148" s="443"/>
      <c r="H148" s="443"/>
      <c r="I148" s="1216" t="s">
        <v>3</v>
      </c>
      <c r="J148" s="1216" t="s">
        <v>4</v>
      </c>
      <c r="K148" s="413"/>
      <c r="L148" s="413"/>
      <c r="M148" s="442"/>
      <c r="N148" s="1519" t="s">
        <v>298</v>
      </c>
      <c r="O148" s="1520"/>
      <c r="P148" s="1524"/>
    </row>
    <row r="149" spans="1:16" ht="11.15" customHeight="1">
      <c r="A149" s="262"/>
      <c r="B149" s="19" t="s">
        <v>8</v>
      </c>
      <c r="C149" s="519"/>
      <c r="D149" s="519"/>
      <c r="E149" s="1217"/>
      <c r="F149" s="21" t="s">
        <v>165</v>
      </c>
      <c r="G149" s="117"/>
      <c r="H149" s="117"/>
      <c r="I149" s="1216" t="s">
        <v>8</v>
      </c>
      <c r="J149" s="1216" t="s">
        <v>8</v>
      </c>
      <c r="K149" s="519"/>
      <c r="L149" s="519"/>
      <c r="M149" s="1217"/>
      <c r="N149" s="1522"/>
      <c r="O149" s="1523"/>
      <c r="P149" s="1525"/>
    </row>
    <row r="150" spans="1:16" ht="11.15" customHeight="1">
      <c r="A150" s="435" t="s">
        <v>43</v>
      </c>
      <c r="B150" s="19" t="s">
        <v>61</v>
      </c>
      <c r="C150" s="422" t="s">
        <v>19</v>
      </c>
      <c r="D150" s="15" t="s">
        <v>17</v>
      </c>
      <c r="E150" s="15" t="s">
        <v>18</v>
      </c>
      <c r="F150" s="26" t="s">
        <v>300</v>
      </c>
      <c r="G150" s="27"/>
      <c r="H150" s="27"/>
      <c r="I150" s="1216" t="s">
        <v>20</v>
      </c>
      <c r="J150" s="1216" t="s">
        <v>20</v>
      </c>
      <c r="K150" s="418"/>
      <c r="L150" s="418"/>
      <c r="M150" s="1218"/>
      <c r="N150" s="498"/>
      <c r="O150" s="297"/>
      <c r="P150" s="551"/>
    </row>
    <row r="151" spans="1:16" ht="11.15" customHeight="1">
      <c r="A151" s="262"/>
      <c r="B151" s="19" t="s">
        <v>62</v>
      </c>
      <c r="C151" s="422" t="s">
        <v>29</v>
      </c>
      <c r="D151" s="15" t="s">
        <v>28</v>
      </c>
      <c r="E151" s="15" t="s">
        <v>28</v>
      </c>
      <c r="F151" s="420"/>
      <c r="G151" s="421"/>
      <c r="H151" s="421"/>
      <c r="I151" s="1216" t="s">
        <v>33</v>
      </c>
      <c r="J151" s="1216" t="s">
        <v>33</v>
      </c>
      <c r="K151" s="1212" t="s">
        <v>19</v>
      </c>
      <c r="L151" s="15" t="s">
        <v>17</v>
      </c>
      <c r="M151" s="15" t="s">
        <v>18</v>
      </c>
      <c r="N151" s="20" t="s">
        <v>19</v>
      </c>
      <c r="O151" s="1211" t="s">
        <v>17</v>
      </c>
      <c r="P151" s="503" t="s">
        <v>18</v>
      </c>
    </row>
    <row r="152" spans="1:16" ht="11.15" customHeight="1">
      <c r="A152" s="262"/>
      <c r="B152" s="208"/>
      <c r="C152" s="1219"/>
      <c r="D152" s="418"/>
      <c r="E152" s="418"/>
      <c r="F152" s="15" t="s">
        <v>30</v>
      </c>
      <c r="G152" s="1211" t="s">
        <v>31</v>
      </c>
      <c r="H152" s="1211" t="s">
        <v>32</v>
      </c>
      <c r="I152" s="1216" t="s">
        <v>39</v>
      </c>
      <c r="J152" s="1216" t="s">
        <v>39</v>
      </c>
      <c r="K152" s="1212" t="s">
        <v>29</v>
      </c>
      <c r="L152" s="15" t="s">
        <v>28</v>
      </c>
      <c r="M152" s="15" t="s">
        <v>34</v>
      </c>
      <c r="N152" s="20" t="s">
        <v>29</v>
      </c>
      <c r="O152" s="1211" t="s">
        <v>28</v>
      </c>
      <c r="P152" s="503" t="s">
        <v>34</v>
      </c>
    </row>
    <row r="153" spans="1:16" s="11" customFormat="1" ht="11.15" customHeight="1">
      <c r="A153" s="394"/>
      <c r="B153" s="425"/>
      <c r="C153" s="437"/>
      <c r="D153" s="438"/>
      <c r="E153" s="438"/>
      <c r="F153" s="436"/>
      <c r="G153" s="439"/>
      <c r="H153" s="439"/>
      <c r="I153" s="440"/>
      <c r="J153" s="440"/>
      <c r="K153" s="441"/>
      <c r="L153" s="438"/>
      <c r="M153" s="438"/>
      <c r="N153" s="553"/>
      <c r="O153" s="426"/>
      <c r="P153" s="518"/>
    </row>
    <row r="154" spans="1:16" ht="14.5" customHeight="1">
      <c r="A154" s="1229" t="s">
        <v>177</v>
      </c>
      <c r="B154" s="1221" t="s">
        <v>64</v>
      </c>
      <c r="C154" s="1223">
        <f>SUM(C155:C161)</f>
        <v>99</v>
      </c>
      <c r="D154" s="1224">
        <f>SUM(D155:D161)</f>
        <v>78</v>
      </c>
      <c r="E154" s="1225">
        <f t="shared" ref="E154:P154" si="13">SUM(E155:E161)</f>
        <v>21</v>
      </c>
      <c r="F154" s="1224">
        <f t="shared" si="13"/>
        <v>39</v>
      </c>
      <c r="G154" s="1225">
        <f t="shared" si="13"/>
        <v>36</v>
      </c>
      <c r="H154" s="1225">
        <f t="shared" si="13"/>
        <v>24</v>
      </c>
      <c r="I154" s="1226">
        <f t="shared" si="13"/>
        <v>45</v>
      </c>
      <c r="J154" s="1227">
        <f t="shared" si="13"/>
        <v>21</v>
      </c>
      <c r="K154" s="1227">
        <f t="shared" si="13"/>
        <v>42</v>
      </c>
      <c r="L154" s="1226">
        <f t="shared" si="13"/>
        <v>30</v>
      </c>
      <c r="M154" s="1228">
        <f t="shared" si="13"/>
        <v>6</v>
      </c>
      <c r="N154" s="1226">
        <f t="shared" si="13"/>
        <v>33</v>
      </c>
      <c r="O154" s="1226">
        <f>SUM(O155:O161)</f>
        <v>21</v>
      </c>
      <c r="P154" s="1193">
        <f t="shared" si="13"/>
        <v>6</v>
      </c>
    </row>
    <row r="155" spans="1:16" ht="11.15" customHeight="1">
      <c r="A155" s="262"/>
      <c r="B155" s="449" t="s">
        <v>65</v>
      </c>
      <c r="C155" s="450">
        <v>12</v>
      </c>
      <c r="D155" s="451">
        <v>6</v>
      </c>
      <c r="E155" s="452">
        <v>6</v>
      </c>
      <c r="F155" s="451">
        <v>6</v>
      </c>
      <c r="G155" s="451">
        <v>3</v>
      </c>
      <c r="H155" s="451">
        <v>3</v>
      </c>
      <c r="I155" s="477">
        <v>6</v>
      </c>
      <c r="J155" s="450">
        <v>0</v>
      </c>
      <c r="K155" s="450">
        <v>6</v>
      </c>
      <c r="L155" s="451">
        <v>3</v>
      </c>
      <c r="M155" s="452">
        <v>3</v>
      </c>
      <c r="N155" s="452">
        <v>6</v>
      </c>
      <c r="O155" s="1194">
        <v>3</v>
      </c>
      <c r="P155" s="1195">
        <v>3</v>
      </c>
    </row>
    <row r="156" spans="1:16" ht="11.15" customHeight="1">
      <c r="A156" s="262"/>
      <c r="B156" s="449" t="s">
        <v>66</v>
      </c>
      <c r="C156" s="450">
        <v>3</v>
      </c>
      <c r="D156" s="451">
        <v>0</v>
      </c>
      <c r="E156" s="452">
        <v>3</v>
      </c>
      <c r="F156" s="451">
        <v>0</v>
      </c>
      <c r="G156" s="451">
        <v>0</v>
      </c>
      <c r="H156" s="452">
        <v>3</v>
      </c>
      <c r="I156" s="477">
        <v>0</v>
      </c>
      <c r="J156" s="450">
        <v>0</v>
      </c>
      <c r="K156" s="450">
        <v>0</v>
      </c>
      <c r="L156" s="451">
        <v>0</v>
      </c>
      <c r="M156" s="452">
        <v>0</v>
      </c>
      <c r="N156" s="452">
        <v>0</v>
      </c>
      <c r="O156" s="1194">
        <v>0</v>
      </c>
      <c r="P156" s="1195">
        <v>0</v>
      </c>
    </row>
    <row r="157" spans="1:16" ht="11.15" customHeight="1">
      <c r="A157" s="262"/>
      <c r="B157" s="449" t="s">
        <v>67</v>
      </c>
      <c r="C157" s="450">
        <v>0</v>
      </c>
      <c r="D157" s="451">
        <v>0</v>
      </c>
      <c r="E157" s="452">
        <v>0</v>
      </c>
      <c r="F157" s="451">
        <v>0</v>
      </c>
      <c r="G157" s="451">
        <v>0</v>
      </c>
      <c r="H157" s="452">
        <v>0</v>
      </c>
      <c r="I157" s="477">
        <v>0</v>
      </c>
      <c r="J157" s="450">
        <v>0</v>
      </c>
      <c r="K157" s="450">
        <v>0</v>
      </c>
      <c r="L157" s="451">
        <v>0</v>
      </c>
      <c r="M157" s="452">
        <v>0</v>
      </c>
      <c r="N157" s="452">
        <v>0</v>
      </c>
      <c r="O157" s="1194">
        <v>0</v>
      </c>
      <c r="P157" s="1195">
        <v>0</v>
      </c>
    </row>
    <row r="158" spans="1:16" ht="11.15" customHeight="1">
      <c r="A158" s="262"/>
      <c r="B158" s="449" t="s">
        <v>68</v>
      </c>
      <c r="C158" s="450">
        <v>0</v>
      </c>
      <c r="D158" s="451">
        <v>0</v>
      </c>
      <c r="E158" s="452">
        <v>0</v>
      </c>
      <c r="F158" s="451">
        <v>0</v>
      </c>
      <c r="G158" s="451">
        <v>0</v>
      </c>
      <c r="H158" s="451">
        <v>0</v>
      </c>
      <c r="I158" s="477">
        <v>0</v>
      </c>
      <c r="J158" s="450">
        <v>3</v>
      </c>
      <c r="K158" s="450">
        <v>3</v>
      </c>
      <c r="L158" s="473">
        <v>0</v>
      </c>
      <c r="M158" s="474">
        <v>0</v>
      </c>
      <c r="N158" s="452">
        <v>3</v>
      </c>
      <c r="O158" s="1201">
        <v>0</v>
      </c>
      <c r="P158" s="1195">
        <v>0</v>
      </c>
    </row>
    <row r="159" spans="1:16" ht="11.15" customHeight="1">
      <c r="A159" s="262"/>
      <c r="B159" s="449" t="s">
        <v>69</v>
      </c>
      <c r="C159" s="450">
        <v>81</v>
      </c>
      <c r="D159" s="451">
        <v>72</v>
      </c>
      <c r="E159" s="452">
        <v>9</v>
      </c>
      <c r="F159" s="451">
        <v>30</v>
      </c>
      <c r="G159" s="451">
        <v>30</v>
      </c>
      <c r="H159" s="452">
        <v>18</v>
      </c>
      <c r="I159" s="477">
        <v>36</v>
      </c>
      <c r="J159" s="450">
        <v>18</v>
      </c>
      <c r="K159" s="450">
        <v>30</v>
      </c>
      <c r="L159" s="451">
        <v>27</v>
      </c>
      <c r="M159" s="452">
        <v>3</v>
      </c>
      <c r="N159" s="452">
        <v>21</v>
      </c>
      <c r="O159" s="1194">
        <v>18</v>
      </c>
      <c r="P159" s="1195">
        <v>3</v>
      </c>
    </row>
    <row r="160" spans="1:16" ht="11.15" customHeight="1">
      <c r="A160" s="262"/>
      <c r="B160" s="449" t="s">
        <v>70</v>
      </c>
      <c r="C160" s="450">
        <v>3</v>
      </c>
      <c r="D160" s="451">
        <v>0</v>
      </c>
      <c r="E160" s="452">
        <v>3</v>
      </c>
      <c r="F160" s="451">
        <v>3</v>
      </c>
      <c r="G160" s="451">
        <v>3</v>
      </c>
      <c r="H160" s="452">
        <v>0</v>
      </c>
      <c r="I160" s="477">
        <v>3</v>
      </c>
      <c r="J160" s="450">
        <v>0</v>
      </c>
      <c r="K160" s="450">
        <v>3</v>
      </c>
      <c r="L160" s="451">
        <v>0</v>
      </c>
      <c r="M160" s="452">
        <v>0</v>
      </c>
      <c r="N160" s="452">
        <v>3</v>
      </c>
      <c r="O160" s="1194">
        <v>0</v>
      </c>
      <c r="P160" s="1195">
        <v>0</v>
      </c>
    </row>
    <row r="161" spans="1:16" ht="11.15" customHeight="1">
      <c r="A161" s="262"/>
      <c r="B161" s="436" t="s">
        <v>71</v>
      </c>
      <c r="C161" s="450">
        <v>0</v>
      </c>
      <c r="D161" s="451">
        <v>0</v>
      </c>
      <c r="E161" s="452">
        <v>0</v>
      </c>
      <c r="F161" s="451">
        <v>0</v>
      </c>
      <c r="G161" s="451">
        <v>0</v>
      </c>
      <c r="H161" s="452">
        <v>0</v>
      </c>
      <c r="I161" s="477">
        <v>0</v>
      </c>
      <c r="J161" s="450">
        <v>0</v>
      </c>
      <c r="K161" s="450">
        <v>0</v>
      </c>
      <c r="L161" s="473">
        <v>0</v>
      </c>
      <c r="M161" s="474">
        <v>0</v>
      </c>
      <c r="N161" s="452">
        <v>0</v>
      </c>
      <c r="O161" s="1201">
        <v>0</v>
      </c>
      <c r="P161" s="1195">
        <v>0</v>
      </c>
    </row>
    <row r="162" spans="1:16" s="11" customFormat="1" ht="3" customHeight="1">
      <c r="A162" s="262"/>
      <c r="B162" s="449"/>
      <c r="C162" s="446"/>
      <c r="D162" s="451"/>
      <c r="E162" s="452"/>
      <c r="F162" s="451"/>
      <c r="G162" s="451"/>
      <c r="H162" s="452"/>
      <c r="I162" s="477"/>
      <c r="J162" s="450"/>
      <c r="K162" s="446"/>
      <c r="L162" s="451"/>
      <c r="M162" s="452"/>
      <c r="N162" s="452"/>
      <c r="O162" s="739"/>
      <c r="P162" s="1196"/>
    </row>
    <row r="163" spans="1:16">
      <c r="A163" s="981" t="s">
        <v>178</v>
      </c>
      <c r="B163" s="989" t="s">
        <v>64</v>
      </c>
      <c r="C163" s="446">
        <f>SUM(C164:C170)</f>
        <v>390</v>
      </c>
      <c r="D163" s="983">
        <f>SUM(D164:D170)</f>
        <v>270</v>
      </c>
      <c r="E163" s="447">
        <f t="shared" ref="E163:P163" si="14">SUM(E164:E170)</f>
        <v>126</v>
      </c>
      <c r="F163" s="983">
        <f t="shared" si="14"/>
        <v>129</v>
      </c>
      <c r="G163" s="447">
        <f t="shared" si="14"/>
        <v>126</v>
      </c>
      <c r="H163" s="447">
        <f t="shared" si="14"/>
        <v>138</v>
      </c>
      <c r="I163" s="1047">
        <f t="shared" si="14"/>
        <v>147</v>
      </c>
      <c r="J163" s="567">
        <f t="shared" si="14"/>
        <v>24</v>
      </c>
      <c r="K163" s="983">
        <f t="shared" si="14"/>
        <v>123</v>
      </c>
      <c r="L163" s="983">
        <f t="shared" si="14"/>
        <v>72</v>
      </c>
      <c r="M163" s="447">
        <f t="shared" si="14"/>
        <v>48</v>
      </c>
      <c r="N163" s="567">
        <f>SUM(N164:N170)</f>
        <v>96</v>
      </c>
      <c r="O163" s="1192">
        <f t="shared" si="14"/>
        <v>51</v>
      </c>
      <c r="P163" s="1193">
        <f t="shared" si="14"/>
        <v>39</v>
      </c>
    </row>
    <row r="164" spans="1:16" ht="11.15" customHeight="1">
      <c r="A164" s="262"/>
      <c r="B164" s="449" t="s">
        <v>65</v>
      </c>
      <c r="C164" s="450">
        <v>66</v>
      </c>
      <c r="D164" s="451">
        <v>27</v>
      </c>
      <c r="E164" s="452">
        <v>39</v>
      </c>
      <c r="F164" s="451">
        <v>21</v>
      </c>
      <c r="G164" s="451">
        <v>24</v>
      </c>
      <c r="H164" s="451">
        <v>24</v>
      </c>
      <c r="I164" s="477">
        <v>24</v>
      </c>
      <c r="J164" s="450">
        <v>3</v>
      </c>
      <c r="K164" s="450">
        <v>24</v>
      </c>
      <c r="L164" s="473">
        <v>6</v>
      </c>
      <c r="M164" s="474">
        <v>15</v>
      </c>
      <c r="N164" s="452">
        <v>21</v>
      </c>
      <c r="O164" s="1201">
        <v>6</v>
      </c>
      <c r="P164" s="1195">
        <v>15</v>
      </c>
    </row>
    <row r="165" spans="1:16" ht="11.15" customHeight="1">
      <c r="A165" s="262"/>
      <c r="B165" s="449" t="s">
        <v>66</v>
      </c>
      <c r="C165" s="450">
        <v>12</v>
      </c>
      <c r="D165" s="451">
        <v>6</v>
      </c>
      <c r="E165" s="452">
        <v>9</v>
      </c>
      <c r="F165" s="451">
        <v>0</v>
      </c>
      <c r="G165" s="451">
        <v>6</v>
      </c>
      <c r="H165" s="451">
        <v>6</v>
      </c>
      <c r="I165" s="477">
        <v>6</v>
      </c>
      <c r="J165" s="450">
        <v>0</v>
      </c>
      <c r="K165" s="450">
        <v>3</v>
      </c>
      <c r="L165" s="473">
        <v>0</v>
      </c>
      <c r="M165" s="474">
        <v>3</v>
      </c>
      <c r="N165" s="452">
        <v>3</v>
      </c>
      <c r="O165" s="1201">
        <v>0</v>
      </c>
      <c r="P165" s="1195">
        <v>0</v>
      </c>
    </row>
    <row r="166" spans="1:16" ht="11.15" customHeight="1">
      <c r="A166" s="262"/>
      <c r="B166" s="449" t="s">
        <v>67</v>
      </c>
      <c r="C166" s="450">
        <v>33</v>
      </c>
      <c r="D166" s="451">
        <v>21</v>
      </c>
      <c r="E166" s="452">
        <v>12</v>
      </c>
      <c r="F166" s="451">
        <v>15</v>
      </c>
      <c r="G166" s="451">
        <v>9</v>
      </c>
      <c r="H166" s="451">
        <v>9</v>
      </c>
      <c r="I166" s="477">
        <v>15</v>
      </c>
      <c r="J166" s="450">
        <v>3</v>
      </c>
      <c r="K166" s="450">
        <v>6</v>
      </c>
      <c r="L166" s="473">
        <v>3</v>
      </c>
      <c r="M166" s="474">
        <v>3</v>
      </c>
      <c r="N166" s="452">
        <v>3</v>
      </c>
      <c r="O166" s="1201">
        <v>3</v>
      </c>
      <c r="P166" s="1195">
        <v>3</v>
      </c>
    </row>
    <row r="167" spans="1:16" ht="12" customHeight="1">
      <c r="A167" s="262"/>
      <c r="B167" s="449" t="s">
        <v>68</v>
      </c>
      <c r="C167" s="450">
        <v>18</v>
      </c>
      <c r="D167" s="451">
        <v>15</v>
      </c>
      <c r="E167" s="452">
        <v>6</v>
      </c>
      <c r="F167" s="451">
        <v>6</v>
      </c>
      <c r="G167" s="451">
        <v>6</v>
      </c>
      <c r="H167" s="451">
        <v>6</v>
      </c>
      <c r="I167" s="477">
        <v>9</v>
      </c>
      <c r="J167" s="450">
        <v>3</v>
      </c>
      <c r="K167" s="450">
        <v>3</v>
      </c>
      <c r="L167" s="473">
        <v>3</v>
      </c>
      <c r="M167" s="474">
        <v>0</v>
      </c>
      <c r="N167" s="452">
        <v>3</v>
      </c>
      <c r="O167" s="1201">
        <v>0</v>
      </c>
      <c r="P167" s="1195">
        <v>0</v>
      </c>
    </row>
    <row r="168" spans="1:16" ht="11.15" customHeight="1">
      <c r="A168" s="262"/>
      <c r="B168" s="449" t="s">
        <v>69</v>
      </c>
      <c r="C168" s="450">
        <v>246</v>
      </c>
      <c r="D168" s="451">
        <v>192</v>
      </c>
      <c r="E168" s="452">
        <v>54</v>
      </c>
      <c r="F168" s="451">
        <v>81</v>
      </c>
      <c r="G168" s="451">
        <v>78</v>
      </c>
      <c r="H168" s="452">
        <v>87</v>
      </c>
      <c r="I168" s="477">
        <v>87</v>
      </c>
      <c r="J168" s="450">
        <v>15</v>
      </c>
      <c r="K168" s="450">
        <v>84</v>
      </c>
      <c r="L168" s="1197">
        <v>60</v>
      </c>
      <c r="M168" s="452">
        <v>24</v>
      </c>
      <c r="N168" s="452">
        <v>63</v>
      </c>
      <c r="O168" s="1194">
        <v>42</v>
      </c>
      <c r="P168" s="1195">
        <v>18</v>
      </c>
    </row>
    <row r="169" spans="1:16" ht="11.15" customHeight="1">
      <c r="A169" s="262"/>
      <c r="B169" s="449" t="s">
        <v>70</v>
      </c>
      <c r="C169" s="450">
        <v>15</v>
      </c>
      <c r="D169" s="451">
        <v>9</v>
      </c>
      <c r="E169" s="452">
        <v>6</v>
      </c>
      <c r="F169" s="451">
        <v>6</v>
      </c>
      <c r="G169" s="451">
        <v>3</v>
      </c>
      <c r="H169" s="452">
        <v>6</v>
      </c>
      <c r="I169" s="477">
        <v>6</v>
      </c>
      <c r="J169" s="450">
        <v>0</v>
      </c>
      <c r="K169" s="450">
        <v>3</v>
      </c>
      <c r="L169" s="451">
        <v>0</v>
      </c>
      <c r="M169" s="452">
        <v>3</v>
      </c>
      <c r="N169" s="452">
        <v>3</v>
      </c>
      <c r="O169" s="1194">
        <v>0</v>
      </c>
      <c r="P169" s="1195">
        <v>3</v>
      </c>
    </row>
    <row r="170" spans="1:16" ht="11.15" customHeight="1">
      <c r="A170" s="262"/>
      <c r="B170" s="436" t="s">
        <v>71</v>
      </c>
      <c r="C170" s="450">
        <v>0</v>
      </c>
      <c r="D170" s="473">
        <v>0</v>
      </c>
      <c r="E170" s="474">
        <v>0</v>
      </c>
      <c r="F170" s="1040">
        <v>0</v>
      </c>
      <c r="G170" s="473">
        <v>0</v>
      </c>
      <c r="H170" s="474">
        <v>0</v>
      </c>
      <c r="I170" s="477">
        <v>0</v>
      </c>
      <c r="J170" s="450">
        <v>0</v>
      </c>
      <c r="K170" s="450">
        <v>0</v>
      </c>
      <c r="L170" s="473">
        <v>0</v>
      </c>
      <c r="M170" s="474">
        <v>0</v>
      </c>
      <c r="N170" s="452">
        <v>0</v>
      </c>
      <c r="O170" s="1201">
        <v>0</v>
      </c>
      <c r="P170" s="1195">
        <v>0</v>
      </c>
    </row>
    <row r="171" spans="1:16" s="11" customFormat="1" ht="3" customHeight="1">
      <c r="A171" s="262"/>
      <c r="B171" s="436"/>
      <c r="C171" s="446"/>
      <c r="D171" s="451"/>
      <c r="E171" s="452"/>
      <c r="F171" s="451"/>
      <c r="G171" s="451"/>
      <c r="H171" s="452"/>
      <c r="I171" s="477"/>
      <c r="J171" s="450"/>
      <c r="K171" s="446"/>
      <c r="L171" s="451"/>
      <c r="M171" s="452"/>
      <c r="N171" s="452"/>
      <c r="O171" s="739"/>
      <c r="P171" s="1198"/>
    </row>
    <row r="172" spans="1:16">
      <c r="A172" s="981" t="s">
        <v>179</v>
      </c>
      <c r="B172" s="989" t="s">
        <v>64</v>
      </c>
      <c r="C172" s="446">
        <f>SUM(C173:C179)</f>
        <v>138</v>
      </c>
      <c r="D172" s="983">
        <f>SUM(D173:D179)</f>
        <v>96</v>
      </c>
      <c r="E172" s="447">
        <f t="shared" ref="E172:P172" si="15">SUM(E173:E179)</f>
        <v>39</v>
      </c>
      <c r="F172" s="983">
        <f>SUM(F173:F179)</f>
        <v>54</v>
      </c>
      <c r="G172" s="447">
        <f t="shared" si="15"/>
        <v>45</v>
      </c>
      <c r="H172" s="447">
        <f t="shared" si="15"/>
        <v>42</v>
      </c>
      <c r="I172" s="1047">
        <f t="shared" si="15"/>
        <v>57</v>
      </c>
      <c r="J172" s="567">
        <f t="shared" si="15"/>
        <v>30</v>
      </c>
      <c r="K172" s="983">
        <f>SUM(K173:K179)</f>
        <v>60</v>
      </c>
      <c r="L172" s="983">
        <f t="shared" si="15"/>
        <v>48</v>
      </c>
      <c r="M172" s="447">
        <f t="shared" si="15"/>
        <v>12</v>
      </c>
      <c r="N172" s="567">
        <f>SUM(N173:N179)</f>
        <v>45</v>
      </c>
      <c r="O172" s="1192">
        <f t="shared" si="15"/>
        <v>36</v>
      </c>
      <c r="P172" s="1193">
        <f t="shared" si="15"/>
        <v>9</v>
      </c>
    </row>
    <row r="173" spans="1:16" ht="11.15" customHeight="1">
      <c r="A173" s="262"/>
      <c r="B173" s="449" t="s">
        <v>65</v>
      </c>
      <c r="C173" s="450">
        <v>18</v>
      </c>
      <c r="D173" s="451">
        <v>6</v>
      </c>
      <c r="E173" s="452">
        <v>12</v>
      </c>
      <c r="F173" s="451">
        <v>6</v>
      </c>
      <c r="G173" s="451">
        <v>6</v>
      </c>
      <c r="H173" s="451">
        <v>6</v>
      </c>
      <c r="I173" s="477">
        <v>6</v>
      </c>
      <c r="J173" s="450">
        <v>3</v>
      </c>
      <c r="K173" s="450">
        <v>9</v>
      </c>
      <c r="L173" s="451">
        <v>3</v>
      </c>
      <c r="M173" s="452">
        <v>6</v>
      </c>
      <c r="N173" s="452">
        <v>9</v>
      </c>
      <c r="O173" s="1194">
        <v>3</v>
      </c>
      <c r="P173" s="1195">
        <v>6</v>
      </c>
    </row>
    <row r="174" spans="1:16" ht="11.15" customHeight="1">
      <c r="A174" s="262"/>
      <c r="B174" s="449" t="s">
        <v>66</v>
      </c>
      <c r="C174" s="450">
        <v>3</v>
      </c>
      <c r="D174" s="473">
        <v>0</v>
      </c>
      <c r="E174" s="452">
        <v>3</v>
      </c>
      <c r="F174" s="473">
        <v>0</v>
      </c>
      <c r="G174" s="451">
        <v>3</v>
      </c>
      <c r="H174" s="452">
        <v>3</v>
      </c>
      <c r="I174" s="477">
        <v>0</v>
      </c>
      <c r="J174" s="450">
        <v>3</v>
      </c>
      <c r="K174" s="450">
        <v>0</v>
      </c>
      <c r="L174" s="451">
        <v>0</v>
      </c>
      <c r="M174" s="452">
        <v>0</v>
      </c>
      <c r="N174" s="452">
        <v>0</v>
      </c>
      <c r="O174" s="1194">
        <v>0</v>
      </c>
      <c r="P174" s="1195">
        <v>0</v>
      </c>
    </row>
    <row r="175" spans="1:16" ht="11.15" customHeight="1">
      <c r="A175" s="262"/>
      <c r="B175" s="449" t="s">
        <v>67</v>
      </c>
      <c r="C175" s="450">
        <v>6</v>
      </c>
      <c r="D175" s="451">
        <v>6</v>
      </c>
      <c r="E175" s="474">
        <v>0</v>
      </c>
      <c r="F175" s="451">
        <v>3</v>
      </c>
      <c r="G175" s="451">
        <v>3</v>
      </c>
      <c r="H175" s="452">
        <v>3</v>
      </c>
      <c r="I175" s="477">
        <v>3</v>
      </c>
      <c r="J175" s="450">
        <v>3</v>
      </c>
      <c r="K175" s="450">
        <v>0</v>
      </c>
      <c r="L175" s="451">
        <v>0</v>
      </c>
      <c r="M175" s="452">
        <v>0</v>
      </c>
      <c r="N175" s="452">
        <v>0</v>
      </c>
      <c r="O175" s="1194">
        <v>0</v>
      </c>
      <c r="P175" s="1195">
        <v>0</v>
      </c>
    </row>
    <row r="176" spans="1:16" ht="11.15" customHeight="1">
      <c r="A176" s="262"/>
      <c r="B176" s="449" t="s">
        <v>68</v>
      </c>
      <c r="C176" s="450">
        <v>3</v>
      </c>
      <c r="D176" s="473">
        <v>3</v>
      </c>
      <c r="E176" s="474">
        <v>0</v>
      </c>
      <c r="F176" s="473">
        <v>0</v>
      </c>
      <c r="G176" s="473">
        <v>0</v>
      </c>
      <c r="H176" s="474">
        <v>0</v>
      </c>
      <c r="I176" s="477">
        <v>3</v>
      </c>
      <c r="J176" s="450">
        <v>3</v>
      </c>
      <c r="K176" s="450">
        <v>0</v>
      </c>
      <c r="L176" s="451">
        <v>0</v>
      </c>
      <c r="M176" s="452">
        <v>0</v>
      </c>
      <c r="N176" s="452">
        <v>0</v>
      </c>
      <c r="O176" s="1194">
        <v>0</v>
      </c>
      <c r="P176" s="1195">
        <v>0</v>
      </c>
    </row>
    <row r="177" spans="1:16" ht="11.15" customHeight="1">
      <c r="A177" s="262"/>
      <c r="B177" s="449" t="s">
        <v>69</v>
      </c>
      <c r="C177" s="450">
        <v>105</v>
      </c>
      <c r="D177" s="451">
        <v>78</v>
      </c>
      <c r="E177" s="452">
        <v>24</v>
      </c>
      <c r="F177" s="451">
        <v>42</v>
      </c>
      <c r="G177" s="451">
        <v>33</v>
      </c>
      <c r="H177" s="452">
        <v>30</v>
      </c>
      <c r="I177" s="477">
        <v>42</v>
      </c>
      <c r="J177" s="450">
        <v>18</v>
      </c>
      <c r="K177" s="450">
        <v>51</v>
      </c>
      <c r="L177" s="451">
        <v>45</v>
      </c>
      <c r="M177" s="452">
        <v>6</v>
      </c>
      <c r="N177" s="452">
        <v>36</v>
      </c>
      <c r="O177" s="1194">
        <v>33</v>
      </c>
      <c r="P177" s="1195">
        <v>3</v>
      </c>
    </row>
    <row r="178" spans="1:16" ht="11.15" customHeight="1">
      <c r="A178" s="262"/>
      <c r="B178" s="449" t="s">
        <v>70</v>
      </c>
      <c r="C178" s="450">
        <v>0</v>
      </c>
      <c r="D178" s="451">
        <v>0</v>
      </c>
      <c r="E178" s="452">
        <v>0</v>
      </c>
      <c r="F178" s="451">
        <v>0</v>
      </c>
      <c r="G178" s="451">
        <v>0</v>
      </c>
      <c r="H178" s="452">
        <v>0</v>
      </c>
      <c r="I178" s="477">
        <v>0</v>
      </c>
      <c r="J178" s="450">
        <v>0</v>
      </c>
      <c r="K178" s="450">
        <v>0</v>
      </c>
      <c r="L178" s="451">
        <v>0</v>
      </c>
      <c r="M178" s="452">
        <v>0</v>
      </c>
      <c r="N178" s="452">
        <v>0</v>
      </c>
      <c r="O178" s="1194">
        <v>0</v>
      </c>
      <c r="P178" s="1195">
        <v>0</v>
      </c>
    </row>
    <row r="179" spans="1:16" ht="11.15" customHeight="1">
      <c r="A179" s="262"/>
      <c r="B179" s="436" t="s">
        <v>71</v>
      </c>
      <c r="C179" s="450">
        <v>3</v>
      </c>
      <c r="D179" s="451">
        <v>3</v>
      </c>
      <c r="E179" s="452">
        <v>0</v>
      </c>
      <c r="F179" s="451">
        <v>3</v>
      </c>
      <c r="G179" s="451">
        <v>0</v>
      </c>
      <c r="H179" s="452">
        <v>0</v>
      </c>
      <c r="I179" s="477">
        <v>3</v>
      </c>
      <c r="J179" s="450">
        <v>0</v>
      </c>
      <c r="K179" s="450">
        <v>0</v>
      </c>
      <c r="L179" s="451">
        <v>0</v>
      </c>
      <c r="M179" s="452">
        <v>0</v>
      </c>
      <c r="N179" s="452">
        <v>0</v>
      </c>
      <c r="O179" s="1194">
        <v>0</v>
      </c>
      <c r="P179" s="1195">
        <v>0</v>
      </c>
    </row>
    <row r="180" spans="1:16" ht="3" customHeight="1">
      <c r="A180" s="262"/>
      <c r="B180" s="436"/>
      <c r="C180" s="446"/>
      <c r="D180" s="451"/>
      <c r="E180" s="452"/>
      <c r="F180" s="451"/>
      <c r="G180" s="451"/>
      <c r="H180" s="452"/>
      <c r="I180" s="477"/>
      <c r="J180" s="450"/>
      <c r="K180" s="446"/>
      <c r="L180" s="451"/>
      <c r="M180" s="452"/>
      <c r="N180" s="452"/>
      <c r="O180" s="467"/>
      <c r="P180" s="1200"/>
    </row>
    <row r="181" spans="1:16">
      <c r="A181" s="981" t="s">
        <v>59</v>
      </c>
      <c r="B181" s="989" t="s">
        <v>64</v>
      </c>
      <c r="C181" s="446">
        <f>SUM(C182:C188)</f>
        <v>159</v>
      </c>
      <c r="D181" s="983">
        <f>SUM(D182:D188)</f>
        <v>111</v>
      </c>
      <c r="E181" s="447">
        <f t="shared" ref="E181:P181" si="16">SUM(E182:E188)</f>
        <v>51</v>
      </c>
      <c r="F181" s="983">
        <f t="shared" si="16"/>
        <v>54</v>
      </c>
      <c r="G181" s="447">
        <f t="shared" si="16"/>
        <v>45</v>
      </c>
      <c r="H181" s="447">
        <f t="shared" si="16"/>
        <v>57</v>
      </c>
      <c r="I181" s="1047">
        <f t="shared" si="16"/>
        <v>63</v>
      </c>
      <c r="J181" s="567">
        <f t="shared" si="16"/>
        <v>33</v>
      </c>
      <c r="K181" s="983">
        <f t="shared" si="16"/>
        <v>81</v>
      </c>
      <c r="L181" s="983">
        <f t="shared" si="16"/>
        <v>48</v>
      </c>
      <c r="M181" s="447">
        <f t="shared" si="16"/>
        <v>24</v>
      </c>
      <c r="N181" s="567">
        <f>SUM(N182:N188)</f>
        <v>60</v>
      </c>
      <c r="O181" s="1192">
        <f t="shared" si="16"/>
        <v>33</v>
      </c>
      <c r="P181" s="1193">
        <f t="shared" si="16"/>
        <v>24</v>
      </c>
    </row>
    <row r="182" spans="1:16" ht="11.15" customHeight="1">
      <c r="A182" s="262"/>
      <c r="B182" s="449" t="s">
        <v>65</v>
      </c>
      <c r="C182" s="450">
        <v>48</v>
      </c>
      <c r="D182" s="451">
        <v>21</v>
      </c>
      <c r="E182" s="452">
        <v>27</v>
      </c>
      <c r="F182" s="451">
        <v>15</v>
      </c>
      <c r="G182" s="451">
        <v>18</v>
      </c>
      <c r="H182" s="451">
        <v>15</v>
      </c>
      <c r="I182" s="477">
        <v>18</v>
      </c>
      <c r="J182" s="450">
        <v>9</v>
      </c>
      <c r="K182" s="450">
        <v>24</v>
      </c>
      <c r="L182" s="473">
        <v>6</v>
      </c>
      <c r="M182" s="474">
        <v>15</v>
      </c>
      <c r="N182" s="452">
        <v>21</v>
      </c>
      <c r="O182" s="1201">
        <v>6</v>
      </c>
      <c r="P182" s="1195">
        <v>15</v>
      </c>
    </row>
    <row r="183" spans="1:16" ht="11.15" customHeight="1">
      <c r="A183" s="262"/>
      <c r="B183" s="449" t="s">
        <v>66</v>
      </c>
      <c r="C183" s="450">
        <v>0</v>
      </c>
      <c r="D183" s="451">
        <v>0</v>
      </c>
      <c r="E183" s="452">
        <v>0</v>
      </c>
      <c r="F183" s="451">
        <v>0</v>
      </c>
      <c r="G183" s="451">
        <v>0</v>
      </c>
      <c r="H183" s="452">
        <v>0</v>
      </c>
      <c r="I183" s="477">
        <v>0</v>
      </c>
      <c r="J183" s="450">
        <v>0</v>
      </c>
      <c r="K183" s="450">
        <v>0</v>
      </c>
      <c r="L183" s="473">
        <v>0</v>
      </c>
      <c r="M183" s="474">
        <v>0</v>
      </c>
      <c r="N183" s="452">
        <v>0</v>
      </c>
      <c r="O183" s="1201">
        <v>0</v>
      </c>
      <c r="P183" s="1195">
        <v>0</v>
      </c>
    </row>
    <row r="184" spans="1:16" ht="11.15" customHeight="1">
      <c r="A184" s="262"/>
      <c r="B184" s="449" t="s">
        <v>67</v>
      </c>
      <c r="C184" s="450">
        <v>9</v>
      </c>
      <c r="D184" s="451">
        <v>9</v>
      </c>
      <c r="E184" s="452">
        <v>3</v>
      </c>
      <c r="F184" s="451">
        <v>3</v>
      </c>
      <c r="G184" s="451">
        <v>0</v>
      </c>
      <c r="H184" s="451">
        <v>6</v>
      </c>
      <c r="I184" s="477">
        <v>6</v>
      </c>
      <c r="J184" s="450">
        <v>3</v>
      </c>
      <c r="K184" s="450">
        <v>6</v>
      </c>
      <c r="L184" s="473">
        <v>3</v>
      </c>
      <c r="M184" s="474">
        <v>0</v>
      </c>
      <c r="N184" s="452">
        <v>3</v>
      </c>
      <c r="O184" s="1201">
        <v>3</v>
      </c>
      <c r="P184" s="1195">
        <v>0</v>
      </c>
    </row>
    <row r="185" spans="1:16" ht="11.15" customHeight="1">
      <c r="A185" s="262"/>
      <c r="B185" s="449" t="s">
        <v>68</v>
      </c>
      <c r="C185" s="450">
        <v>0</v>
      </c>
      <c r="D185" s="451">
        <v>0</v>
      </c>
      <c r="E185" s="452">
        <v>0</v>
      </c>
      <c r="F185" s="451">
        <v>0</v>
      </c>
      <c r="G185" s="451">
        <v>0</v>
      </c>
      <c r="H185" s="452">
        <v>0</v>
      </c>
      <c r="I185" s="477">
        <v>0</v>
      </c>
      <c r="J185" s="450">
        <v>0</v>
      </c>
      <c r="K185" s="450">
        <v>0</v>
      </c>
      <c r="L185" s="473">
        <v>0</v>
      </c>
      <c r="M185" s="474">
        <v>0</v>
      </c>
      <c r="N185" s="452">
        <v>0</v>
      </c>
      <c r="O185" s="1201">
        <v>0</v>
      </c>
      <c r="P185" s="1195">
        <v>0</v>
      </c>
    </row>
    <row r="186" spans="1:16" ht="11.15" customHeight="1">
      <c r="A186" s="262"/>
      <c r="B186" s="449" t="s">
        <v>69</v>
      </c>
      <c r="C186" s="450">
        <v>99</v>
      </c>
      <c r="D186" s="451">
        <v>78</v>
      </c>
      <c r="E186" s="452">
        <v>21</v>
      </c>
      <c r="F186" s="451">
        <v>36</v>
      </c>
      <c r="G186" s="451">
        <v>27</v>
      </c>
      <c r="H186" s="452">
        <v>36</v>
      </c>
      <c r="I186" s="477">
        <v>39</v>
      </c>
      <c r="J186" s="450">
        <v>21</v>
      </c>
      <c r="K186" s="450">
        <v>48</v>
      </c>
      <c r="L186" s="451">
        <v>39</v>
      </c>
      <c r="M186" s="452">
        <v>9</v>
      </c>
      <c r="N186" s="452">
        <v>33</v>
      </c>
      <c r="O186" s="1194">
        <v>24</v>
      </c>
      <c r="P186" s="1195">
        <v>9</v>
      </c>
    </row>
    <row r="187" spans="1:16" ht="11.15" customHeight="1">
      <c r="A187" s="262"/>
      <c r="B187" s="449" t="s">
        <v>70</v>
      </c>
      <c r="C187" s="450">
        <v>3</v>
      </c>
      <c r="D187" s="451">
        <v>3</v>
      </c>
      <c r="E187" s="452">
        <v>0</v>
      </c>
      <c r="F187" s="451">
        <v>0</v>
      </c>
      <c r="G187" s="451">
        <v>0</v>
      </c>
      <c r="H187" s="452">
        <v>0</v>
      </c>
      <c r="I187" s="477">
        <v>0</v>
      </c>
      <c r="J187" s="450">
        <v>0</v>
      </c>
      <c r="K187" s="450">
        <v>3</v>
      </c>
      <c r="L187" s="473">
        <v>0</v>
      </c>
      <c r="M187" s="474">
        <v>0</v>
      </c>
      <c r="N187" s="452">
        <v>3</v>
      </c>
      <c r="O187" s="1201">
        <v>0</v>
      </c>
      <c r="P187" s="1195">
        <v>0</v>
      </c>
    </row>
    <row r="188" spans="1:16" ht="11.15" customHeight="1">
      <c r="A188" s="262"/>
      <c r="B188" s="436" t="s">
        <v>71</v>
      </c>
      <c r="C188" s="450">
        <v>0</v>
      </c>
      <c r="D188" s="473">
        <v>0</v>
      </c>
      <c r="E188" s="474">
        <v>0</v>
      </c>
      <c r="F188" s="451">
        <v>0</v>
      </c>
      <c r="G188" s="451">
        <v>0</v>
      </c>
      <c r="H188" s="452">
        <v>0</v>
      </c>
      <c r="I188" s="477">
        <v>0</v>
      </c>
      <c r="J188" s="450">
        <v>0</v>
      </c>
      <c r="K188" s="450">
        <v>0</v>
      </c>
      <c r="L188" s="473">
        <v>0</v>
      </c>
      <c r="M188" s="474">
        <v>0</v>
      </c>
      <c r="N188" s="452">
        <v>0</v>
      </c>
      <c r="O188" s="1201">
        <v>0</v>
      </c>
      <c r="P188" s="1195">
        <v>0</v>
      </c>
    </row>
    <row r="189" spans="1:16" ht="4" customHeight="1" thickBot="1">
      <c r="A189" s="281"/>
      <c r="B189" s="478"/>
      <c r="C189" s="456"/>
      <c r="D189" s="457"/>
      <c r="E189" s="458"/>
      <c r="F189" s="457"/>
      <c r="G189" s="457"/>
      <c r="H189" s="459"/>
      <c r="I189" s="456"/>
      <c r="J189" s="460"/>
      <c r="K189" s="456"/>
      <c r="L189" s="457"/>
      <c r="M189" s="461"/>
      <c r="N189" s="564"/>
      <c r="O189" s="562"/>
      <c r="P189" s="306"/>
    </row>
    <row r="190" spans="1:16" ht="4" customHeight="1">
      <c r="A190" s="476"/>
      <c r="B190" s="132"/>
      <c r="C190" s="451"/>
      <c r="D190" s="451"/>
      <c r="E190" s="447"/>
      <c r="F190" s="451"/>
      <c r="G190" s="451"/>
      <c r="H190" s="451"/>
      <c r="I190" s="451"/>
      <c r="J190" s="451"/>
      <c r="K190" s="451"/>
      <c r="L190" s="451"/>
      <c r="M190" s="462"/>
      <c r="N190" s="462"/>
    </row>
    <row r="191" spans="1:16">
      <c r="A191" s="63" t="s">
        <v>156</v>
      </c>
      <c r="B191" s="483"/>
      <c r="C191" s="482"/>
      <c r="D191" s="482"/>
      <c r="E191" s="484"/>
      <c r="F191" s="482"/>
      <c r="G191" s="482"/>
      <c r="H191" s="482"/>
      <c r="I191" s="464" t="s">
        <v>204</v>
      </c>
      <c r="K191" s="464"/>
      <c r="L191" s="464"/>
      <c r="M191" s="467"/>
      <c r="N191" s="467"/>
    </row>
    <row r="192" spans="1:16" ht="10.75" thickBot="1">
      <c r="A192" s="465"/>
      <c r="B192" s="483"/>
      <c r="C192" s="466"/>
      <c r="D192" s="466"/>
      <c r="E192" s="447"/>
      <c r="F192" s="466"/>
      <c r="G192" s="466"/>
      <c r="H192" s="466"/>
      <c r="I192" s="466"/>
      <c r="J192" s="466"/>
      <c r="K192" s="466"/>
      <c r="L192" s="466"/>
      <c r="M192" s="467"/>
      <c r="N192" s="467"/>
    </row>
    <row r="193" spans="1:16" ht="18" customHeight="1">
      <c r="A193" s="395"/>
      <c r="B193" s="433"/>
      <c r="C193" s="1510" t="s">
        <v>358</v>
      </c>
      <c r="D193" s="1511"/>
      <c r="E193" s="1511"/>
      <c r="F193" s="1511"/>
      <c r="G193" s="1511"/>
      <c r="H193" s="1599"/>
      <c r="I193" s="434" t="s">
        <v>0</v>
      </c>
      <c r="J193" s="434" t="s">
        <v>1</v>
      </c>
      <c r="K193" s="1510" t="s">
        <v>105</v>
      </c>
      <c r="L193" s="1601"/>
      <c r="M193" s="1601"/>
      <c r="N193" s="1601"/>
      <c r="O193" s="1601"/>
      <c r="P193" s="1602"/>
    </row>
    <row r="194" spans="1:16" ht="12" customHeight="1">
      <c r="A194" s="262"/>
      <c r="B194" s="208"/>
      <c r="C194" s="413"/>
      <c r="D194" s="413"/>
      <c r="E194" s="442"/>
      <c r="F194" s="499"/>
      <c r="G194" s="443"/>
      <c r="H194" s="443"/>
      <c r="I194" s="1216" t="s">
        <v>3</v>
      </c>
      <c r="J194" s="1216" t="s">
        <v>4</v>
      </c>
      <c r="K194" s="413"/>
      <c r="L194" s="413"/>
      <c r="M194" s="442"/>
      <c r="N194" s="1519" t="s">
        <v>298</v>
      </c>
      <c r="O194" s="1520"/>
      <c r="P194" s="1524"/>
    </row>
    <row r="195" spans="1:16" ht="12" customHeight="1">
      <c r="A195" s="262"/>
      <c r="B195" s="19" t="s">
        <v>8</v>
      </c>
      <c r="C195" s="519"/>
      <c r="D195" s="519"/>
      <c r="E195" s="1217"/>
      <c r="F195" s="21" t="s">
        <v>165</v>
      </c>
      <c r="G195" s="117"/>
      <c r="H195" s="117"/>
      <c r="I195" s="1216" t="s">
        <v>8</v>
      </c>
      <c r="J195" s="1216" t="s">
        <v>8</v>
      </c>
      <c r="K195" s="519"/>
      <c r="L195" s="519"/>
      <c r="M195" s="1217"/>
      <c r="N195" s="1522"/>
      <c r="O195" s="1523"/>
      <c r="P195" s="1525"/>
    </row>
    <row r="196" spans="1:16" ht="12" customHeight="1">
      <c r="A196" s="435" t="s">
        <v>43</v>
      </c>
      <c r="B196" s="19" t="s">
        <v>61</v>
      </c>
      <c r="C196" s="422" t="s">
        <v>19</v>
      </c>
      <c r="D196" s="15" t="s">
        <v>17</v>
      </c>
      <c r="E196" s="15" t="s">
        <v>18</v>
      </c>
      <c r="F196" s="26" t="s">
        <v>300</v>
      </c>
      <c r="G196" s="27"/>
      <c r="H196" s="27"/>
      <c r="I196" s="1216" t="s">
        <v>20</v>
      </c>
      <c r="J196" s="1216" t="s">
        <v>20</v>
      </c>
      <c r="K196" s="418"/>
      <c r="L196" s="418"/>
      <c r="M196" s="1218"/>
      <c r="N196" s="498"/>
      <c r="O196" s="297"/>
      <c r="P196" s="551"/>
    </row>
    <row r="197" spans="1:16" ht="12" customHeight="1">
      <c r="A197" s="262"/>
      <c r="B197" s="19" t="s">
        <v>62</v>
      </c>
      <c r="C197" s="422" t="s">
        <v>29</v>
      </c>
      <c r="D197" s="15" t="s">
        <v>28</v>
      </c>
      <c r="E197" s="15" t="s">
        <v>28</v>
      </c>
      <c r="F197" s="420"/>
      <c r="G197" s="421"/>
      <c r="H197" s="421"/>
      <c r="I197" s="1216" t="s">
        <v>33</v>
      </c>
      <c r="J197" s="1216" t="s">
        <v>33</v>
      </c>
      <c r="K197" s="1212" t="s">
        <v>19</v>
      </c>
      <c r="L197" s="15" t="s">
        <v>17</v>
      </c>
      <c r="M197" s="15" t="s">
        <v>18</v>
      </c>
      <c r="N197" s="20" t="s">
        <v>19</v>
      </c>
      <c r="O197" s="1211" t="s">
        <v>17</v>
      </c>
      <c r="P197" s="503" t="s">
        <v>18</v>
      </c>
    </row>
    <row r="198" spans="1:16" ht="12" customHeight="1">
      <c r="A198" s="262"/>
      <c r="B198" s="208"/>
      <c r="C198" s="1219"/>
      <c r="D198" s="418"/>
      <c r="E198" s="418"/>
      <c r="F198" s="15" t="s">
        <v>30</v>
      </c>
      <c r="G198" s="1211" t="s">
        <v>31</v>
      </c>
      <c r="H198" s="1211" t="s">
        <v>32</v>
      </c>
      <c r="I198" s="1216" t="s">
        <v>39</v>
      </c>
      <c r="J198" s="1216" t="s">
        <v>39</v>
      </c>
      <c r="K198" s="1212" t="s">
        <v>29</v>
      </c>
      <c r="L198" s="15" t="s">
        <v>28</v>
      </c>
      <c r="M198" s="15" t="s">
        <v>34</v>
      </c>
      <c r="N198" s="20" t="s">
        <v>29</v>
      </c>
      <c r="O198" s="1211" t="s">
        <v>28</v>
      </c>
      <c r="P198" s="503" t="s">
        <v>34</v>
      </c>
    </row>
    <row r="199" spans="1:16" ht="12" customHeight="1">
      <c r="A199" s="394"/>
      <c r="B199" s="425"/>
      <c r="C199" s="437"/>
      <c r="D199" s="438"/>
      <c r="E199" s="438"/>
      <c r="F199" s="436"/>
      <c r="G199" s="439"/>
      <c r="H199" s="439"/>
      <c r="I199" s="440"/>
      <c r="J199" s="440"/>
      <c r="K199" s="441"/>
      <c r="L199" s="438"/>
      <c r="M199" s="438"/>
      <c r="N199" s="553"/>
      <c r="O199" s="426"/>
      <c r="P199" s="518"/>
    </row>
    <row r="200" spans="1:16" ht="3" customHeight="1">
      <c r="A200" s="262"/>
      <c r="B200" s="485"/>
      <c r="C200" s="486"/>
      <c r="D200" s="462"/>
      <c r="E200" s="469"/>
      <c r="F200" s="1023"/>
      <c r="G200" s="469"/>
      <c r="H200" s="470"/>
      <c r="I200" s="471"/>
      <c r="J200" s="471"/>
      <c r="K200" s="468"/>
      <c r="L200" s="462"/>
      <c r="M200" s="462"/>
      <c r="N200" s="565"/>
      <c r="O200" s="260"/>
      <c r="P200" s="546"/>
    </row>
    <row r="201" spans="1:16" s="11" customFormat="1">
      <c r="A201" s="981" t="s">
        <v>63</v>
      </c>
      <c r="B201" s="989" t="s">
        <v>64</v>
      </c>
      <c r="C201" s="982">
        <f>21+381+183+750+180+1770+441+8835</f>
        <v>12561</v>
      </c>
      <c r="D201" s="1208">
        <f>12+231+144+540+87+900+303+7869</f>
        <v>10086</v>
      </c>
      <c r="E201" s="1209">
        <f>9+150+39+210+93+870+138+966</f>
        <v>2475</v>
      </c>
      <c r="F201" s="1208">
        <f>9+87+48+201+42+540+147+2841</f>
        <v>3915</v>
      </c>
      <c r="G201" s="487">
        <f>3+153+63+267+66+600+138+2877</f>
        <v>4167</v>
      </c>
      <c r="H201" s="1209">
        <f>9+138+72+282+72+633+156+3114</f>
        <v>4476</v>
      </c>
      <c r="I201" s="983">
        <f>9+180+75+258+81+675+165+3315</f>
        <v>4758</v>
      </c>
      <c r="J201" s="446">
        <f>6+42+18+93+24+216+63+1095</f>
        <v>1557</v>
      </c>
      <c r="K201" s="446">
        <f>144+75+294+69+669+162+3111</f>
        <v>4524</v>
      </c>
      <c r="L201" s="983">
        <f>84+60+201+27+321+123+2769</f>
        <v>3585</v>
      </c>
      <c r="M201" s="448">
        <f>60+15+93+45+348+39+342</f>
        <v>942</v>
      </c>
      <c r="N201" s="983">
        <f>135+69+240+66+600+132+2454</f>
        <v>3696</v>
      </c>
      <c r="O201" s="983">
        <f>78+57+162+24+282+96+2166</f>
        <v>2865</v>
      </c>
      <c r="P201" s="1193">
        <f>57+12+78+42+318+36+288</f>
        <v>831</v>
      </c>
    </row>
    <row r="202" spans="1:16" ht="13" customHeight="1">
      <c r="A202" s="435"/>
      <c r="B202" s="449" t="s">
        <v>65</v>
      </c>
      <c r="C202" s="488">
        <v>1770</v>
      </c>
      <c r="D202" s="1022">
        <v>900</v>
      </c>
      <c r="E202" s="474">
        <v>870</v>
      </c>
      <c r="F202" s="1022">
        <v>540</v>
      </c>
      <c r="G202" s="473">
        <v>600</v>
      </c>
      <c r="H202" s="474">
        <v>633</v>
      </c>
      <c r="I202" s="477">
        <v>675</v>
      </c>
      <c r="J202" s="450">
        <v>216</v>
      </c>
      <c r="K202" s="450">
        <v>669</v>
      </c>
      <c r="L202" s="451">
        <v>321</v>
      </c>
      <c r="M202" s="452">
        <v>348</v>
      </c>
      <c r="N202" s="452">
        <v>600</v>
      </c>
      <c r="O202" s="1194">
        <v>282</v>
      </c>
      <c r="P202" s="1195">
        <v>318</v>
      </c>
    </row>
    <row r="203" spans="1:16" ht="13" customHeight="1">
      <c r="A203" s="435"/>
      <c r="B203" s="449" t="s">
        <v>66</v>
      </c>
      <c r="C203" s="488">
        <v>381</v>
      </c>
      <c r="D203" s="1022">
        <v>231</v>
      </c>
      <c r="E203" s="474">
        <v>150</v>
      </c>
      <c r="F203" s="1022">
        <v>87</v>
      </c>
      <c r="G203" s="473">
        <v>153</v>
      </c>
      <c r="H203" s="474">
        <v>138</v>
      </c>
      <c r="I203" s="477">
        <v>180</v>
      </c>
      <c r="J203" s="450">
        <v>42</v>
      </c>
      <c r="K203" s="450">
        <v>144</v>
      </c>
      <c r="L203" s="451">
        <v>84</v>
      </c>
      <c r="M203" s="452">
        <v>60</v>
      </c>
      <c r="N203" s="452">
        <v>135</v>
      </c>
      <c r="O203" s="1194">
        <v>78</v>
      </c>
      <c r="P203" s="1195">
        <v>57</v>
      </c>
    </row>
    <row r="204" spans="1:16" ht="13" customHeight="1">
      <c r="A204" s="435"/>
      <c r="B204" s="449" t="s">
        <v>67</v>
      </c>
      <c r="C204" s="488">
        <v>750</v>
      </c>
      <c r="D204" s="1022">
        <v>540</v>
      </c>
      <c r="E204" s="474">
        <v>210</v>
      </c>
      <c r="F204" s="1022">
        <v>201</v>
      </c>
      <c r="G204" s="473">
        <v>267</v>
      </c>
      <c r="H204" s="474">
        <v>282</v>
      </c>
      <c r="I204" s="477">
        <v>258</v>
      </c>
      <c r="J204" s="450">
        <v>93</v>
      </c>
      <c r="K204" s="450">
        <v>294</v>
      </c>
      <c r="L204" s="451">
        <v>201</v>
      </c>
      <c r="M204" s="452">
        <v>93</v>
      </c>
      <c r="N204" s="452">
        <v>240</v>
      </c>
      <c r="O204" s="1194">
        <v>162</v>
      </c>
      <c r="P204" s="1195">
        <v>78</v>
      </c>
    </row>
    <row r="205" spans="1:16" ht="13" customHeight="1">
      <c r="A205" s="435"/>
      <c r="B205" s="449" t="s">
        <v>68</v>
      </c>
      <c r="C205" s="488">
        <v>183</v>
      </c>
      <c r="D205" s="1022">
        <v>144</v>
      </c>
      <c r="E205" s="474">
        <v>39</v>
      </c>
      <c r="F205" s="1022">
        <v>48</v>
      </c>
      <c r="G205" s="473">
        <v>63</v>
      </c>
      <c r="H205" s="474">
        <v>72</v>
      </c>
      <c r="I205" s="477">
        <v>75</v>
      </c>
      <c r="J205" s="450">
        <v>18</v>
      </c>
      <c r="K205" s="450">
        <v>75</v>
      </c>
      <c r="L205" s="473">
        <v>60</v>
      </c>
      <c r="M205" s="474">
        <v>15</v>
      </c>
      <c r="N205" s="452">
        <v>69</v>
      </c>
      <c r="O205" s="1201">
        <v>57</v>
      </c>
      <c r="P205" s="1195">
        <v>12</v>
      </c>
    </row>
    <row r="206" spans="1:16" ht="13" customHeight="1">
      <c r="A206" s="435"/>
      <c r="B206" s="449" t="s">
        <v>69</v>
      </c>
      <c r="C206" s="488">
        <v>8835</v>
      </c>
      <c r="D206" s="1022">
        <v>7869</v>
      </c>
      <c r="E206" s="474">
        <v>966</v>
      </c>
      <c r="F206" s="1022">
        <v>2841</v>
      </c>
      <c r="G206" s="473">
        <v>2877</v>
      </c>
      <c r="H206" s="474">
        <v>3114</v>
      </c>
      <c r="I206" s="477">
        <v>3315</v>
      </c>
      <c r="J206" s="450">
        <v>1095</v>
      </c>
      <c r="K206" s="450">
        <v>3111</v>
      </c>
      <c r="L206" s="451">
        <v>2769</v>
      </c>
      <c r="M206" s="452">
        <v>342</v>
      </c>
      <c r="N206" s="452">
        <v>2454</v>
      </c>
      <c r="O206" s="1194">
        <v>2166</v>
      </c>
      <c r="P206" s="1195">
        <v>288</v>
      </c>
    </row>
    <row r="207" spans="1:16" ht="13" customHeight="1">
      <c r="A207" s="435"/>
      <c r="B207" s="449" t="s">
        <v>70</v>
      </c>
      <c r="C207" s="488">
        <v>441</v>
      </c>
      <c r="D207" s="1022">
        <v>303</v>
      </c>
      <c r="E207" s="474">
        <v>138</v>
      </c>
      <c r="F207" s="1022">
        <v>147</v>
      </c>
      <c r="G207" s="473">
        <v>138</v>
      </c>
      <c r="H207" s="474">
        <v>156</v>
      </c>
      <c r="I207" s="477">
        <v>165</v>
      </c>
      <c r="J207" s="450">
        <v>63</v>
      </c>
      <c r="K207" s="450">
        <v>162</v>
      </c>
      <c r="L207" s="451">
        <v>123</v>
      </c>
      <c r="M207" s="452">
        <v>39</v>
      </c>
      <c r="N207" s="452">
        <v>132</v>
      </c>
      <c r="O207" s="1194">
        <v>96</v>
      </c>
      <c r="P207" s="1195">
        <v>36</v>
      </c>
    </row>
    <row r="208" spans="1:16" ht="13" customHeight="1">
      <c r="A208" s="435"/>
      <c r="B208" s="439" t="s">
        <v>71</v>
      </c>
      <c r="C208" s="488">
        <v>180</v>
      </c>
      <c r="D208" s="1022">
        <v>87</v>
      </c>
      <c r="E208" s="474">
        <v>93</v>
      </c>
      <c r="F208" s="1022">
        <v>42</v>
      </c>
      <c r="G208" s="473">
        <v>66</v>
      </c>
      <c r="H208" s="474">
        <v>72</v>
      </c>
      <c r="I208" s="477">
        <v>81</v>
      </c>
      <c r="J208" s="450">
        <v>24</v>
      </c>
      <c r="K208" s="450">
        <v>69</v>
      </c>
      <c r="L208" s="473">
        <v>27</v>
      </c>
      <c r="M208" s="474">
        <v>45</v>
      </c>
      <c r="N208" s="452">
        <v>66</v>
      </c>
      <c r="O208" s="1201">
        <v>24</v>
      </c>
      <c r="P208" s="1195">
        <v>42</v>
      </c>
    </row>
    <row r="209" spans="1:16" ht="13" customHeight="1">
      <c r="A209" s="435"/>
      <c r="B209" s="439" t="s">
        <v>354</v>
      </c>
      <c r="C209" s="488">
        <v>21</v>
      </c>
      <c r="D209" s="473">
        <v>12</v>
      </c>
      <c r="E209" s="473">
        <v>9</v>
      </c>
      <c r="F209" s="1022">
        <v>9</v>
      </c>
      <c r="G209" s="473">
        <v>3</v>
      </c>
      <c r="H209" s="474">
        <v>9</v>
      </c>
      <c r="I209" s="477">
        <v>9</v>
      </c>
      <c r="J209" s="450">
        <v>6</v>
      </c>
      <c r="K209" s="450">
        <f t="shared" ref="K209:P209" si="17">K78</f>
        <v>0</v>
      </c>
      <c r="L209" s="473">
        <f t="shared" si="17"/>
        <v>0</v>
      </c>
      <c r="M209" s="474">
        <f t="shared" si="17"/>
        <v>0</v>
      </c>
      <c r="N209" s="451">
        <f t="shared" si="17"/>
        <v>0</v>
      </c>
      <c r="O209" s="1201">
        <f t="shared" si="17"/>
        <v>0</v>
      </c>
      <c r="P209" s="1195">
        <f t="shared" si="17"/>
        <v>0</v>
      </c>
    </row>
    <row r="210" spans="1:16" ht="3" customHeight="1" thickBot="1">
      <c r="A210" s="490"/>
      <c r="B210" s="491"/>
      <c r="C210" s="1231"/>
      <c r="D210" s="492"/>
      <c r="E210" s="492"/>
      <c r="F210" s="1024"/>
      <c r="G210" s="492"/>
      <c r="H210" s="493"/>
      <c r="I210" s="494"/>
      <c r="J210" s="494"/>
      <c r="K210" s="1231"/>
      <c r="L210" s="492"/>
      <c r="M210" s="493"/>
      <c r="N210" s="566"/>
      <c r="O210" s="562"/>
      <c r="P210" s="306"/>
    </row>
    <row r="211" spans="1:16" ht="3" customHeight="1">
      <c r="A211" s="116"/>
      <c r="B211" s="132"/>
      <c r="C211" s="447"/>
      <c r="D211" s="489"/>
      <c r="E211" s="489"/>
      <c r="F211" s="489"/>
      <c r="G211" s="489"/>
      <c r="H211" s="489"/>
      <c r="I211" s="489"/>
      <c r="J211" s="489"/>
      <c r="K211" s="447"/>
      <c r="L211" s="489"/>
      <c r="M211" s="489"/>
      <c r="N211" s="487"/>
    </row>
    <row r="212" spans="1:16" ht="11.9" customHeight="1">
      <c r="A212" s="70" t="s">
        <v>297</v>
      </c>
      <c r="B212" s="132"/>
      <c r="C212" s="447"/>
      <c r="D212" s="489"/>
      <c r="E212" s="489"/>
      <c r="F212" s="489"/>
      <c r="G212" s="489"/>
      <c r="H212" s="489"/>
      <c r="I212" s="489"/>
      <c r="J212" s="489"/>
      <c r="K212" s="447"/>
      <c r="L212" s="489"/>
      <c r="M212" s="489"/>
      <c r="N212" s="487"/>
    </row>
    <row r="213" spans="1:16" ht="15" customHeight="1">
      <c r="A213" s="71"/>
      <c r="B213" s="132"/>
      <c r="C213" s="447"/>
      <c r="D213" s="489"/>
      <c r="E213" s="489"/>
      <c r="F213" s="489"/>
      <c r="G213" s="489"/>
      <c r="H213" s="489"/>
      <c r="I213" s="489"/>
      <c r="J213" s="489"/>
      <c r="K213" s="447"/>
      <c r="L213" s="489"/>
      <c r="M213" s="489"/>
      <c r="N213" s="487"/>
    </row>
    <row r="214" spans="1:16">
      <c r="A214" s="497"/>
      <c r="B214" s="132"/>
      <c r="C214" s="496"/>
      <c r="D214" s="489"/>
      <c r="E214" s="489"/>
      <c r="F214" s="489"/>
      <c r="G214" s="489"/>
      <c r="H214" s="489"/>
      <c r="I214" s="489"/>
      <c r="J214" s="489"/>
      <c r="K214" s="447"/>
      <c r="L214" s="489"/>
      <c r="M214" s="489"/>
      <c r="N214" s="487"/>
    </row>
    <row r="215" spans="1:16">
      <c r="A215" s="495" t="s">
        <v>63</v>
      </c>
      <c r="B215" s="70" t="s">
        <v>64</v>
      </c>
      <c r="C215" s="473">
        <v>12546</v>
      </c>
      <c r="D215" s="489">
        <v>10080</v>
      </c>
      <c r="E215" s="489">
        <v>2469</v>
      </c>
      <c r="F215" s="489">
        <v>3918</v>
      </c>
      <c r="G215" s="489">
        <v>4173</v>
      </c>
      <c r="H215" s="489">
        <v>4464</v>
      </c>
      <c r="I215" s="489">
        <v>4755</v>
      </c>
      <c r="J215" s="489">
        <v>1545</v>
      </c>
      <c r="K215" s="473">
        <v>4524</v>
      </c>
      <c r="L215" s="489">
        <v>3579</v>
      </c>
      <c r="M215" s="489">
        <v>924</v>
      </c>
      <c r="N215" s="489">
        <v>3696</v>
      </c>
      <c r="O215" s="70">
        <v>2868</v>
      </c>
      <c r="P215" s="70">
        <v>828</v>
      </c>
    </row>
    <row r="216" spans="1:16">
      <c r="B216" s="70" t="s">
        <v>65</v>
      </c>
      <c r="C216" s="70">
        <v>1767</v>
      </c>
      <c r="D216" s="70">
        <v>900</v>
      </c>
      <c r="E216" s="70">
        <v>864</v>
      </c>
      <c r="F216" s="70">
        <v>537</v>
      </c>
      <c r="G216" s="70">
        <v>594</v>
      </c>
      <c r="H216" s="70">
        <v>627</v>
      </c>
      <c r="I216" s="430">
        <v>681</v>
      </c>
      <c r="J216" s="430">
        <v>216</v>
      </c>
      <c r="K216" s="70">
        <v>672</v>
      </c>
      <c r="L216" s="70">
        <v>321</v>
      </c>
      <c r="M216" s="70">
        <v>345</v>
      </c>
      <c r="N216" s="70">
        <v>597</v>
      </c>
      <c r="O216" s="70">
        <v>282</v>
      </c>
      <c r="P216" s="70">
        <v>324</v>
      </c>
    </row>
    <row r="217" spans="1:16">
      <c r="B217" s="70" t="s">
        <v>66</v>
      </c>
      <c r="C217" s="70">
        <v>375</v>
      </c>
      <c r="D217" s="70">
        <v>231</v>
      </c>
      <c r="E217" s="70">
        <v>153</v>
      </c>
      <c r="F217" s="70">
        <v>87</v>
      </c>
      <c r="G217" s="70">
        <v>153</v>
      </c>
      <c r="H217" s="70">
        <v>144</v>
      </c>
      <c r="I217" s="430">
        <v>174</v>
      </c>
      <c r="J217" s="430">
        <v>39</v>
      </c>
      <c r="K217" s="70">
        <v>138</v>
      </c>
      <c r="L217" s="70">
        <v>84</v>
      </c>
      <c r="M217" s="70">
        <v>57</v>
      </c>
      <c r="N217" s="70">
        <v>135</v>
      </c>
      <c r="O217" s="70">
        <v>75</v>
      </c>
      <c r="P217" s="70">
        <v>54</v>
      </c>
    </row>
    <row r="218" spans="1:16">
      <c r="B218" s="70" t="s">
        <v>67</v>
      </c>
      <c r="C218" s="70">
        <v>744</v>
      </c>
      <c r="D218" s="70">
        <v>537</v>
      </c>
      <c r="E218" s="70">
        <v>216</v>
      </c>
      <c r="F218" s="70">
        <v>204</v>
      </c>
      <c r="G218" s="70">
        <v>267</v>
      </c>
      <c r="H218" s="70">
        <v>282</v>
      </c>
      <c r="I218" s="430">
        <v>258</v>
      </c>
      <c r="J218" s="430">
        <v>90</v>
      </c>
      <c r="K218" s="70">
        <v>294</v>
      </c>
      <c r="L218" s="70">
        <v>204</v>
      </c>
      <c r="M218" s="70">
        <v>87</v>
      </c>
      <c r="N218" s="70">
        <v>237</v>
      </c>
      <c r="O218" s="70">
        <v>168</v>
      </c>
      <c r="P218" s="70">
        <v>72</v>
      </c>
    </row>
    <row r="219" spans="1:16">
      <c r="B219" s="70" t="s">
        <v>68</v>
      </c>
      <c r="C219" s="70">
        <v>180</v>
      </c>
      <c r="D219" s="70">
        <v>144</v>
      </c>
      <c r="E219" s="70">
        <v>39</v>
      </c>
      <c r="F219" s="70">
        <v>45</v>
      </c>
      <c r="G219" s="70">
        <v>63</v>
      </c>
      <c r="H219" s="70">
        <v>66</v>
      </c>
      <c r="I219" s="430">
        <v>78</v>
      </c>
      <c r="J219" s="430">
        <v>18</v>
      </c>
      <c r="K219" s="70">
        <v>75</v>
      </c>
      <c r="L219" s="70">
        <v>57</v>
      </c>
      <c r="M219" s="70">
        <v>9</v>
      </c>
      <c r="N219" s="70">
        <v>72</v>
      </c>
      <c r="O219" s="70">
        <v>54</v>
      </c>
      <c r="P219" s="70">
        <v>9</v>
      </c>
    </row>
    <row r="220" spans="1:16">
      <c r="B220" s="70" t="s">
        <v>69</v>
      </c>
      <c r="C220" s="70">
        <v>8835</v>
      </c>
      <c r="D220" s="70">
        <v>7863</v>
      </c>
      <c r="E220" s="70">
        <v>966</v>
      </c>
      <c r="F220" s="70">
        <v>2844</v>
      </c>
      <c r="G220" s="70">
        <v>2880</v>
      </c>
      <c r="H220" s="70">
        <v>3117</v>
      </c>
      <c r="I220" s="430">
        <v>3309</v>
      </c>
      <c r="J220" s="430">
        <v>1095</v>
      </c>
      <c r="K220" s="70">
        <v>3114</v>
      </c>
      <c r="L220" s="70">
        <v>2769</v>
      </c>
      <c r="M220" s="70">
        <v>342</v>
      </c>
      <c r="N220" s="70">
        <v>2454</v>
      </c>
      <c r="O220" s="70">
        <v>2169</v>
      </c>
      <c r="P220" s="70">
        <v>288</v>
      </c>
    </row>
    <row r="221" spans="1:16">
      <c r="B221" s="70" t="s">
        <v>70</v>
      </c>
      <c r="C221" s="70">
        <v>444</v>
      </c>
      <c r="D221" s="70">
        <v>306</v>
      </c>
      <c r="E221" s="70">
        <v>129</v>
      </c>
      <c r="F221" s="70">
        <v>150</v>
      </c>
      <c r="G221" s="70">
        <v>141</v>
      </c>
      <c r="H221" s="70">
        <v>150</v>
      </c>
      <c r="I221" s="430">
        <v>168</v>
      </c>
      <c r="J221" s="430">
        <v>60</v>
      </c>
      <c r="K221" s="70">
        <v>162</v>
      </c>
      <c r="L221" s="70">
        <v>120</v>
      </c>
      <c r="M221" s="70">
        <v>39</v>
      </c>
      <c r="N221" s="70">
        <v>135</v>
      </c>
      <c r="O221" s="70">
        <v>96</v>
      </c>
      <c r="P221" s="70">
        <v>36</v>
      </c>
    </row>
    <row r="222" spans="1:16">
      <c r="B222" s="70" t="s">
        <v>71</v>
      </c>
      <c r="C222" s="70">
        <v>180</v>
      </c>
      <c r="D222" s="70">
        <v>87</v>
      </c>
      <c r="E222" s="70">
        <v>93</v>
      </c>
      <c r="F222" s="70">
        <v>42</v>
      </c>
      <c r="G222" s="70">
        <v>72</v>
      </c>
      <c r="H222" s="70">
        <v>69</v>
      </c>
      <c r="I222" s="430">
        <v>78</v>
      </c>
      <c r="J222" s="430">
        <v>21</v>
      </c>
      <c r="K222" s="70">
        <v>69</v>
      </c>
      <c r="L222" s="70">
        <v>24</v>
      </c>
      <c r="M222" s="70">
        <v>45</v>
      </c>
      <c r="N222" s="70">
        <v>66</v>
      </c>
      <c r="O222" s="70">
        <v>24</v>
      </c>
      <c r="P222" s="70">
        <v>45</v>
      </c>
    </row>
    <row r="223" spans="1:16">
      <c r="B223" s="70" t="s">
        <v>354</v>
      </c>
      <c r="C223" s="70">
        <v>21</v>
      </c>
      <c r="D223" s="70">
        <v>12</v>
      </c>
      <c r="E223" s="70">
        <v>9</v>
      </c>
      <c r="F223" s="70">
        <v>9</v>
      </c>
      <c r="G223" s="70">
        <v>3</v>
      </c>
      <c r="H223" s="70">
        <v>9</v>
      </c>
      <c r="I223" s="430">
        <v>9</v>
      </c>
      <c r="J223" s="430">
        <v>6</v>
      </c>
      <c r="K223" s="70">
        <v>0</v>
      </c>
      <c r="L223" s="70">
        <v>0</v>
      </c>
      <c r="M223" s="70">
        <v>0</v>
      </c>
      <c r="N223" s="70">
        <v>0</v>
      </c>
      <c r="O223" s="70">
        <v>0</v>
      </c>
      <c r="P223" s="70">
        <v>0</v>
      </c>
    </row>
    <row r="225" spans="1:16">
      <c r="A225" s="495" t="s">
        <v>63</v>
      </c>
      <c r="B225" s="70" t="s">
        <v>64</v>
      </c>
      <c r="C225" s="1318">
        <f>C201-C215</f>
        <v>15</v>
      </c>
      <c r="D225" s="1318">
        <f t="shared" ref="D225:P225" si="18">D201-D215</f>
        <v>6</v>
      </c>
      <c r="E225" s="1318">
        <f t="shared" si="18"/>
        <v>6</v>
      </c>
      <c r="F225" s="1315">
        <f t="shared" si="18"/>
        <v>-3</v>
      </c>
      <c r="G225" s="1315">
        <f t="shared" si="18"/>
        <v>-6</v>
      </c>
      <c r="H225" s="1318">
        <f t="shared" si="18"/>
        <v>12</v>
      </c>
      <c r="I225" s="1329">
        <f t="shared" si="18"/>
        <v>3</v>
      </c>
      <c r="J225" s="1329">
        <f t="shared" si="18"/>
        <v>12</v>
      </c>
      <c r="K225" s="1347">
        <f t="shared" si="18"/>
        <v>0</v>
      </c>
      <c r="L225" s="1329">
        <f t="shared" si="18"/>
        <v>6</v>
      </c>
      <c r="M225" s="1329">
        <f t="shared" si="18"/>
        <v>18</v>
      </c>
      <c r="N225" s="1348">
        <f t="shared" si="18"/>
        <v>0</v>
      </c>
      <c r="O225" s="1320">
        <f t="shared" si="18"/>
        <v>-3</v>
      </c>
      <c r="P225" s="1320">
        <f t="shared" si="18"/>
        <v>3</v>
      </c>
    </row>
    <row r="226" spans="1:16">
      <c r="B226" s="70" t="s">
        <v>65</v>
      </c>
      <c r="C226" s="1318">
        <f t="shared" ref="C226:P226" si="19">C202-C216</f>
        <v>3</v>
      </c>
      <c r="D226" s="1319">
        <f t="shared" si="19"/>
        <v>0</v>
      </c>
      <c r="E226" s="1318">
        <f t="shared" si="19"/>
        <v>6</v>
      </c>
      <c r="F226" s="1318">
        <f t="shared" si="19"/>
        <v>3</v>
      </c>
      <c r="G226" s="1318">
        <f t="shared" si="19"/>
        <v>6</v>
      </c>
      <c r="H226" s="1318">
        <f t="shared" si="19"/>
        <v>6</v>
      </c>
      <c r="I226" s="1331">
        <f t="shared" si="19"/>
        <v>-6</v>
      </c>
      <c r="J226" s="1332">
        <f t="shared" si="19"/>
        <v>0</v>
      </c>
      <c r="K226" s="1320">
        <f t="shared" si="19"/>
        <v>-3</v>
      </c>
      <c r="L226" s="1319">
        <f t="shared" si="19"/>
        <v>0</v>
      </c>
      <c r="M226" s="1318">
        <f t="shared" si="19"/>
        <v>3</v>
      </c>
      <c r="N226" s="1318">
        <f t="shared" si="19"/>
        <v>3</v>
      </c>
      <c r="O226" s="1319">
        <f t="shared" si="19"/>
        <v>0</v>
      </c>
      <c r="P226" s="1320">
        <f t="shared" si="19"/>
        <v>-6</v>
      </c>
    </row>
    <row r="227" spans="1:16">
      <c r="B227" s="70" t="s">
        <v>66</v>
      </c>
      <c r="C227" s="1318">
        <f t="shared" ref="C227:P227" si="20">C203-C217</f>
        <v>6</v>
      </c>
      <c r="D227" s="1319">
        <f t="shared" si="20"/>
        <v>0</v>
      </c>
      <c r="E227" s="1320">
        <f t="shared" si="20"/>
        <v>-3</v>
      </c>
      <c r="F227" s="1319">
        <f t="shared" si="20"/>
        <v>0</v>
      </c>
      <c r="G227" s="1319">
        <f t="shared" si="20"/>
        <v>0</v>
      </c>
      <c r="H227" s="1320">
        <f t="shared" si="20"/>
        <v>-6</v>
      </c>
      <c r="I227" s="1330">
        <f t="shared" si="20"/>
        <v>6</v>
      </c>
      <c r="J227" s="1330">
        <f t="shared" si="20"/>
        <v>3</v>
      </c>
      <c r="K227" s="1318">
        <f t="shared" si="20"/>
        <v>6</v>
      </c>
      <c r="L227" s="1319">
        <f t="shared" si="20"/>
        <v>0</v>
      </c>
      <c r="M227" s="1318">
        <f t="shared" si="20"/>
        <v>3</v>
      </c>
      <c r="N227" s="1319">
        <f t="shared" si="20"/>
        <v>0</v>
      </c>
      <c r="O227" s="1318">
        <f t="shared" si="20"/>
        <v>3</v>
      </c>
      <c r="P227" s="1318">
        <f t="shared" si="20"/>
        <v>3</v>
      </c>
    </row>
    <row r="228" spans="1:16">
      <c r="B228" s="70" t="s">
        <v>67</v>
      </c>
      <c r="C228" s="1318">
        <f t="shared" ref="C228:P228" si="21">C204-C218</f>
        <v>6</v>
      </c>
      <c r="D228" s="1318">
        <f t="shared" si="21"/>
        <v>3</v>
      </c>
      <c r="E228" s="1320">
        <f t="shared" si="21"/>
        <v>-6</v>
      </c>
      <c r="F228" s="1320">
        <f t="shared" si="21"/>
        <v>-3</v>
      </c>
      <c r="G228" s="1319">
        <f t="shared" si="21"/>
        <v>0</v>
      </c>
      <c r="H228" s="1319">
        <f t="shared" si="21"/>
        <v>0</v>
      </c>
      <c r="I228" s="1332">
        <f t="shared" si="21"/>
        <v>0</v>
      </c>
      <c r="J228" s="1330">
        <f t="shared" si="21"/>
        <v>3</v>
      </c>
      <c r="K228" s="1319">
        <f t="shared" si="21"/>
        <v>0</v>
      </c>
      <c r="L228" s="1320">
        <f t="shared" si="21"/>
        <v>-3</v>
      </c>
      <c r="M228" s="1318">
        <f t="shared" si="21"/>
        <v>6</v>
      </c>
      <c r="N228" s="1318">
        <f t="shared" si="21"/>
        <v>3</v>
      </c>
      <c r="O228" s="1320">
        <f t="shared" si="21"/>
        <v>-6</v>
      </c>
      <c r="P228" s="1318">
        <f t="shared" si="21"/>
        <v>6</v>
      </c>
    </row>
    <row r="229" spans="1:16">
      <c r="B229" s="70" t="s">
        <v>68</v>
      </c>
      <c r="C229" s="1318">
        <f t="shared" ref="C229:P229" si="22">C205-C219</f>
        <v>3</v>
      </c>
      <c r="D229" s="1319">
        <f t="shared" si="22"/>
        <v>0</v>
      </c>
      <c r="E229" s="1319">
        <f t="shared" si="22"/>
        <v>0</v>
      </c>
      <c r="F229" s="1318">
        <f t="shared" si="22"/>
        <v>3</v>
      </c>
      <c r="G229" s="1319">
        <f t="shared" si="22"/>
        <v>0</v>
      </c>
      <c r="H229" s="1318">
        <f t="shared" si="22"/>
        <v>6</v>
      </c>
      <c r="I229" s="1331">
        <f t="shared" si="22"/>
        <v>-3</v>
      </c>
      <c r="J229" s="1332">
        <f t="shared" si="22"/>
        <v>0</v>
      </c>
      <c r="K229" s="1319">
        <f t="shared" si="22"/>
        <v>0</v>
      </c>
      <c r="L229" s="1318">
        <f t="shared" si="22"/>
        <v>3</v>
      </c>
      <c r="M229" s="1318">
        <f t="shared" si="22"/>
        <v>6</v>
      </c>
      <c r="N229" s="1320">
        <f t="shared" si="22"/>
        <v>-3</v>
      </c>
      <c r="O229" s="1318">
        <f t="shared" si="22"/>
        <v>3</v>
      </c>
      <c r="P229" s="1318">
        <f t="shared" si="22"/>
        <v>3</v>
      </c>
    </row>
    <row r="230" spans="1:16">
      <c r="B230" s="70" t="s">
        <v>69</v>
      </c>
      <c r="C230" s="1319">
        <f t="shared" ref="C230:P230" si="23">C206-C220</f>
        <v>0</v>
      </c>
      <c r="D230" s="1318">
        <f t="shared" si="23"/>
        <v>6</v>
      </c>
      <c r="E230" s="1319">
        <f t="shared" si="23"/>
        <v>0</v>
      </c>
      <c r="F230" s="1320">
        <f t="shared" si="23"/>
        <v>-3</v>
      </c>
      <c r="G230" s="1320">
        <f t="shared" si="23"/>
        <v>-3</v>
      </c>
      <c r="H230" s="1320">
        <f t="shared" si="23"/>
        <v>-3</v>
      </c>
      <c r="I230" s="1330">
        <f t="shared" si="23"/>
        <v>6</v>
      </c>
      <c r="J230" s="1332">
        <f t="shared" si="23"/>
        <v>0</v>
      </c>
      <c r="K230" s="1320">
        <f t="shared" si="23"/>
        <v>-3</v>
      </c>
      <c r="L230" s="1319">
        <f t="shared" si="23"/>
        <v>0</v>
      </c>
      <c r="M230" s="1319">
        <f t="shared" si="23"/>
        <v>0</v>
      </c>
      <c r="N230" s="1319">
        <f t="shared" si="23"/>
        <v>0</v>
      </c>
      <c r="O230" s="1320">
        <f t="shared" si="23"/>
        <v>-3</v>
      </c>
      <c r="P230" s="1319">
        <f t="shared" si="23"/>
        <v>0</v>
      </c>
    </row>
    <row r="231" spans="1:16">
      <c r="B231" s="70" t="s">
        <v>70</v>
      </c>
      <c r="C231" s="1320">
        <f t="shared" ref="C231:P231" si="24">C207-C221</f>
        <v>-3</v>
      </c>
      <c r="D231" s="1320">
        <f t="shared" si="24"/>
        <v>-3</v>
      </c>
      <c r="E231" s="1318">
        <f t="shared" si="24"/>
        <v>9</v>
      </c>
      <c r="F231" s="1320">
        <f t="shared" si="24"/>
        <v>-3</v>
      </c>
      <c r="G231" s="1320">
        <f t="shared" si="24"/>
        <v>-3</v>
      </c>
      <c r="H231" s="1320">
        <f t="shared" si="24"/>
        <v>6</v>
      </c>
      <c r="I231" s="1331">
        <f t="shared" si="24"/>
        <v>-3</v>
      </c>
      <c r="J231" s="1330">
        <f t="shared" si="24"/>
        <v>3</v>
      </c>
      <c r="K231" s="1319">
        <f t="shared" si="24"/>
        <v>0</v>
      </c>
      <c r="L231" s="1318">
        <f t="shared" si="24"/>
        <v>3</v>
      </c>
      <c r="M231" s="1319">
        <f t="shared" si="24"/>
        <v>0</v>
      </c>
      <c r="N231" s="1320">
        <f t="shared" si="24"/>
        <v>-3</v>
      </c>
      <c r="O231" s="1319">
        <f t="shared" si="24"/>
        <v>0</v>
      </c>
      <c r="P231" s="1319">
        <f t="shared" si="24"/>
        <v>0</v>
      </c>
    </row>
    <row r="232" spans="1:16">
      <c r="B232" s="70" t="s">
        <v>71</v>
      </c>
      <c r="C232" s="1319">
        <f t="shared" ref="C232:P232" si="25">C208-C222</f>
        <v>0</v>
      </c>
      <c r="D232" s="1319">
        <f t="shared" si="25"/>
        <v>0</v>
      </c>
      <c r="E232" s="1319">
        <f t="shared" si="25"/>
        <v>0</v>
      </c>
      <c r="F232" s="1319">
        <f t="shared" si="25"/>
        <v>0</v>
      </c>
      <c r="G232" s="1320">
        <f t="shared" si="25"/>
        <v>-6</v>
      </c>
      <c r="H232" s="1318">
        <f t="shared" si="25"/>
        <v>3</v>
      </c>
      <c r="I232" s="1330">
        <f t="shared" si="25"/>
        <v>3</v>
      </c>
      <c r="J232" s="1330">
        <f t="shared" si="25"/>
        <v>3</v>
      </c>
      <c r="K232" s="1319">
        <f t="shared" si="25"/>
        <v>0</v>
      </c>
      <c r="L232" s="1318">
        <f t="shared" si="25"/>
        <v>3</v>
      </c>
      <c r="M232" s="1319">
        <f t="shared" si="25"/>
        <v>0</v>
      </c>
      <c r="N232" s="1319">
        <f t="shared" si="25"/>
        <v>0</v>
      </c>
      <c r="O232" s="1319">
        <f t="shared" si="25"/>
        <v>0</v>
      </c>
      <c r="P232" s="1320">
        <f t="shared" si="25"/>
        <v>-3</v>
      </c>
    </row>
    <row r="233" spans="1:16">
      <c r="B233" s="70" t="s">
        <v>354</v>
      </c>
      <c r="C233" s="1319">
        <f t="shared" ref="C233:P233" si="26">C209-C223</f>
        <v>0</v>
      </c>
      <c r="D233" s="1319">
        <f t="shared" si="26"/>
        <v>0</v>
      </c>
      <c r="E233" s="1319">
        <f t="shared" si="26"/>
        <v>0</v>
      </c>
      <c r="F233" s="1319">
        <f t="shared" si="26"/>
        <v>0</v>
      </c>
      <c r="G233" s="1319">
        <f t="shared" si="26"/>
        <v>0</v>
      </c>
      <c r="H233" s="1319">
        <f t="shared" si="26"/>
        <v>0</v>
      </c>
      <c r="I233" s="1332">
        <f t="shared" si="26"/>
        <v>0</v>
      </c>
      <c r="J233" s="1332">
        <f t="shared" si="26"/>
        <v>0</v>
      </c>
      <c r="K233" s="1319">
        <f t="shared" si="26"/>
        <v>0</v>
      </c>
      <c r="L233" s="1319">
        <f t="shared" si="26"/>
        <v>0</v>
      </c>
      <c r="M233" s="1319">
        <f t="shared" si="26"/>
        <v>0</v>
      </c>
      <c r="N233" s="1319">
        <f t="shared" si="26"/>
        <v>0</v>
      </c>
      <c r="O233" s="1319">
        <f t="shared" si="26"/>
        <v>0</v>
      </c>
      <c r="P233" s="1319">
        <f t="shared" si="26"/>
        <v>0</v>
      </c>
    </row>
  </sheetData>
  <mergeCells count="17">
    <mergeCell ref="N148:P149"/>
    <mergeCell ref="N194:P195"/>
    <mergeCell ref="A2:C2"/>
    <mergeCell ref="C53:H53"/>
    <mergeCell ref="C147:H147"/>
    <mergeCell ref="C193:H193"/>
    <mergeCell ref="C101:H101"/>
    <mergeCell ref="A4:P4"/>
    <mergeCell ref="C6:H6"/>
    <mergeCell ref="K6:P6"/>
    <mergeCell ref="K53:P53"/>
    <mergeCell ref="K101:P101"/>
    <mergeCell ref="K147:P147"/>
    <mergeCell ref="K193:P193"/>
    <mergeCell ref="N7:P8"/>
    <mergeCell ref="N54:P55"/>
    <mergeCell ref="N102:P103"/>
  </mergeCells>
  <printOptions horizontalCentered="1"/>
  <pageMargins left="0.23622047244094491" right="0.19685039370078741" top="0.70866141732283472" bottom="0.31496062992125984" header="0.35433070866141736" footer="0.15748031496062992"/>
  <pageSetup paperSize="9" scale="96" fitToHeight="5" orientation="landscape" horizontalDpi="4294967295" verticalDpi="4294967295" r:id="rId1"/>
  <headerFooter alignWithMargins="0">
    <oddHeader>&amp;R&amp;8&amp;D</oddHeader>
    <oddFooter>&amp;C
&amp;R
...</oddFooter>
  </headerFooter>
  <rowBreaks count="4" manualBreakCount="4">
    <brk id="50" max="15" man="1"/>
    <brk id="98" max="15" man="1"/>
    <brk id="144" max="15" man="1"/>
    <brk id="19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0" tint="-0.499984740745262"/>
  </sheetPr>
  <dimension ref="A3:P55"/>
  <sheetViews>
    <sheetView zoomScaleNormal="100" zoomScaleSheetLayoutView="100" workbookViewId="0">
      <selection activeCell="I27" sqref="I27"/>
    </sheetView>
  </sheetViews>
  <sheetFormatPr baseColWidth="10" defaultColWidth="9.69140625" defaultRowHeight="10.3"/>
  <cols>
    <col min="1" max="1" width="5.69140625" style="6" customWidth="1"/>
    <col min="2" max="2" width="0.84375" style="6" customWidth="1"/>
    <col min="3" max="4" width="7.69140625" style="6" customWidth="1"/>
    <col min="5" max="5" width="7.69140625" style="53" customWidth="1"/>
    <col min="6" max="8" width="7.69140625" style="6" customWidth="1"/>
    <col min="9" max="10" width="10.69140625" style="6" customWidth="1"/>
    <col min="11" max="13" width="7.69140625" style="6" customWidth="1"/>
    <col min="14" max="16" width="7.69140625" style="53" customWidth="1"/>
    <col min="17" max="17" width="16.84375" style="6" customWidth="1"/>
    <col min="18" max="16384" width="9.69140625" style="6"/>
  </cols>
  <sheetData>
    <row r="3" spans="1:16" ht="12.45">
      <c r="A3" s="728" t="s">
        <v>213</v>
      </c>
      <c r="B3" s="63"/>
      <c r="C3" s="476"/>
      <c r="D3" s="719"/>
      <c r="E3" s="719"/>
      <c r="F3" s="719"/>
      <c r="G3" s="719"/>
      <c r="H3" s="719"/>
      <c r="I3" s="719"/>
      <c r="J3" s="720"/>
      <c r="K3" s="721"/>
      <c r="L3" s="43"/>
      <c r="M3" s="719"/>
      <c r="O3" s="529"/>
      <c r="P3" s="534"/>
    </row>
    <row r="4" spans="1:16" s="585" customFormat="1" ht="25" customHeight="1">
      <c r="A4" s="1508" t="s">
        <v>111</v>
      </c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</row>
    <row r="5" spans="1:16" s="585" customFormat="1" ht="25" customHeight="1">
      <c r="A5" s="1509" t="s">
        <v>41</v>
      </c>
      <c r="B5" s="1509"/>
      <c r="C5" s="1509"/>
      <c r="D5" s="1509"/>
      <c r="E5" s="1509"/>
      <c r="F5" s="1509"/>
      <c r="G5" s="1509"/>
      <c r="H5" s="1509"/>
      <c r="I5" s="1509"/>
      <c r="J5" s="1509"/>
      <c r="K5" s="1509"/>
      <c r="L5" s="1509"/>
      <c r="M5" s="1509"/>
      <c r="N5" s="1509"/>
      <c r="O5" s="1509"/>
      <c r="P5" s="1509"/>
    </row>
    <row r="6" spans="1:16" s="585" customFormat="1" ht="25" customHeight="1">
      <c r="A6" s="1507" t="s">
        <v>42</v>
      </c>
      <c r="B6" s="1507"/>
      <c r="C6" s="1507"/>
      <c r="D6" s="1507"/>
      <c r="E6" s="1507"/>
      <c r="F6" s="1507"/>
      <c r="G6" s="1507"/>
      <c r="H6" s="1507"/>
      <c r="I6" s="1507"/>
      <c r="J6" s="1507"/>
      <c r="K6" s="1507"/>
      <c r="L6" s="1507"/>
      <c r="M6" s="1507"/>
      <c r="N6" s="1507"/>
      <c r="O6" s="1507"/>
      <c r="P6" s="1507"/>
    </row>
    <row r="7" spans="1:16" ht="10.75" thickBot="1">
      <c r="A7" s="85"/>
      <c r="B7" s="85"/>
      <c r="C7" s="722"/>
      <c r="D7" s="722"/>
      <c r="E7" s="723"/>
      <c r="F7" s="722"/>
      <c r="G7" s="722"/>
      <c r="H7" s="722"/>
      <c r="I7" s="722"/>
      <c r="J7" s="722"/>
      <c r="K7" s="722"/>
      <c r="L7" s="722"/>
      <c r="M7" s="722"/>
      <c r="N7" s="723"/>
      <c r="O7" s="723"/>
      <c r="P7" s="723"/>
    </row>
    <row r="8" spans="1:16" ht="24.65" customHeight="1">
      <c r="A8" s="1501" t="s">
        <v>43</v>
      </c>
      <c r="B8" s="1502"/>
      <c r="C8" s="1513" t="s">
        <v>358</v>
      </c>
      <c r="D8" s="1514"/>
      <c r="E8" s="1514"/>
      <c r="F8" s="1514"/>
      <c r="G8" s="1514"/>
      <c r="H8" s="1515"/>
      <c r="I8" s="148" t="s">
        <v>0</v>
      </c>
      <c r="J8" s="148" t="s">
        <v>1</v>
      </c>
      <c r="K8" s="1510" t="s">
        <v>105</v>
      </c>
      <c r="L8" s="1511"/>
      <c r="M8" s="1511"/>
      <c r="N8" s="1511"/>
      <c r="O8" s="1511"/>
      <c r="P8" s="1512"/>
    </row>
    <row r="9" spans="1:16" ht="10.95" customHeight="1">
      <c r="A9" s="1503"/>
      <c r="B9" s="1504"/>
      <c r="C9" s="1516"/>
      <c r="D9" s="1517"/>
      <c r="E9" s="1517"/>
      <c r="F9" s="1517"/>
      <c r="G9" s="1517"/>
      <c r="H9" s="1518"/>
      <c r="I9" s="424" t="s">
        <v>3</v>
      </c>
      <c r="J9" s="15" t="s">
        <v>4</v>
      </c>
      <c r="K9" s="13"/>
      <c r="L9" s="724"/>
      <c r="M9" s="725"/>
      <c r="N9" s="1519" t="s">
        <v>298</v>
      </c>
      <c r="O9" s="1520"/>
      <c r="P9" s="1524"/>
    </row>
    <row r="10" spans="1:16" ht="12" customHeight="1">
      <c r="A10" s="1503"/>
      <c r="B10" s="1504"/>
      <c r="C10" s="13"/>
      <c r="D10" s="539"/>
      <c r="E10" s="1087"/>
      <c r="F10" s="1519" t="s">
        <v>296</v>
      </c>
      <c r="G10" s="1520"/>
      <c r="H10" s="1521"/>
      <c r="I10" s="424" t="s">
        <v>8</v>
      </c>
      <c r="J10" s="15" t="s">
        <v>8</v>
      </c>
      <c r="K10" s="23"/>
      <c r="L10" s="23"/>
      <c r="M10" s="24"/>
      <c r="N10" s="1522"/>
      <c r="O10" s="1523"/>
      <c r="P10" s="1525"/>
    </row>
    <row r="11" spans="1:16" ht="12" customHeight="1">
      <c r="A11" s="1503"/>
      <c r="B11" s="1504"/>
      <c r="C11" s="215"/>
      <c r="D11" s="18"/>
      <c r="E11" s="28"/>
      <c r="F11" s="1522"/>
      <c r="G11" s="1523"/>
      <c r="H11" s="1506"/>
      <c r="I11" s="424" t="s">
        <v>20</v>
      </c>
      <c r="J11" s="15" t="s">
        <v>20</v>
      </c>
      <c r="K11" s="18"/>
      <c r="L11" s="18"/>
      <c r="M11" s="28"/>
      <c r="N11" s="13"/>
      <c r="O11" s="215"/>
      <c r="P11" s="532"/>
    </row>
    <row r="12" spans="1:16" ht="12" customHeight="1">
      <c r="A12" s="1503"/>
      <c r="B12" s="1504"/>
      <c r="C12" s="542" t="s">
        <v>19</v>
      </c>
      <c r="D12" s="46" t="s">
        <v>17</v>
      </c>
      <c r="E12" s="25" t="s">
        <v>18</v>
      </c>
      <c r="F12" s="13"/>
      <c r="G12" s="726"/>
      <c r="H12" s="726"/>
      <c r="I12" s="15" t="s">
        <v>33</v>
      </c>
      <c r="J12" s="15" t="s">
        <v>33</v>
      </c>
      <c r="K12" s="30" t="s">
        <v>19</v>
      </c>
      <c r="L12" s="46" t="s">
        <v>17</v>
      </c>
      <c r="M12" s="25" t="s">
        <v>18</v>
      </c>
      <c r="N12" s="30" t="s">
        <v>19</v>
      </c>
      <c r="O12" s="46" t="s">
        <v>17</v>
      </c>
      <c r="P12" s="533" t="s">
        <v>18</v>
      </c>
    </row>
    <row r="13" spans="1:16" ht="12" customHeight="1">
      <c r="A13" s="1503"/>
      <c r="B13" s="1504"/>
      <c r="C13" s="30" t="s">
        <v>29</v>
      </c>
      <c r="D13" s="46" t="s">
        <v>28</v>
      </c>
      <c r="E13" s="25" t="s">
        <v>28</v>
      </c>
      <c r="F13" s="25" t="s">
        <v>30</v>
      </c>
      <c r="G13" s="31" t="s">
        <v>31</v>
      </c>
      <c r="H13" s="31" t="s">
        <v>32</v>
      </c>
      <c r="I13" s="331" t="s">
        <v>39</v>
      </c>
      <c r="J13" s="15" t="s">
        <v>39</v>
      </c>
      <c r="K13" s="30" t="s">
        <v>29</v>
      </c>
      <c r="L13" s="46" t="s">
        <v>28</v>
      </c>
      <c r="M13" s="25" t="s">
        <v>28</v>
      </c>
      <c r="N13" s="30" t="s">
        <v>29</v>
      </c>
      <c r="O13" s="46" t="s">
        <v>28</v>
      </c>
      <c r="P13" s="533" t="s">
        <v>28</v>
      </c>
    </row>
    <row r="14" spans="1:16" ht="12" customHeight="1">
      <c r="A14" s="1505"/>
      <c r="B14" s="1506"/>
      <c r="C14" s="32"/>
      <c r="D14" s="34"/>
      <c r="E14" s="33"/>
      <c r="F14" s="32"/>
      <c r="G14" s="34"/>
      <c r="H14" s="34"/>
      <c r="I14" s="332"/>
      <c r="J14" s="35"/>
      <c r="K14" s="32"/>
      <c r="L14" s="34"/>
      <c r="M14" s="33"/>
      <c r="N14" s="32"/>
      <c r="O14" s="34"/>
      <c r="P14" s="330"/>
    </row>
    <row r="15" spans="1:16" s="585" customFormat="1" ht="5.15" customHeight="1">
      <c r="A15" s="591"/>
      <c r="B15" s="594"/>
      <c r="C15" s="47"/>
      <c r="D15" s="48"/>
      <c r="E15" s="140"/>
      <c r="F15" s="48"/>
      <c r="G15" s="48"/>
      <c r="H15" s="50"/>
      <c r="I15" s="147"/>
      <c r="J15" s="333"/>
      <c r="K15" s="1071"/>
      <c r="L15" s="48"/>
      <c r="M15" s="49"/>
      <c r="N15" s="47"/>
      <c r="O15" s="48"/>
      <c r="P15" s="531"/>
    </row>
    <row r="16" spans="1:16" ht="15" customHeight="1">
      <c r="A16" s="592" t="s">
        <v>58</v>
      </c>
      <c r="B16" s="595"/>
      <c r="C16" s="1069">
        <v>807</v>
      </c>
      <c r="D16" s="5">
        <v>684</v>
      </c>
      <c r="E16" s="396">
        <v>120</v>
      </c>
      <c r="F16" s="5">
        <v>222</v>
      </c>
      <c r="G16" s="5">
        <v>306</v>
      </c>
      <c r="H16" s="396">
        <v>279</v>
      </c>
      <c r="I16" s="396">
        <v>363</v>
      </c>
      <c r="J16" s="396">
        <v>120</v>
      </c>
      <c r="K16" s="1069">
        <v>303</v>
      </c>
      <c r="L16" s="5">
        <v>246</v>
      </c>
      <c r="M16" s="396">
        <v>57</v>
      </c>
      <c r="N16" s="1075">
        <v>282</v>
      </c>
      <c r="O16" s="1074">
        <v>228</v>
      </c>
      <c r="P16" s="1036">
        <v>54</v>
      </c>
    </row>
    <row r="17" spans="1:16" ht="15" customHeight="1">
      <c r="A17" s="592" t="s">
        <v>49</v>
      </c>
      <c r="B17" s="595"/>
      <c r="C17" s="1069">
        <v>6</v>
      </c>
      <c r="D17" s="5">
        <v>3</v>
      </c>
      <c r="E17" s="396">
        <v>3</v>
      </c>
      <c r="F17" s="5">
        <v>0</v>
      </c>
      <c r="G17" s="5">
        <v>0</v>
      </c>
      <c r="H17" s="396">
        <v>6</v>
      </c>
      <c r="I17" s="396">
        <v>3</v>
      </c>
      <c r="J17" s="396">
        <v>0</v>
      </c>
      <c r="K17" s="1069">
        <v>0</v>
      </c>
      <c r="L17" s="5">
        <v>0</v>
      </c>
      <c r="M17" s="396">
        <v>0</v>
      </c>
      <c r="N17" s="1069">
        <v>0</v>
      </c>
      <c r="O17" s="5">
        <v>0</v>
      </c>
      <c r="P17" s="1038">
        <v>0</v>
      </c>
    </row>
    <row r="18" spans="1:16" ht="15" customHeight="1">
      <c r="A18" s="592" t="s">
        <v>52</v>
      </c>
      <c r="B18" s="595"/>
      <c r="C18" s="1069">
        <v>2037</v>
      </c>
      <c r="D18" s="5">
        <v>1764</v>
      </c>
      <c r="E18" s="396">
        <v>273</v>
      </c>
      <c r="F18" s="5">
        <v>186</v>
      </c>
      <c r="G18" s="5">
        <v>885</v>
      </c>
      <c r="H18" s="396">
        <v>966</v>
      </c>
      <c r="I18" s="396">
        <v>948</v>
      </c>
      <c r="J18" s="396">
        <v>111</v>
      </c>
      <c r="K18" s="1069">
        <v>741</v>
      </c>
      <c r="L18" s="5">
        <v>633</v>
      </c>
      <c r="M18" s="396">
        <v>111</v>
      </c>
      <c r="N18" s="1075">
        <v>717</v>
      </c>
      <c r="O18" s="1074">
        <v>609</v>
      </c>
      <c r="P18" s="1036">
        <v>108</v>
      </c>
    </row>
    <row r="19" spans="1:16" ht="15" customHeight="1">
      <c r="A19" s="592" t="s">
        <v>48</v>
      </c>
      <c r="B19" s="596"/>
      <c r="C19" s="1069">
        <v>3</v>
      </c>
      <c r="D19" s="5">
        <v>0</v>
      </c>
      <c r="E19" s="396">
        <v>3</v>
      </c>
      <c r="F19" s="5">
        <v>0</v>
      </c>
      <c r="G19" s="5">
        <v>0</v>
      </c>
      <c r="H19" s="396">
        <v>3</v>
      </c>
      <c r="I19" s="396">
        <v>3</v>
      </c>
      <c r="J19" s="396">
        <v>0</v>
      </c>
      <c r="K19" s="1069">
        <v>3</v>
      </c>
      <c r="L19" s="5">
        <v>3</v>
      </c>
      <c r="M19" s="396">
        <v>0</v>
      </c>
      <c r="N19" s="1069">
        <v>3</v>
      </c>
      <c r="O19" s="5">
        <v>3</v>
      </c>
      <c r="P19" s="1038">
        <v>0</v>
      </c>
    </row>
    <row r="20" spans="1:16" ht="15" customHeight="1">
      <c r="A20" s="592" t="s">
        <v>53</v>
      </c>
      <c r="B20" s="596"/>
      <c r="C20" s="1069">
        <v>1560</v>
      </c>
      <c r="D20" s="5">
        <v>1389</v>
      </c>
      <c r="E20" s="396">
        <v>171</v>
      </c>
      <c r="F20" s="5">
        <v>348</v>
      </c>
      <c r="G20" s="5">
        <v>573</v>
      </c>
      <c r="H20" s="396">
        <v>639</v>
      </c>
      <c r="I20" s="396">
        <v>552</v>
      </c>
      <c r="J20" s="396">
        <v>75</v>
      </c>
      <c r="K20" s="1069">
        <v>588</v>
      </c>
      <c r="L20" s="5">
        <v>516</v>
      </c>
      <c r="M20" s="396">
        <v>72</v>
      </c>
      <c r="N20" s="1075">
        <v>528</v>
      </c>
      <c r="O20" s="1074">
        <v>462</v>
      </c>
      <c r="P20" s="1036">
        <v>66</v>
      </c>
    </row>
    <row r="21" spans="1:16" ht="15" customHeight="1">
      <c r="A21" s="592" t="s">
        <v>50</v>
      </c>
      <c r="B21" s="595"/>
      <c r="C21" s="1069">
        <v>462</v>
      </c>
      <c r="D21" s="5">
        <v>390</v>
      </c>
      <c r="E21" s="396">
        <v>75</v>
      </c>
      <c r="F21" s="5">
        <v>108</v>
      </c>
      <c r="G21" s="5">
        <v>174</v>
      </c>
      <c r="H21" s="396">
        <v>180</v>
      </c>
      <c r="I21" s="396">
        <v>174</v>
      </c>
      <c r="J21" s="396">
        <v>60</v>
      </c>
      <c r="K21" s="1069">
        <v>168</v>
      </c>
      <c r="L21" s="5">
        <v>147</v>
      </c>
      <c r="M21" s="396">
        <v>18</v>
      </c>
      <c r="N21" s="1075">
        <v>132</v>
      </c>
      <c r="O21" s="1074">
        <v>117</v>
      </c>
      <c r="P21" s="1036">
        <v>12</v>
      </c>
    </row>
    <row r="22" spans="1:16" ht="15" customHeight="1">
      <c r="A22" s="592" t="s">
        <v>54</v>
      </c>
      <c r="B22" s="595"/>
      <c r="C22" s="1069">
        <v>312</v>
      </c>
      <c r="D22" s="5">
        <v>270</v>
      </c>
      <c r="E22" s="396">
        <v>42</v>
      </c>
      <c r="F22" s="5">
        <v>84</v>
      </c>
      <c r="G22" s="5">
        <v>108</v>
      </c>
      <c r="H22" s="396">
        <v>120</v>
      </c>
      <c r="I22" s="396">
        <v>129</v>
      </c>
      <c r="J22" s="396">
        <v>24</v>
      </c>
      <c r="K22" s="1069">
        <v>108</v>
      </c>
      <c r="L22" s="5">
        <v>99</v>
      </c>
      <c r="M22" s="396">
        <v>12</v>
      </c>
      <c r="N22" s="1075">
        <v>96</v>
      </c>
      <c r="O22" s="1074">
        <v>84</v>
      </c>
      <c r="P22" s="1036">
        <v>12</v>
      </c>
    </row>
    <row r="23" spans="1:16" ht="15" customHeight="1">
      <c r="A23" s="592" t="s">
        <v>44</v>
      </c>
      <c r="B23" s="595"/>
      <c r="C23" s="1069">
        <v>522</v>
      </c>
      <c r="D23" s="5">
        <v>429</v>
      </c>
      <c r="E23" s="396">
        <v>93</v>
      </c>
      <c r="F23" s="5">
        <v>9</v>
      </c>
      <c r="G23" s="5">
        <v>252</v>
      </c>
      <c r="H23" s="396">
        <v>258</v>
      </c>
      <c r="I23" s="396">
        <v>276</v>
      </c>
      <c r="J23" s="396">
        <v>33</v>
      </c>
      <c r="K23" s="1069">
        <v>210</v>
      </c>
      <c r="L23" s="5">
        <v>177</v>
      </c>
      <c r="M23" s="396">
        <v>33</v>
      </c>
      <c r="N23" s="1075">
        <v>207</v>
      </c>
      <c r="O23" s="1074">
        <v>177</v>
      </c>
      <c r="P23" s="1036">
        <v>33</v>
      </c>
    </row>
    <row r="24" spans="1:16" ht="15" customHeight="1">
      <c r="A24" s="592" t="s">
        <v>45</v>
      </c>
      <c r="B24" s="595"/>
      <c r="C24" s="1069">
        <v>1458</v>
      </c>
      <c r="D24" s="5">
        <v>1275</v>
      </c>
      <c r="E24" s="396">
        <v>183</v>
      </c>
      <c r="F24" s="5">
        <v>84</v>
      </c>
      <c r="G24" s="5">
        <v>663</v>
      </c>
      <c r="H24" s="396">
        <v>711</v>
      </c>
      <c r="I24" s="396">
        <v>780</v>
      </c>
      <c r="J24" s="396">
        <v>54</v>
      </c>
      <c r="K24" s="1069">
        <v>744</v>
      </c>
      <c r="L24" s="5">
        <v>678</v>
      </c>
      <c r="M24" s="396">
        <v>66</v>
      </c>
      <c r="N24" s="1075">
        <v>696</v>
      </c>
      <c r="O24" s="1074">
        <v>633</v>
      </c>
      <c r="P24" s="1036">
        <v>63</v>
      </c>
    </row>
    <row r="25" spans="1:16" s="7" customFormat="1" ht="15" customHeight="1">
      <c r="A25" s="592" t="s">
        <v>55</v>
      </c>
      <c r="B25" s="597"/>
      <c r="C25" s="1069">
        <v>36</v>
      </c>
      <c r="D25" s="5">
        <v>27</v>
      </c>
      <c r="E25" s="396">
        <v>6</v>
      </c>
      <c r="F25" s="5">
        <v>6</v>
      </c>
      <c r="G25" s="5">
        <v>12</v>
      </c>
      <c r="H25" s="396">
        <v>15</v>
      </c>
      <c r="I25" s="396">
        <v>15</v>
      </c>
      <c r="J25" s="396">
        <v>6</v>
      </c>
      <c r="K25" s="1069">
        <v>9</v>
      </c>
      <c r="L25" s="5">
        <v>9</v>
      </c>
      <c r="M25" s="396">
        <v>0</v>
      </c>
      <c r="N25" s="1075">
        <v>9</v>
      </c>
      <c r="O25" s="5">
        <v>6</v>
      </c>
      <c r="P25" s="1036">
        <v>0</v>
      </c>
    </row>
    <row r="26" spans="1:16" ht="15" customHeight="1">
      <c r="A26" s="592" t="s">
        <v>46</v>
      </c>
      <c r="B26" s="595"/>
      <c r="C26" s="1070">
        <v>0</v>
      </c>
      <c r="D26" s="5">
        <v>0</v>
      </c>
      <c r="E26" s="396">
        <v>0</v>
      </c>
      <c r="F26" s="5">
        <v>0</v>
      </c>
      <c r="G26" s="5">
        <v>0</v>
      </c>
      <c r="H26" s="396">
        <v>0</v>
      </c>
      <c r="I26" s="396">
        <v>0</v>
      </c>
      <c r="J26" s="396">
        <v>0</v>
      </c>
      <c r="K26" s="1069">
        <v>0</v>
      </c>
      <c r="L26" s="5">
        <v>0</v>
      </c>
      <c r="M26" s="396">
        <v>0</v>
      </c>
      <c r="N26" s="1069">
        <v>0</v>
      </c>
      <c r="O26" s="5">
        <v>0</v>
      </c>
      <c r="P26" s="1036">
        <v>0</v>
      </c>
    </row>
    <row r="27" spans="1:16" s="70" customFormat="1" ht="15" customHeight="1">
      <c r="A27" s="592" t="s">
        <v>47</v>
      </c>
      <c r="B27" s="595"/>
      <c r="C27" s="1069">
        <v>405</v>
      </c>
      <c r="D27" s="5">
        <v>360</v>
      </c>
      <c r="E27" s="396">
        <v>45</v>
      </c>
      <c r="F27" s="62">
        <v>144</v>
      </c>
      <c r="G27" s="62">
        <v>126</v>
      </c>
      <c r="H27" s="258">
        <v>135</v>
      </c>
      <c r="I27" s="258">
        <v>171</v>
      </c>
      <c r="J27" s="258">
        <v>42</v>
      </c>
      <c r="K27" s="1072">
        <v>132</v>
      </c>
      <c r="L27" s="303">
        <v>123</v>
      </c>
      <c r="M27" s="732">
        <v>9</v>
      </c>
      <c r="N27" s="1070">
        <v>105</v>
      </c>
      <c r="O27" s="1074">
        <v>96</v>
      </c>
      <c r="P27" s="1036">
        <v>6</v>
      </c>
    </row>
    <row r="28" spans="1:16" ht="15" customHeight="1">
      <c r="A28" s="592" t="s">
        <v>51</v>
      </c>
      <c r="B28" s="595"/>
      <c r="C28" s="1069">
        <v>441</v>
      </c>
      <c r="D28" s="5">
        <v>399</v>
      </c>
      <c r="E28" s="396">
        <v>42</v>
      </c>
      <c r="F28" s="5">
        <v>129</v>
      </c>
      <c r="G28" s="5">
        <v>171</v>
      </c>
      <c r="H28" s="396">
        <v>144</v>
      </c>
      <c r="I28" s="1037">
        <v>201</v>
      </c>
      <c r="J28" s="1037">
        <v>69</v>
      </c>
      <c r="K28" s="1072">
        <v>156</v>
      </c>
      <c r="L28" s="303">
        <v>147</v>
      </c>
      <c r="M28" s="732">
        <v>9</v>
      </c>
      <c r="N28" s="1070">
        <v>117</v>
      </c>
      <c r="O28" s="1074">
        <v>111</v>
      </c>
      <c r="P28" s="1036">
        <v>6</v>
      </c>
    </row>
    <row r="29" spans="1:16" s="70" customFormat="1" ht="15" customHeight="1">
      <c r="A29" s="592" t="s">
        <v>56</v>
      </c>
      <c r="B29" s="595"/>
      <c r="C29" s="1069">
        <v>543</v>
      </c>
      <c r="D29" s="5">
        <v>465</v>
      </c>
      <c r="E29" s="396">
        <v>78</v>
      </c>
      <c r="F29" s="5">
        <v>180</v>
      </c>
      <c r="G29" s="5">
        <v>186</v>
      </c>
      <c r="H29" s="396">
        <v>180</v>
      </c>
      <c r="I29" s="1037">
        <v>240</v>
      </c>
      <c r="J29" s="1037">
        <v>18</v>
      </c>
      <c r="K29" s="1072">
        <v>165</v>
      </c>
      <c r="L29" s="303">
        <v>144</v>
      </c>
      <c r="M29" s="732">
        <v>21</v>
      </c>
      <c r="N29" s="1070">
        <v>153</v>
      </c>
      <c r="O29" s="1074">
        <v>135</v>
      </c>
      <c r="P29" s="1036">
        <v>21</v>
      </c>
    </row>
    <row r="30" spans="1:16" ht="15" customHeight="1">
      <c r="A30" s="592" t="s">
        <v>57</v>
      </c>
      <c r="B30" s="597"/>
      <c r="C30" s="1069">
        <v>393</v>
      </c>
      <c r="D30" s="5">
        <v>351</v>
      </c>
      <c r="E30" s="396">
        <v>42</v>
      </c>
      <c r="F30" s="5">
        <v>138</v>
      </c>
      <c r="G30" s="5">
        <v>129</v>
      </c>
      <c r="H30" s="396">
        <v>126</v>
      </c>
      <c r="I30" s="1037">
        <v>192</v>
      </c>
      <c r="J30" s="1037">
        <v>54</v>
      </c>
      <c r="K30" s="1072">
        <v>123</v>
      </c>
      <c r="L30" s="303">
        <v>114</v>
      </c>
      <c r="M30" s="732">
        <v>12</v>
      </c>
      <c r="N30" s="1070">
        <v>111</v>
      </c>
      <c r="O30" s="1074">
        <v>99</v>
      </c>
      <c r="P30" s="1036">
        <v>9</v>
      </c>
    </row>
    <row r="31" spans="1:16" s="70" customFormat="1" ht="15" customHeight="1">
      <c r="A31" s="592" t="s">
        <v>59</v>
      </c>
      <c r="B31" s="597"/>
      <c r="C31" s="1069">
        <v>465</v>
      </c>
      <c r="D31" s="5">
        <v>420</v>
      </c>
      <c r="E31" s="396">
        <v>48</v>
      </c>
      <c r="F31" s="5">
        <v>165</v>
      </c>
      <c r="G31" s="5">
        <v>156</v>
      </c>
      <c r="H31" s="396">
        <v>147</v>
      </c>
      <c r="I31" s="1037">
        <v>195</v>
      </c>
      <c r="J31" s="1037">
        <v>45</v>
      </c>
      <c r="K31" s="1072">
        <v>126</v>
      </c>
      <c r="L31" s="303">
        <v>120</v>
      </c>
      <c r="M31" s="732">
        <v>6</v>
      </c>
      <c r="N31" s="1070">
        <v>99</v>
      </c>
      <c r="O31" s="1074">
        <v>93</v>
      </c>
      <c r="P31" s="1036">
        <v>6</v>
      </c>
    </row>
    <row r="32" spans="1:16" s="8" customFormat="1" ht="4.2" customHeight="1">
      <c r="A32" s="329"/>
      <c r="B32" s="596"/>
      <c r="C32" s="398"/>
      <c r="D32" s="399"/>
      <c r="E32" s="400"/>
      <c r="F32" s="399"/>
      <c r="G32" s="399"/>
      <c r="H32" s="401"/>
      <c r="I32" s="397"/>
      <c r="J32" s="677"/>
      <c r="K32" s="1073"/>
      <c r="L32" s="399"/>
      <c r="M32" s="400"/>
      <c r="N32" s="1073"/>
      <c r="O32" s="399"/>
      <c r="P32" s="402"/>
    </row>
    <row r="33" spans="1:16" s="54" customFormat="1" ht="21" customHeight="1" thickBot="1">
      <c r="A33" s="593" t="s">
        <v>60</v>
      </c>
      <c r="B33" s="598"/>
      <c r="C33" s="1068">
        <v>9453</v>
      </c>
      <c r="D33" s="580">
        <v>8232</v>
      </c>
      <c r="E33" s="1065">
        <v>1224</v>
      </c>
      <c r="F33" s="580">
        <v>1800</v>
      </c>
      <c r="G33" s="580">
        <v>3744</v>
      </c>
      <c r="H33" s="1065">
        <v>3909</v>
      </c>
      <c r="I33" s="580">
        <v>4239</v>
      </c>
      <c r="J33" s="1066">
        <v>717</v>
      </c>
      <c r="K33" s="1068">
        <v>3579</v>
      </c>
      <c r="L33" s="580">
        <v>3150</v>
      </c>
      <c r="M33" s="1065">
        <v>426</v>
      </c>
      <c r="N33" s="1068">
        <v>3255</v>
      </c>
      <c r="O33" s="580">
        <v>2856</v>
      </c>
      <c r="P33" s="1039">
        <v>399</v>
      </c>
    </row>
    <row r="34" spans="1:16" s="54" customFormat="1" ht="3.65" customHeight="1">
      <c r="A34" s="122"/>
      <c r="B34" s="122"/>
      <c r="C34" s="265"/>
      <c r="D34" s="265"/>
      <c r="E34" s="265"/>
      <c r="F34" s="68"/>
      <c r="G34" s="68"/>
      <c r="H34" s="68"/>
      <c r="I34" s="68"/>
      <c r="J34" s="68"/>
      <c r="K34" s="265"/>
      <c r="L34" s="265"/>
      <c r="M34" s="265"/>
      <c r="N34" s="530"/>
      <c r="O34" s="530"/>
      <c r="P34" s="530"/>
    </row>
    <row r="35" spans="1:16" s="82" customFormat="1" ht="11.25" customHeight="1">
      <c r="A35" s="70" t="s">
        <v>297</v>
      </c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>
      <c r="C36" s="5"/>
      <c r="D36" s="8"/>
      <c r="E36" s="9"/>
      <c r="F36" s="62"/>
      <c r="G36" s="62"/>
      <c r="H36" s="62"/>
      <c r="I36" s="5"/>
      <c r="J36" s="8"/>
      <c r="K36" s="8"/>
      <c r="L36" s="8"/>
      <c r="M36" s="8"/>
      <c r="N36" s="9"/>
      <c r="O36" s="9"/>
      <c r="P36" s="9"/>
    </row>
    <row r="37" spans="1:16">
      <c r="D37" s="665"/>
    </row>
    <row r="38" spans="1:16" ht="10.75" thickBot="1">
      <c r="A38" s="593" t="s">
        <v>60</v>
      </c>
      <c r="B38" s="598"/>
      <c r="C38" s="1068">
        <v>9450</v>
      </c>
      <c r="D38" s="580">
        <v>8226</v>
      </c>
      <c r="E38" s="1065">
        <v>1224</v>
      </c>
      <c r="F38" s="580">
        <v>1803</v>
      </c>
      <c r="G38" s="580">
        <v>3741</v>
      </c>
      <c r="H38" s="1065">
        <v>3909</v>
      </c>
      <c r="I38" s="580">
        <v>4242</v>
      </c>
      <c r="J38" s="1066">
        <v>711</v>
      </c>
      <c r="K38" s="1068">
        <v>3576</v>
      </c>
      <c r="L38" s="580">
        <v>3156</v>
      </c>
      <c r="M38" s="1065">
        <v>426</v>
      </c>
      <c r="N38" s="1068">
        <v>3255</v>
      </c>
      <c r="O38" s="580">
        <v>2853</v>
      </c>
      <c r="P38" s="1039">
        <v>396</v>
      </c>
    </row>
    <row r="39" spans="1:16" ht="10.75" thickBot="1">
      <c r="A39" s="593" t="s">
        <v>384</v>
      </c>
      <c r="B39" s="598"/>
      <c r="C39" s="1292">
        <f>C33-C38</f>
        <v>3</v>
      </c>
      <c r="D39" s="1293">
        <f t="shared" ref="D39:P39" si="0">D33-D38</f>
        <v>6</v>
      </c>
      <c r="E39" s="1302">
        <v>0</v>
      </c>
      <c r="F39" s="1295">
        <f t="shared" si="0"/>
        <v>-3</v>
      </c>
      <c r="G39" s="1293">
        <f t="shared" si="0"/>
        <v>3</v>
      </c>
      <c r="H39" s="1302">
        <f t="shared" si="0"/>
        <v>0</v>
      </c>
      <c r="I39" s="1295">
        <f t="shared" si="0"/>
        <v>-3</v>
      </c>
      <c r="J39" s="1334">
        <f t="shared" si="0"/>
        <v>6</v>
      </c>
      <c r="K39" s="1292">
        <f t="shared" si="0"/>
        <v>3</v>
      </c>
      <c r="L39" s="1295">
        <f t="shared" si="0"/>
        <v>-6</v>
      </c>
      <c r="M39" s="1302">
        <f t="shared" si="0"/>
        <v>0</v>
      </c>
      <c r="N39" s="1303">
        <f t="shared" si="0"/>
        <v>0</v>
      </c>
      <c r="O39" s="1293">
        <f t="shared" si="0"/>
        <v>3</v>
      </c>
      <c r="P39" s="1341">
        <f t="shared" si="0"/>
        <v>3</v>
      </c>
    </row>
    <row r="50" spans="1:13" s="53" customFormat="1">
      <c r="A50" s="6"/>
      <c r="B50" s="6"/>
      <c r="C50" s="6"/>
      <c r="D50" s="6"/>
      <c r="F50" s="6"/>
      <c r="G50" s="6"/>
      <c r="H50" s="6"/>
      <c r="I50" s="6"/>
      <c r="J50" s="6"/>
      <c r="K50" s="6"/>
      <c r="L50" s="6"/>
      <c r="M50" s="6"/>
    </row>
    <row r="55" spans="1:13" ht="10.75">
      <c r="A55" s="988"/>
      <c r="B55" s="988"/>
    </row>
  </sheetData>
  <mergeCells count="8">
    <mergeCell ref="A8:B14"/>
    <mergeCell ref="A6:P6"/>
    <mergeCell ref="A4:P4"/>
    <mergeCell ref="A5:P5"/>
    <mergeCell ref="K8:P8"/>
    <mergeCell ref="C8:H9"/>
    <mergeCell ref="F10:H11"/>
    <mergeCell ref="N9:P10"/>
  </mergeCells>
  <printOptions horizontalCentered="1"/>
  <pageMargins left="0.27559055118110237" right="0.19685039370078741" top="0.35433070866141736" bottom="0.39370078740157483" header="0.19685039370078741" footer="0.23622047244094491"/>
  <pageSetup paperSize="9" orientation="landscape" r:id="rId1"/>
  <headerFooter alignWithMargins="0">
    <oddHeader xml:space="preserve">&amp;C&amp;"Arial,Standard"&amp;9- 1 - &amp;R&amp;8&amp;D&amp;11
</oddHeader>
    <oddFooter>&amp;R&amp;10
&amp;12
...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>
    <tabColor theme="0" tint="-0.499984740745262"/>
  </sheetPr>
  <dimension ref="A2:P40"/>
  <sheetViews>
    <sheetView zoomScaleNormal="100" zoomScaleSheetLayoutView="100" workbookViewId="0">
      <selection activeCell="N30" sqref="N30"/>
    </sheetView>
  </sheetViews>
  <sheetFormatPr baseColWidth="10" defaultColWidth="11.3828125" defaultRowHeight="12.45"/>
  <cols>
    <col min="1" max="1" width="5.69140625" style="137" customWidth="1"/>
    <col min="2" max="2" width="0.84375" style="137" customWidth="1"/>
    <col min="3" max="8" width="7.69140625" style="137" customWidth="1"/>
    <col min="9" max="10" width="10.69140625" style="137" customWidth="1"/>
    <col min="11" max="16" width="7.69140625" style="137" customWidth="1"/>
    <col min="17" max="16384" width="11.3828125" style="137"/>
  </cols>
  <sheetData>
    <row r="2" spans="1:16" ht="14.15">
      <c r="A2" s="1598" t="s">
        <v>213</v>
      </c>
      <c r="B2" s="1598"/>
      <c r="C2" s="1598"/>
      <c r="D2" s="1598"/>
      <c r="E2" s="1598"/>
      <c r="F2" s="235"/>
      <c r="G2" s="235"/>
      <c r="H2" s="235"/>
      <c r="I2" s="856"/>
      <c r="K2" s="857"/>
      <c r="L2" s="235"/>
      <c r="M2" s="235"/>
      <c r="N2" s="534"/>
      <c r="O2" s="235" t="s">
        <v>40</v>
      </c>
      <c r="P2" s="235"/>
    </row>
    <row r="3" spans="1:16" ht="10.95" customHeight="1">
      <c r="A3" s="990"/>
      <c r="B3" s="990"/>
      <c r="C3" s="858"/>
      <c r="D3" s="858"/>
      <c r="E3" s="858"/>
      <c r="G3" s="858"/>
      <c r="H3" s="858"/>
      <c r="I3" s="858"/>
      <c r="K3" s="859"/>
      <c r="L3" s="858"/>
      <c r="M3" s="858" t="s">
        <v>40</v>
      </c>
      <c r="N3" s="858"/>
    </row>
    <row r="4" spans="1:16" ht="13.95" customHeight="1">
      <c r="A4" s="1526" t="s">
        <v>349</v>
      </c>
      <c r="B4" s="1526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16" ht="10.95" customHeight="1" thickBot="1">
      <c r="A5" s="860"/>
      <c r="B5" s="860"/>
      <c r="C5" s="860"/>
      <c r="D5" s="860"/>
      <c r="E5" s="860"/>
      <c r="F5" s="860"/>
      <c r="G5" s="860"/>
      <c r="H5" s="860"/>
      <c r="I5" s="860"/>
      <c r="J5" s="860"/>
      <c r="K5" s="861"/>
      <c r="L5" s="860"/>
      <c r="M5" s="860"/>
      <c r="N5" s="860"/>
    </row>
    <row r="6" spans="1:16" ht="25" customHeight="1">
      <c r="A6" s="1501" t="s">
        <v>43</v>
      </c>
      <c r="B6" s="1532"/>
      <c r="C6" s="1513" t="s">
        <v>358</v>
      </c>
      <c r="D6" s="1514"/>
      <c r="E6" s="1514"/>
      <c r="F6" s="1514"/>
      <c r="G6" s="1514"/>
      <c r="H6" s="1515"/>
      <c r="I6" s="207" t="s">
        <v>0</v>
      </c>
      <c r="J6" s="207" t="s">
        <v>1</v>
      </c>
      <c r="K6" s="1510" t="s">
        <v>215</v>
      </c>
      <c r="L6" s="1530"/>
      <c r="M6" s="1530"/>
      <c r="N6" s="1530"/>
      <c r="O6" s="1530"/>
      <c r="P6" s="1531"/>
    </row>
    <row r="7" spans="1:16" ht="12" customHeight="1">
      <c r="A7" s="1533"/>
      <c r="B7" s="1534"/>
      <c r="C7" s="1539"/>
      <c r="D7" s="1528"/>
      <c r="E7" s="1528"/>
      <c r="F7" s="1528"/>
      <c r="G7" s="1528"/>
      <c r="H7" s="1529"/>
      <c r="I7" s="19" t="s">
        <v>3</v>
      </c>
      <c r="J7" s="19" t="s">
        <v>4</v>
      </c>
      <c r="K7" s="412"/>
      <c r="L7" s="413"/>
      <c r="M7" s="414"/>
      <c r="N7" s="1519" t="s">
        <v>298</v>
      </c>
      <c r="O7" s="1520"/>
      <c r="P7" s="1524"/>
    </row>
    <row r="8" spans="1:16" ht="12" customHeight="1">
      <c r="A8" s="1533"/>
      <c r="B8" s="1534"/>
      <c r="C8" s="599"/>
      <c r="D8" s="19"/>
      <c r="E8" s="19"/>
      <c r="F8" s="21" t="s">
        <v>165</v>
      </c>
      <c r="G8" s="21"/>
      <c r="H8" s="21"/>
      <c r="I8" s="19" t="s">
        <v>8</v>
      </c>
      <c r="J8" s="19" t="s">
        <v>8</v>
      </c>
      <c r="K8" s="15"/>
      <c r="L8" s="415"/>
      <c r="M8" s="19"/>
      <c r="N8" s="1522"/>
      <c r="O8" s="1523"/>
      <c r="P8" s="1525"/>
    </row>
    <row r="9" spans="1:16" ht="12" customHeight="1">
      <c r="A9" s="1533"/>
      <c r="B9" s="1534"/>
      <c r="C9" s="600"/>
      <c r="D9" s="208"/>
      <c r="E9" s="208"/>
      <c r="F9" s="26" t="s">
        <v>295</v>
      </c>
      <c r="G9" s="27"/>
      <c r="H9" s="27"/>
      <c r="I9" s="19" t="s">
        <v>20</v>
      </c>
      <c r="J9" s="19" t="s">
        <v>20</v>
      </c>
      <c r="K9" s="263"/>
      <c r="L9" s="418"/>
      <c r="M9" s="208"/>
      <c r="N9" s="498"/>
      <c r="O9" s="297"/>
      <c r="P9" s="551"/>
    </row>
    <row r="10" spans="1:16" ht="12" customHeight="1">
      <c r="A10" s="1533"/>
      <c r="B10" s="1534"/>
      <c r="C10" s="599" t="s">
        <v>19</v>
      </c>
      <c r="D10" s="19" t="s">
        <v>17</v>
      </c>
      <c r="E10" s="19" t="s">
        <v>18</v>
      </c>
      <c r="F10" s="420"/>
      <c r="G10" s="421"/>
      <c r="H10" s="421"/>
      <c r="I10" s="19" t="s">
        <v>33</v>
      </c>
      <c r="J10" s="19" t="s">
        <v>33</v>
      </c>
      <c r="K10" s="422" t="s">
        <v>19</v>
      </c>
      <c r="L10" s="15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16" ht="12" customHeight="1">
      <c r="A11" s="1533"/>
      <c r="B11" s="1534"/>
      <c r="C11" s="599" t="s">
        <v>29</v>
      </c>
      <c r="D11" s="19" t="s">
        <v>28</v>
      </c>
      <c r="E11" s="19" t="s">
        <v>28</v>
      </c>
      <c r="F11" s="15" t="s">
        <v>30</v>
      </c>
      <c r="G11" s="424" t="s">
        <v>31</v>
      </c>
      <c r="H11" s="424" t="s">
        <v>32</v>
      </c>
      <c r="I11" s="19" t="s">
        <v>39</v>
      </c>
      <c r="J11" s="19" t="s">
        <v>39</v>
      </c>
      <c r="K11" s="422" t="s">
        <v>29</v>
      </c>
      <c r="L11" s="15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16" ht="10.95" customHeight="1">
      <c r="A12" s="1535"/>
      <c r="B12" s="1536"/>
      <c r="C12" s="600"/>
      <c r="D12" s="208"/>
      <c r="E12" s="208"/>
      <c r="F12" s="418"/>
      <c r="G12" s="297"/>
      <c r="H12" s="297"/>
      <c r="I12" s="208"/>
      <c r="J12" s="208"/>
      <c r="K12" s="263"/>
      <c r="L12" s="418"/>
      <c r="M12" s="208"/>
      <c r="N12" s="417"/>
      <c r="O12" s="427"/>
      <c r="P12" s="518"/>
    </row>
    <row r="13" spans="1:16" ht="15" customHeight="1">
      <c r="A13" s="592" t="s">
        <v>58</v>
      </c>
      <c r="B13" s="558"/>
      <c r="C13" s="1078">
        <v>126</v>
      </c>
      <c r="D13" s="1076">
        <v>114</v>
      </c>
      <c r="E13" s="1077">
        <v>12</v>
      </c>
      <c r="F13" s="1076">
        <v>42</v>
      </c>
      <c r="G13" s="1076">
        <v>45</v>
      </c>
      <c r="H13" s="1077">
        <v>39</v>
      </c>
      <c r="I13" s="1067">
        <v>45</v>
      </c>
      <c r="J13" s="1067">
        <v>12</v>
      </c>
      <c r="K13" s="1080">
        <v>36</v>
      </c>
      <c r="L13" s="1076">
        <v>30</v>
      </c>
      <c r="M13" s="1077">
        <v>6</v>
      </c>
      <c r="N13" s="1080">
        <v>30</v>
      </c>
      <c r="O13" s="1076">
        <v>27</v>
      </c>
      <c r="P13" s="1084">
        <v>3</v>
      </c>
    </row>
    <row r="14" spans="1:16" ht="15" customHeight="1">
      <c r="A14" s="592" t="s">
        <v>49</v>
      </c>
      <c r="B14" s="121"/>
      <c r="C14" s="1069">
        <v>15</v>
      </c>
      <c r="D14" s="5">
        <v>12</v>
      </c>
      <c r="E14" s="396">
        <v>3</v>
      </c>
      <c r="F14" s="5">
        <v>6</v>
      </c>
      <c r="G14" s="5">
        <v>3</v>
      </c>
      <c r="H14" s="396">
        <v>6</v>
      </c>
      <c r="I14" s="396">
        <v>6</v>
      </c>
      <c r="J14" s="396">
        <v>3</v>
      </c>
      <c r="K14" s="1081">
        <v>6</v>
      </c>
      <c r="L14" s="5">
        <v>6</v>
      </c>
      <c r="M14" s="396">
        <v>0</v>
      </c>
      <c r="N14" s="1081">
        <v>6</v>
      </c>
      <c r="O14" s="5">
        <v>6</v>
      </c>
      <c r="P14" s="1038">
        <v>0</v>
      </c>
    </row>
    <row r="15" spans="1:16" ht="15" customHeight="1">
      <c r="A15" s="592" t="s">
        <v>52</v>
      </c>
      <c r="B15" s="121"/>
      <c r="C15" s="1069">
        <v>390</v>
      </c>
      <c r="D15" s="5">
        <v>333</v>
      </c>
      <c r="E15" s="396">
        <v>60</v>
      </c>
      <c r="F15" s="5">
        <v>117</v>
      </c>
      <c r="G15" s="5">
        <v>138</v>
      </c>
      <c r="H15" s="396">
        <v>138</v>
      </c>
      <c r="I15" s="396">
        <v>120</v>
      </c>
      <c r="J15" s="396">
        <v>51</v>
      </c>
      <c r="K15" s="1081">
        <v>96</v>
      </c>
      <c r="L15" s="5">
        <v>81</v>
      </c>
      <c r="M15" s="396">
        <v>15</v>
      </c>
      <c r="N15" s="1081">
        <v>84</v>
      </c>
      <c r="O15" s="5">
        <v>69</v>
      </c>
      <c r="P15" s="1038">
        <v>15</v>
      </c>
    </row>
    <row r="16" spans="1:16" ht="15" customHeight="1">
      <c r="A16" s="592" t="s">
        <v>48</v>
      </c>
      <c r="B16" s="557"/>
      <c r="C16" s="1069">
        <f>18+9</f>
        <v>27</v>
      </c>
      <c r="D16" s="5">
        <f>15+6</f>
        <v>21</v>
      </c>
      <c r="E16" s="396">
        <f>3+3</f>
        <v>6</v>
      </c>
      <c r="F16" s="5">
        <f>18</f>
        <v>18</v>
      </c>
      <c r="G16" s="5">
        <v>3</v>
      </c>
      <c r="H16" s="396">
        <v>6</v>
      </c>
      <c r="I16" s="396">
        <v>18</v>
      </c>
      <c r="J16" s="396">
        <v>0</v>
      </c>
      <c r="K16" s="1081">
        <v>15</v>
      </c>
      <c r="L16" s="5">
        <v>15</v>
      </c>
      <c r="M16" s="396">
        <v>0</v>
      </c>
      <c r="N16" s="1081">
        <v>15</v>
      </c>
      <c r="O16" s="5">
        <v>15</v>
      </c>
      <c r="P16" s="1038">
        <v>0</v>
      </c>
    </row>
    <row r="17" spans="1:16" ht="15" customHeight="1">
      <c r="A17" s="592" t="s">
        <v>53</v>
      </c>
      <c r="B17" s="557"/>
      <c r="C17" s="1069">
        <v>717</v>
      </c>
      <c r="D17" s="5">
        <v>642</v>
      </c>
      <c r="E17" s="396">
        <v>75</v>
      </c>
      <c r="F17" s="5">
        <v>237</v>
      </c>
      <c r="G17" s="5">
        <v>225</v>
      </c>
      <c r="H17" s="396">
        <v>258</v>
      </c>
      <c r="I17" s="396">
        <v>246</v>
      </c>
      <c r="J17" s="396">
        <v>81</v>
      </c>
      <c r="K17" s="1081">
        <v>258</v>
      </c>
      <c r="L17" s="5">
        <v>231</v>
      </c>
      <c r="M17" s="396">
        <v>30</v>
      </c>
      <c r="N17" s="1081">
        <v>237</v>
      </c>
      <c r="O17" s="5">
        <v>210</v>
      </c>
      <c r="P17" s="1038">
        <v>27</v>
      </c>
    </row>
    <row r="18" spans="1:16" ht="15" customHeight="1">
      <c r="A18" s="592" t="s">
        <v>50</v>
      </c>
      <c r="B18" s="558"/>
      <c r="C18" s="1069">
        <v>138</v>
      </c>
      <c r="D18" s="5">
        <v>120</v>
      </c>
      <c r="E18" s="396">
        <v>18</v>
      </c>
      <c r="F18" s="5">
        <v>36</v>
      </c>
      <c r="G18" s="5">
        <v>54</v>
      </c>
      <c r="H18" s="396">
        <v>48</v>
      </c>
      <c r="I18" s="396">
        <f>39</f>
        <v>39</v>
      </c>
      <c r="J18" s="396">
        <v>9</v>
      </c>
      <c r="K18" s="1081">
        <v>54</v>
      </c>
      <c r="L18" s="5">
        <v>48</v>
      </c>
      <c r="M18" s="396">
        <v>3</v>
      </c>
      <c r="N18" s="1081">
        <v>48</v>
      </c>
      <c r="O18" s="5">
        <v>42</v>
      </c>
      <c r="P18" s="1038">
        <v>3</v>
      </c>
    </row>
    <row r="19" spans="1:16" ht="15" customHeight="1">
      <c r="A19" s="592" t="s">
        <v>54</v>
      </c>
      <c r="B19" s="558"/>
      <c r="C19" s="1069">
        <f>117+48</f>
        <v>165</v>
      </c>
      <c r="D19" s="5">
        <f>102+39</f>
        <v>141</v>
      </c>
      <c r="E19" s="396">
        <f>12+9</f>
        <v>21</v>
      </c>
      <c r="F19" s="5">
        <v>48</v>
      </c>
      <c r="G19" s="5">
        <v>60</v>
      </c>
      <c r="H19" s="396">
        <f>9+48</f>
        <v>57</v>
      </c>
      <c r="I19" s="396">
        <v>60</v>
      </c>
      <c r="J19" s="396">
        <f>9+3</f>
        <v>12</v>
      </c>
      <c r="K19" s="1081">
        <v>45</v>
      </c>
      <c r="L19" s="5">
        <v>39</v>
      </c>
      <c r="M19" s="396">
        <v>6</v>
      </c>
      <c r="N19" s="1081">
        <v>45</v>
      </c>
      <c r="O19" s="5">
        <v>39</v>
      </c>
      <c r="P19" s="1038">
        <v>6</v>
      </c>
    </row>
    <row r="20" spans="1:16" ht="15" customHeight="1">
      <c r="A20" s="592" t="s">
        <v>44</v>
      </c>
      <c r="B20" s="121"/>
      <c r="C20" s="1069">
        <v>420</v>
      </c>
      <c r="D20" s="5">
        <v>324</v>
      </c>
      <c r="E20" s="396">
        <v>93</v>
      </c>
      <c r="F20" s="5">
        <v>135</v>
      </c>
      <c r="G20" s="5">
        <v>147</v>
      </c>
      <c r="H20" s="396">
        <v>135</v>
      </c>
      <c r="I20" s="396">
        <v>147</v>
      </c>
      <c r="J20" s="396">
        <v>42</v>
      </c>
      <c r="K20" s="1081">
        <v>153</v>
      </c>
      <c r="L20" s="5">
        <v>123</v>
      </c>
      <c r="M20" s="396">
        <v>27</v>
      </c>
      <c r="N20" s="1081">
        <v>138</v>
      </c>
      <c r="O20" s="5">
        <v>111</v>
      </c>
      <c r="P20" s="1038">
        <v>27</v>
      </c>
    </row>
    <row r="21" spans="1:16" ht="15" customHeight="1">
      <c r="A21" s="592" t="s">
        <v>45</v>
      </c>
      <c r="B21" s="121"/>
      <c r="C21" s="1069">
        <v>498</v>
      </c>
      <c r="D21" s="5">
        <v>384</v>
      </c>
      <c r="E21" s="396">
        <v>114</v>
      </c>
      <c r="F21" s="5">
        <v>159</v>
      </c>
      <c r="G21" s="5">
        <v>153</v>
      </c>
      <c r="H21" s="396">
        <v>189</v>
      </c>
      <c r="I21" s="396">
        <v>168</v>
      </c>
      <c r="J21" s="396">
        <v>33</v>
      </c>
      <c r="K21" s="1081">
        <v>147</v>
      </c>
      <c r="L21" s="5">
        <v>123</v>
      </c>
      <c r="M21" s="396">
        <v>24</v>
      </c>
      <c r="N21" s="1081">
        <v>132</v>
      </c>
      <c r="O21" s="5">
        <v>108</v>
      </c>
      <c r="P21" s="1038">
        <v>24</v>
      </c>
    </row>
    <row r="22" spans="1:16" ht="15" customHeight="1">
      <c r="A22" s="592" t="s">
        <v>55</v>
      </c>
      <c r="B22" s="558"/>
      <c r="C22" s="1069">
        <f>45+78</f>
        <v>123</v>
      </c>
      <c r="D22" s="5">
        <f>30+54</f>
        <v>84</v>
      </c>
      <c r="E22" s="396">
        <f>15+21</f>
        <v>36</v>
      </c>
      <c r="F22" s="5">
        <f>45</f>
        <v>45</v>
      </c>
      <c r="G22" s="5">
        <v>39</v>
      </c>
      <c r="H22" s="396">
        <v>36</v>
      </c>
      <c r="I22" s="396">
        <f>45+3</f>
        <v>48</v>
      </c>
      <c r="J22" s="396">
        <v>9</v>
      </c>
      <c r="K22" s="1081">
        <v>33</v>
      </c>
      <c r="L22" s="5">
        <v>33</v>
      </c>
      <c r="M22" s="396">
        <v>3</v>
      </c>
      <c r="N22" s="1081">
        <v>30</v>
      </c>
      <c r="O22" s="5">
        <v>30</v>
      </c>
      <c r="P22" s="1038">
        <v>3</v>
      </c>
    </row>
    <row r="23" spans="1:16" ht="15" customHeight="1">
      <c r="A23" s="592" t="s">
        <v>46</v>
      </c>
      <c r="B23" s="121"/>
      <c r="C23" s="1070">
        <v>78</v>
      </c>
      <c r="D23" s="1063">
        <v>66</v>
      </c>
      <c r="E23" s="1064">
        <v>12</v>
      </c>
      <c r="F23" s="1063">
        <v>24</v>
      </c>
      <c r="G23" s="1063">
        <v>27</v>
      </c>
      <c r="H23" s="1064">
        <v>27</v>
      </c>
      <c r="I23" s="396">
        <v>27</v>
      </c>
      <c r="J23" s="396">
        <v>12</v>
      </c>
      <c r="K23" s="1082">
        <v>24</v>
      </c>
      <c r="L23" s="1063">
        <v>24</v>
      </c>
      <c r="M23" s="1064">
        <v>3</v>
      </c>
      <c r="N23" s="1082">
        <v>24</v>
      </c>
      <c r="O23" s="1063">
        <v>24</v>
      </c>
      <c r="P23" s="1036">
        <v>3</v>
      </c>
    </row>
    <row r="24" spans="1:16" ht="15" customHeight="1">
      <c r="A24" s="592" t="s">
        <v>47</v>
      </c>
      <c r="B24" s="558"/>
      <c r="C24" s="1069">
        <f>111+66</f>
        <v>177</v>
      </c>
      <c r="D24" s="5">
        <f>69+36</f>
        <v>105</v>
      </c>
      <c r="E24" s="396">
        <f>42+30</f>
        <v>72</v>
      </c>
      <c r="F24" s="5">
        <v>60</v>
      </c>
      <c r="G24" s="5">
        <f>48+6</f>
        <v>54</v>
      </c>
      <c r="H24" s="396">
        <f>3+60</f>
        <v>63</v>
      </c>
      <c r="I24" s="732">
        <f>63+3</f>
        <v>66</v>
      </c>
      <c r="J24" s="258">
        <f>12+6</f>
        <v>18</v>
      </c>
      <c r="K24" s="1081">
        <f>3+30</f>
        <v>33</v>
      </c>
      <c r="L24" s="5">
        <v>12</v>
      </c>
      <c r="M24" s="396">
        <f>3+18</f>
        <v>21</v>
      </c>
      <c r="N24" s="1081">
        <f>3+24</f>
        <v>27</v>
      </c>
      <c r="O24" s="5">
        <v>9</v>
      </c>
      <c r="P24" s="1038">
        <f>3+15</f>
        <v>18</v>
      </c>
    </row>
    <row r="25" spans="1:16" ht="15" customHeight="1">
      <c r="A25" s="592" t="s">
        <v>51</v>
      </c>
      <c r="B25" s="121"/>
      <c r="C25" s="1069">
        <v>21</v>
      </c>
      <c r="D25" s="5">
        <v>18</v>
      </c>
      <c r="E25" s="396">
        <v>6</v>
      </c>
      <c r="F25" s="5">
        <v>12</v>
      </c>
      <c r="G25" s="5">
        <v>6</v>
      </c>
      <c r="H25" s="396">
        <v>6</v>
      </c>
      <c r="I25" s="396">
        <v>12</v>
      </c>
      <c r="J25" s="396">
        <v>3</v>
      </c>
      <c r="K25" s="1081">
        <v>6</v>
      </c>
      <c r="L25" s="5">
        <v>6</v>
      </c>
      <c r="M25" s="396">
        <v>3</v>
      </c>
      <c r="N25" s="1081">
        <v>6</v>
      </c>
      <c r="O25" s="5">
        <v>6</v>
      </c>
      <c r="P25" s="1038">
        <v>3</v>
      </c>
    </row>
    <row r="26" spans="1:16" s="90" customFormat="1" ht="15" customHeight="1">
      <c r="A26" s="592" t="s">
        <v>56</v>
      </c>
      <c r="B26" s="121"/>
      <c r="C26" s="1069">
        <v>228</v>
      </c>
      <c r="D26" s="5">
        <v>144</v>
      </c>
      <c r="E26" s="396">
        <v>81</v>
      </c>
      <c r="F26" s="5">
        <v>84</v>
      </c>
      <c r="G26" s="5">
        <v>69</v>
      </c>
      <c r="H26" s="396">
        <v>72</v>
      </c>
      <c r="I26" s="396">
        <v>93</v>
      </c>
      <c r="J26" s="396">
        <v>3</v>
      </c>
      <c r="K26" s="1081">
        <v>93</v>
      </c>
      <c r="L26" s="5">
        <v>69</v>
      </c>
      <c r="M26" s="396">
        <v>24</v>
      </c>
      <c r="N26" s="1081">
        <v>81</v>
      </c>
      <c r="O26" s="5">
        <v>60</v>
      </c>
      <c r="P26" s="1038">
        <v>21</v>
      </c>
    </row>
    <row r="27" spans="1:16" ht="15" customHeight="1">
      <c r="A27" s="592" t="s">
        <v>57</v>
      </c>
      <c r="B27" s="122"/>
      <c r="C27" s="1069">
        <v>201</v>
      </c>
      <c r="D27" s="5">
        <v>159</v>
      </c>
      <c r="E27" s="396">
        <v>39</v>
      </c>
      <c r="F27" s="5">
        <v>78</v>
      </c>
      <c r="G27" s="5">
        <v>66</v>
      </c>
      <c r="H27" s="396">
        <v>57</v>
      </c>
      <c r="I27" s="396">
        <v>81</v>
      </c>
      <c r="J27" s="396">
        <v>18</v>
      </c>
      <c r="K27" s="1081">
        <v>69</v>
      </c>
      <c r="L27" s="5">
        <v>57</v>
      </c>
      <c r="M27" s="396">
        <v>15</v>
      </c>
      <c r="N27" s="1081">
        <v>63</v>
      </c>
      <c r="O27" s="5">
        <v>51</v>
      </c>
      <c r="P27" s="1038">
        <v>12</v>
      </c>
    </row>
    <row r="28" spans="1:16" s="217" customFormat="1" ht="15" customHeight="1">
      <c r="A28" s="592" t="s">
        <v>59</v>
      </c>
      <c r="B28" s="122"/>
      <c r="C28" s="1069">
        <v>105</v>
      </c>
      <c r="D28" s="5">
        <v>81</v>
      </c>
      <c r="E28" s="396">
        <v>24</v>
      </c>
      <c r="F28" s="5">
        <v>30</v>
      </c>
      <c r="G28" s="5">
        <v>39</v>
      </c>
      <c r="H28" s="396">
        <v>36</v>
      </c>
      <c r="I28" s="1037">
        <v>33</v>
      </c>
      <c r="J28" s="1037">
        <v>6</v>
      </c>
      <c r="K28" s="1081">
        <v>33</v>
      </c>
      <c r="L28" s="5">
        <v>27</v>
      </c>
      <c r="M28" s="396">
        <v>9</v>
      </c>
      <c r="N28" s="1081">
        <v>24</v>
      </c>
      <c r="O28" s="5">
        <v>18</v>
      </c>
      <c r="P28" s="1038">
        <v>9</v>
      </c>
    </row>
    <row r="29" spans="1:16" s="335" customFormat="1" ht="4.5" customHeight="1">
      <c r="A29" s="329"/>
      <c r="B29" s="557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ht="21" customHeight="1" thickBot="1">
      <c r="A30" s="593" t="s">
        <v>60</v>
      </c>
      <c r="B30" s="541"/>
      <c r="C30" s="1068">
        <f>273+18+87+525+2532</f>
        <v>3435</v>
      </c>
      <c r="D30" s="580">
        <f>201+15+72+408+2058</f>
        <v>2754</v>
      </c>
      <c r="E30" s="1065">
        <f>69+3+15+117+474</f>
        <v>678</v>
      </c>
      <c r="F30" s="580">
        <f>153+18+27+168+768</f>
        <v>1134</v>
      </c>
      <c r="G30" s="580">
        <f>108+3+27+186+807</f>
        <v>1131</v>
      </c>
      <c r="H30" s="1065">
        <f>9+33+171+954</f>
        <v>1167</v>
      </c>
      <c r="I30" s="1066">
        <f>168+18+27+180+816</f>
        <v>1209</v>
      </c>
      <c r="J30" s="1066">
        <f>21+12+48+228</f>
        <v>309</v>
      </c>
      <c r="K30" s="580">
        <f>3+15+27+186+876</f>
        <v>1107</v>
      </c>
      <c r="L30" s="580">
        <f>15+24+150+732</f>
        <v>921</v>
      </c>
      <c r="M30" s="1065">
        <f>3+3+36+144</f>
        <v>186</v>
      </c>
      <c r="N30" s="580">
        <f>3+15+27+165+786</f>
        <v>996</v>
      </c>
      <c r="O30" s="580">
        <f>15+24+129+654</f>
        <v>822</v>
      </c>
      <c r="P30" s="1039">
        <f>3+3+33+132</f>
        <v>171</v>
      </c>
    </row>
    <row r="31" spans="1:16" ht="3.65" customHeight="1">
      <c r="A31" s="73"/>
      <c r="B31" s="73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2"/>
      <c r="O31" s="313"/>
      <c r="P31" s="312"/>
    </row>
    <row r="32" spans="1:16" ht="11.25" customHeight="1">
      <c r="A32" s="70" t="s">
        <v>297</v>
      </c>
      <c r="B32" s="73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2"/>
      <c r="O32" s="313"/>
      <c r="P32" s="312"/>
    </row>
    <row r="33" spans="1:16" s="70" customFormat="1" ht="12" customHeight="1">
      <c r="A33" s="70" t="s">
        <v>353</v>
      </c>
      <c r="O33" s="500"/>
      <c r="P33" s="82"/>
    </row>
    <row r="34" spans="1:16" s="90" customFormat="1">
      <c r="K34" s="664"/>
    </row>
    <row r="35" spans="1:16" s="862" customFormat="1">
      <c r="H35" s="137"/>
    </row>
    <row r="36" spans="1:16" s="312" customFormat="1" ht="12.9" thickBot="1">
      <c r="A36" s="593" t="s">
        <v>60</v>
      </c>
      <c r="B36" s="598"/>
      <c r="C36" s="1068">
        <v>3429</v>
      </c>
      <c r="D36" s="580">
        <v>2748</v>
      </c>
      <c r="E36" s="1065">
        <v>672</v>
      </c>
      <c r="F36" s="580">
        <v>1131</v>
      </c>
      <c r="G36" s="580">
        <v>1128</v>
      </c>
      <c r="H36" s="1065">
        <v>1173</v>
      </c>
      <c r="I36" s="580">
        <v>1209</v>
      </c>
      <c r="J36" s="1066">
        <v>312</v>
      </c>
      <c r="K36" s="1068">
        <v>1101</v>
      </c>
      <c r="L36" s="580">
        <v>924</v>
      </c>
      <c r="M36" s="1065">
        <v>189</v>
      </c>
      <c r="N36" s="1068">
        <v>990</v>
      </c>
      <c r="O36" s="580">
        <v>825</v>
      </c>
      <c r="P36" s="1039">
        <v>174</v>
      </c>
    </row>
    <row r="37" spans="1:16" s="312" customFormat="1" ht="12.9" thickBot="1">
      <c r="A37" s="593" t="s">
        <v>384</v>
      </c>
      <c r="B37" s="598"/>
      <c r="C37" s="1321">
        <f t="shared" ref="C37:P37" si="0">C30-C36</f>
        <v>6</v>
      </c>
      <c r="D37" s="1297">
        <f t="shared" si="0"/>
        <v>6</v>
      </c>
      <c r="E37" s="1298">
        <f t="shared" si="0"/>
        <v>6</v>
      </c>
      <c r="F37" s="1322">
        <f t="shared" si="0"/>
        <v>3</v>
      </c>
      <c r="G37" s="1297">
        <f t="shared" si="0"/>
        <v>3</v>
      </c>
      <c r="H37" s="1296">
        <f t="shared" si="0"/>
        <v>-6</v>
      </c>
      <c r="I37" s="1305">
        <f t="shared" si="0"/>
        <v>0</v>
      </c>
      <c r="J37" s="1336">
        <f t="shared" si="0"/>
        <v>-3</v>
      </c>
      <c r="K37" s="1321">
        <f t="shared" si="0"/>
        <v>6</v>
      </c>
      <c r="L37" s="1295">
        <f t="shared" si="0"/>
        <v>-3</v>
      </c>
      <c r="M37" s="1296">
        <f t="shared" si="0"/>
        <v>-3</v>
      </c>
      <c r="N37" s="1321">
        <f t="shared" si="0"/>
        <v>6</v>
      </c>
      <c r="O37" s="1295">
        <f t="shared" si="0"/>
        <v>-3</v>
      </c>
      <c r="P37" s="1349">
        <f t="shared" si="0"/>
        <v>-3</v>
      </c>
    </row>
    <row r="38" spans="1:16" s="312" customFormat="1">
      <c r="I38" s="138"/>
    </row>
    <row r="39" spans="1:16" s="312" customFormat="1"/>
    <row r="40" spans="1:16" s="312" customFormat="1"/>
  </sheetData>
  <mergeCells count="6">
    <mergeCell ref="A2:E2"/>
    <mergeCell ref="K6:P6"/>
    <mergeCell ref="A4:P4"/>
    <mergeCell ref="A6:B12"/>
    <mergeCell ref="N7:P8"/>
    <mergeCell ref="C6:H7"/>
  </mergeCells>
  <printOptions horizontalCentered="1"/>
  <pageMargins left="0.98425196850393704" right="0.98425196850393704" top="0.78740157480314965" bottom="0.70866141732283472" header="0.51181102362204722" footer="0.51181102362204722"/>
  <pageSetup paperSize="9" orientation="landscape" r:id="rId1"/>
  <headerFooter alignWithMargins="0">
    <oddHeader>&amp;C&amp;"Arial,Standard"&amp;8- 17 -&amp;R&amp;8&amp;D</oddHeader>
    <oddFooter>&amp;R
&amp;12...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>
    <tabColor theme="0" tint="-0.499984740745262"/>
  </sheetPr>
  <dimension ref="A1:P37"/>
  <sheetViews>
    <sheetView zoomScaleNormal="100" zoomScaleSheetLayoutView="100" workbookViewId="0">
      <selection activeCell="O37" sqref="O37"/>
    </sheetView>
  </sheetViews>
  <sheetFormatPr baseColWidth="10" defaultColWidth="11.3828125" defaultRowHeight="14.15"/>
  <cols>
    <col min="1" max="1" width="5.69140625" style="37" customWidth="1"/>
    <col min="2" max="2" width="0.84375" style="37" customWidth="1"/>
    <col min="3" max="8" width="7.69140625" style="37" customWidth="1"/>
    <col min="9" max="10" width="10.69140625" style="268" customWidth="1"/>
    <col min="11" max="16" width="7.69140625" style="37" customWidth="1"/>
    <col min="17" max="16384" width="11.3828125" style="37"/>
  </cols>
  <sheetData>
    <row r="1" spans="1:16" ht="13.2" customHeight="1"/>
    <row r="2" spans="1:16" s="865" customFormat="1" ht="13.2" customHeight="1">
      <c r="A2" s="728" t="s">
        <v>213</v>
      </c>
      <c r="B2" s="863"/>
      <c r="C2" s="863"/>
      <c r="D2" s="863"/>
      <c r="E2" s="863"/>
      <c r="F2" s="235"/>
      <c r="G2" s="235"/>
      <c r="H2" s="235"/>
      <c r="I2" s="856"/>
      <c r="J2" s="864" t="s">
        <v>40</v>
      </c>
      <c r="K2" s="857"/>
      <c r="L2" s="235"/>
      <c r="M2" s="235"/>
      <c r="N2" s="534"/>
    </row>
    <row r="3" spans="1:16" ht="10.95" customHeight="1">
      <c r="A3" s="991"/>
      <c r="B3" s="991"/>
      <c r="C3" s="866"/>
      <c r="D3" s="866"/>
      <c r="E3" s="866"/>
      <c r="F3" s="866"/>
      <c r="G3" s="866"/>
      <c r="H3" s="866"/>
      <c r="I3" s="864"/>
      <c r="J3" s="37"/>
      <c r="K3" s="866"/>
      <c r="L3" s="866"/>
      <c r="M3" s="866" t="s">
        <v>40</v>
      </c>
      <c r="N3" s="866"/>
    </row>
    <row r="4" spans="1:16" ht="13.95" customHeight="1">
      <c r="A4" s="1526" t="s">
        <v>157</v>
      </c>
      <c r="B4" s="1526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16" ht="10.95" customHeight="1" thickBot="1">
      <c r="A5" s="867"/>
      <c r="B5" s="867"/>
      <c r="C5" s="867"/>
      <c r="D5" s="867"/>
      <c r="E5" s="867"/>
      <c r="F5" s="867"/>
      <c r="G5" s="867"/>
      <c r="H5" s="867"/>
      <c r="I5" s="868"/>
      <c r="J5" s="868"/>
      <c r="K5" s="867"/>
      <c r="L5" s="867"/>
      <c r="M5" s="867"/>
      <c r="N5" s="867"/>
    </row>
    <row r="6" spans="1:16" ht="24.65" customHeight="1">
      <c r="A6" s="1501" t="s">
        <v>43</v>
      </c>
      <c r="B6" s="1532"/>
      <c r="C6" s="1514" t="s">
        <v>358</v>
      </c>
      <c r="D6" s="1514" t="s">
        <v>115</v>
      </c>
      <c r="E6" s="1514" t="s">
        <v>115</v>
      </c>
      <c r="F6" s="1514" t="s">
        <v>115</v>
      </c>
      <c r="G6" s="1514" t="s">
        <v>115</v>
      </c>
      <c r="H6" s="1515" t="s">
        <v>115</v>
      </c>
      <c r="I6" s="344" t="s">
        <v>0</v>
      </c>
      <c r="J6" s="501" t="s">
        <v>1</v>
      </c>
      <c r="K6" s="1510" t="s">
        <v>217</v>
      </c>
      <c r="L6" s="1530"/>
      <c r="M6" s="1530"/>
      <c r="N6" s="1530"/>
      <c r="O6" s="1530"/>
      <c r="P6" s="1531"/>
    </row>
    <row r="7" spans="1:16" ht="12" customHeight="1">
      <c r="A7" s="1533"/>
      <c r="B7" s="1534"/>
      <c r="C7" s="1528"/>
      <c r="D7" s="1528"/>
      <c r="E7" s="1528"/>
      <c r="F7" s="1528"/>
      <c r="G7" s="1528"/>
      <c r="H7" s="1529"/>
      <c r="I7" s="97" t="s">
        <v>3</v>
      </c>
      <c r="J7" s="502" t="s">
        <v>4</v>
      </c>
      <c r="K7" s="519"/>
      <c r="L7" s="19"/>
      <c r="M7" s="20"/>
      <c r="N7" s="503" t="s">
        <v>312</v>
      </c>
      <c r="O7" s="19"/>
      <c r="P7" s="423"/>
    </row>
    <row r="8" spans="1:16" ht="12" customHeight="1">
      <c r="A8" s="1533"/>
      <c r="B8" s="1534"/>
      <c r="C8" s="600"/>
      <c r="D8" s="208"/>
      <c r="E8" s="208"/>
      <c r="F8" s="21" t="s">
        <v>165</v>
      </c>
      <c r="G8" s="21"/>
      <c r="H8" s="40"/>
      <c r="I8" s="97" t="s">
        <v>8</v>
      </c>
      <c r="J8" s="502" t="s">
        <v>8</v>
      </c>
      <c r="K8" s="418"/>
      <c r="L8" s="208"/>
      <c r="M8" s="417"/>
      <c r="N8" s="503" t="s">
        <v>187</v>
      </c>
      <c r="O8" s="208"/>
      <c r="P8" s="428"/>
    </row>
    <row r="9" spans="1:16" ht="12" customHeight="1">
      <c r="A9" s="1533"/>
      <c r="B9" s="1534"/>
      <c r="C9" s="1124"/>
      <c r="D9" s="1124"/>
      <c r="E9" s="1123"/>
      <c r="F9" s="26" t="s">
        <v>295</v>
      </c>
      <c r="G9" s="21"/>
      <c r="H9" s="40"/>
      <c r="I9" s="97" t="s">
        <v>20</v>
      </c>
      <c r="J9" s="502" t="s">
        <v>20</v>
      </c>
      <c r="K9" s="418"/>
      <c r="L9" s="208"/>
      <c r="M9" s="417"/>
      <c r="N9" s="414"/>
      <c r="O9" s="414"/>
      <c r="P9" s="419"/>
    </row>
    <row r="10" spans="1:16" ht="12" customHeight="1">
      <c r="A10" s="1533"/>
      <c r="B10" s="1534"/>
      <c r="C10" s="599" t="s">
        <v>19</v>
      </c>
      <c r="D10" s="19" t="s">
        <v>17</v>
      </c>
      <c r="E10" s="19" t="s">
        <v>18</v>
      </c>
      <c r="F10" s="499"/>
      <c r="G10" s="499"/>
      <c r="H10" s="499"/>
      <c r="I10" s="97" t="s">
        <v>33</v>
      </c>
      <c r="J10" s="502" t="s">
        <v>33</v>
      </c>
      <c r="K10" s="20" t="s">
        <v>19</v>
      </c>
      <c r="L10" s="424" t="s">
        <v>17</v>
      </c>
      <c r="M10" s="19" t="s">
        <v>18</v>
      </c>
      <c r="N10" s="20" t="s">
        <v>19</v>
      </c>
      <c r="O10" s="424" t="s">
        <v>17</v>
      </c>
      <c r="P10" s="503" t="s">
        <v>18</v>
      </c>
    </row>
    <row r="11" spans="1:16" ht="12" customHeight="1">
      <c r="A11" s="1533"/>
      <c r="B11" s="1534"/>
      <c r="C11" s="599" t="s">
        <v>29</v>
      </c>
      <c r="D11" s="19" t="s">
        <v>28</v>
      </c>
      <c r="E11" s="19" t="s">
        <v>28</v>
      </c>
      <c r="F11" s="331" t="s">
        <v>30</v>
      </c>
      <c r="G11" s="331" t="s">
        <v>31</v>
      </c>
      <c r="H11" s="505" t="s">
        <v>32</v>
      </c>
      <c r="I11" s="97" t="s">
        <v>39</v>
      </c>
      <c r="J11" s="502" t="s">
        <v>39</v>
      </c>
      <c r="K11" s="20" t="s">
        <v>29</v>
      </c>
      <c r="L11" s="424" t="s">
        <v>28</v>
      </c>
      <c r="M11" s="19" t="s">
        <v>34</v>
      </c>
      <c r="N11" s="20" t="s">
        <v>29</v>
      </c>
      <c r="O11" s="424" t="s">
        <v>28</v>
      </c>
      <c r="P11" s="503" t="s">
        <v>34</v>
      </c>
    </row>
    <row r="12" spans="1:16" ht="10.95" customHeight="1">
      <c r="A12" s="1535"/>
      <c r="B12" s="1536"/>
      <c r="C12" s="657"/>
      <c r="D12" s="507"/>
      <c r="E12" s="507"/>
      <c r="F12" s="508"/>
      <c r="G12" s="508"/>
      <c r="H12" s="509"/>
      <c r="I12" s="510"/>
      <c r="J12" s="511"/>
      <c r="K12" s="506"/>
      <c r="L12" s="512"/>
      <c r="M12" s="507"/>
      <c r="N12" s="506"/>
      <c r="O12" s="512"/>
      <c r="P12" s="416"/>
    </row>
    <row r="13" spans="1:16" ht="15" customHeight="1">
      <c r="A13" s="592" t="s">
        <v>58</v>
      </c>
      <c r="B13" s="558"/>
      <c r="C13" s="1078">
        <v>3</v>
      </c>
      <c r="D13" s="1076">
        <v>3</v>
      </c>
      <c r="E13" s="1077">
        <v>0</v>
      </c>
      <c r="F13" s="1076">
        <v>0</v>
      </c>
      <c r="G13" s="1076">
        <v>0</v>
      </c>
      <c r="H13" s="1077">
        <v>3</v>
      </c>
      <c r="I13" s="1067">
        <v>3</v>
      </c>
      <c r="J13" s="1067">
        <v>0</v>
      </c>
      <c r="K13" s="1080">
        <v>0</v>
      </c>
      <c r="L13" s="1076">
        <v>0</v>
      </c>
      <c r="M13" s="1077">
        <v>0</v>
      </c>
      <c r="N13" s="1080">
        <v>0</v>
      </c>
      <c r="O13" s="1076">
        <v>0</v>
      </c>
      <c r="P13" s="1084">
        <v>0</v>
      </c>
    </row>
    <row r="14" spans="1:16" ht="15" customHeight="1">
      <c r="A14" s="592" t="s">
        <v>49</v>
      </c>
      <c r="B14" s="121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16" ht="15" customHeight="1">
      <c r="A15" s="592" t="s">
        <v>52</v>
      </c>
      <c r="B15" s="121"/>
      <c r="C15" s="1069">
        <v>12</v>
      </c>
      <c r="D15" s="5">
        <v>12</v>
      </c>
      <c r="E15" s="396">
        <v>0</v>
      </c>
      <c r="F15" s="5">
        <v>0</v>
      </c>
      <c r="G15" s="5">
        <v>6</v>
      </c>
      <c r="H15" s="396">
        <v>6</v>
      </c>
      <c r="I15" s="396">
        <v>6</v>
      </c>
      <c r="J15" s="396">
        <v>3</v>
      </c>
      <c r="K15" s="1081">
        <v>3</v>
      </c>
      <c r="L15" s="5">
        <v>3</v>
      </c>
      <c r="M15" s="396">
        <v>0</v>
      </c>
      <c r="N15" s="1081">
        <v>3</v>
      </c>
      <c r="O15" s="5">
        <v>3</v>
      </c>
      <c r="P15" s="1038">
        <v>0</v>
      </c>
    </row>
    <row r="16" spans="1:16" s="52" customFormat="1" ht="15" customHeight="1">
      <c r="A16" s="592" t="s">
        <v>48</v>
      </c>
      <c r="B16" s="557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57"/>
      <c r="C17" s="1069">
        <v>9</v>
      </c>
      <c r="D17" s="5">
        <v>9</v>
      </c>
      <c r="E17" s="396">
        <v>0</v>
      </c>
      <c r="F17" s="5">
        <v>0</v>
      </c>
      <c r="G17" s="5">
        <v>6</v>
      </c>
      <c r="H17" s="396">
        <v>3</v>
      </c>
      <c r="I17" s="396">
        <v>6</v>
      </c>
      <c r="J17" s="396">
        <v>0</v>
      </c>
      <c r="K17" s="1081">
        <v>3</v>
      </c>
      <c r="L17" s="5">
        <v>3</v>
      </c>
      <c r="M17" s="396">
        <v>0</v>
      </c>
      <c r="N17" s="1081">
        <v>3</v>
      </c>
      <c r="O17" s="5">
        <v>3</v>
      </c>
      <c r="P17" s="1038">
        <v>0</v>
      </c>
    </row>
    <row r="18" spans="1:16" ht="15" customHeight="1">
      <c r="A18" s="592" t="s">
        <v>50</v>
      </c>
      <c r="B18" s="558"/>
      <c r="C18" s="1069">
        <v>6</v>
      </c>
      <c r="D18" s="5">
        <v>6</v>
      </c>
      <c r="E18" s="396">
        <v>0</v>
      </c>
      <c r="F18" s="5">
        <v>0</v>
      </c>
      <c r="G18" s="5">
        <v>3</v>
      </c>
      <c r="H18" s="396">
        <v>3</v>
      </c>
      <c r="I18" s="396">
        <v>3</v>
      </c>
      <c r="J18" s="396">
        <v>0</v>
      </c>
      <c r="K18" s="1081">
        <v>0</v>
      </c>
      <c r="L18" s="5">
        <v>0</v>
      </c>
      <c r="M18" s="396">
        <v>0</v>
      </c>
      <c r="N18" s="1081">
        <v>0</v>
      </c>
      <c r="O18" s="5">
        <v>0</v>
      </c>
      <c r="P18" s="1038">
        <v>0</v>
      </c>
    </row>
    <row r="19" spans="1:16" ht="15" customHeight="1">
      <c r="A19" s="592" t="s">
        <v>54</v>
      </c>
      <c r="B19" s="558"/>
      <c r="C19" s="1069">
        <v>9</v>
      </c>
      <c r="D19" s="5">
        <v>9</v>
      </c>
      <c r="E19" s="396">
        <v>0</v>
      </c>
      <c r="F19" s="5">
        <v>0</v>
      </c>
      <c r="G19" s="5">
        <v>6</v>
      </c>
      <c r="H19" s="396">
        <v>3</v>
      </c>
      <c r="I19" s="396">
        <v>6</v>
      </c>
      <c r="J19" s="396">
        <v>3</v>
      </c>
      <c r="K19" s="1081">
        <v>3</v>
      </c>
      <c r="L19" s="5">
        <v>3</v>
      </c>
      <c r="M19" s="396">
        <v>0</v>
      </c>
      <c r="N19" s="1081">
        <v>3</v>
      </c>
      <c r="O19" s="5">
        <v>3</v>
      </c>
      <c r="P19" s="1038">
        <v>0</v>
      </c>
    </row>
    <row r="20" spans="1:16" ht="15" customHeight="1">
      <c r="A20" s="592" t="s">
        <v>44</v>
      </c>
      <c r="B20" s="121"/>
      <c r="C20" s="1069">
        <v>0</v>
      </c>
      <c r="D20" s="5">
        <v>0</v>
      </c>
      <c r="E20" s="396">
        <v>0</v>
      </c>
      <c r="F20" s="5">
        <v>0</v>
      </c>
      <c r="G20" s="5">
        <v>0</v>
      </c>
      <c r="H20" s="396">
        <v>0</v>
      </c>
      <c r="I20" s="396">
        <v>0</v>
      </c>
      <c r="J20" s="396">
        <v>0</v>
      </c>
      <c r="K20" s="1081">
        <v>0</v>
      </c>
      <c r="L20" s="5">
        <v>0</v>
      </c>
      <c r="M20" s="396">
        <v>0</v>
      </c>
      <c r="N20" s="1081">
        <v>0</v>
      </c>
      <c r="O20" s="5">
        <v>0</v>
      </c>
      <c r="P20" s="1038">
        <v>0</v>
      </c>
    </row>
    <row r="21" spans="1:16" ht="15" customHeight="1">
      <c r="A21" s="592" t="s">
        <v>45</v>
      </c>
      <c r="B21" s="121"/>
      <c r="C21" s="1069">
        <v>15</v>
      </c>
      <c r="D21" s="5">
        <v>15</v>
      </c>
      <c r="E21" s="396">
        <v>0</v>
      </c>
      <c r="F21" s="5">
        <v>0</v>
      </c>
      <c r="G21" s="5">
        <v>0</v>
      </c>
      <c r="H21" s="396">
        <v>15</v>
      </c>
      <c r="I21" s="396">
        <v>0</v>
      </c>
      <c r="J21" s="396">
        <v>0</v>
      </c>
      <c r="K21" s="1081">
        <v>3</v>
      </c>
      <c r="L21" s="5">
        <v>3</v>
      </c>
      <c r="M21" s="396">
        <v>0</v>
      </c>
      <c r="N21" s="1081">
        <v>3</v>
      </c>
      <c r="O21" s="5">
        <v>3</v>
      </c>
      <c r="P21" s="1038">
        <v>0</v>
      </c>
    </row>
    <row r="22" spans="1:16" ht="15" customHeight="1">
      <c r="A22" s="592" t="s">
        <v>55</v>
      </c>
      <c r="B22" s="558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121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58"/>
      <c r="C24" s="1069">
        <v>3</v>
      </c>
      <c r="D24" s="5">
        <v>3</v>
      </c>
      <c r="E24" s="396">
        <v>0</v>
      </c>
      <c r="F24" s="5">
        <v>0</v>
      </c>
      <c r="G24" s="5">
        <v>0</v>
      </c>
      <c r="H24" s="396">
        <v>3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</row>
    <row r="25" spans="1:16" ht="15" customHeight="1">
      <c r="A25" s="592" t="s">
        <v>51</v>
      </c>
      <c r="B25" s="121"/>
      <c r="C25" s="1069">
        <v>3</v>
      </c>
      <c r="D25" s="5">
        <v>3</v>
      </c>
      <c r="E25" s="396">
        <v>0</v>
      </c>
      <c r="F25" s="5">
        <v>0</v>
      </c>
      <c r="G25" s="5">
        <v>0</v>
      </c>
      <c r="H25" s="396">
        <v>3</v>
      </c>
      <c r="I25" s="396">
        <v>3</v>
      </c>
      <c r="J25" s="396">
        <v>0</v>
      </c>
      <c r="K25" s="1081">
        <v>0</v>
      </c>
      <c r="L25" s="5">
        <v>0</v>
      </c>
      <c r="M25" s="396">
        <v>0</v>
      </c>
      <c r="N25" s="1081">
        <v>0</v>
      </c>
      <c r="O25" s="5">
        <v>0</v>
      </c>
      <c r="P25" s="1038">
        <v>0</v>
      </c>
    </row>
    <row r="26" spans="1:16" ht="15" customHeight="1">
      <c r="A26" s="592" t="s">
        <v>56</v>
      </c>
      <c r="B26" s="121"/>
      <c r="C26" s="1069">
        <v>0</v>
      </c>
      <c r="D26" s="5">
        <v>0</v>
      </c>
      <c r="E26" s="396">
        <v>0</v>
      </c>
      <c r="F26" s="5">
        <v>0</v>
      </c>
      <c r="G26" s="5">
        <v>0</v>
      </c>
      <c r="H26" s="396">
        <v>0</v>
      </c>
      <c r="I26" s="396">
        <v>0</v>
      </c>
      <c r="J26" s="396">
        <v>0</v>
      </c>
      <c r="K26" s="1081">
        <v>0</v>
      </c>
      <c r="L26" s="5">
        <v>0</v>
      </c>
      <c r="M26" s="396">
        <v>0</v>
      </c>
      <c r="N26" s="1081">
        <v>0</v>
      </c>
      <c r="O26" s="5">
        <v>0</v>
      </c>
      <c r="P26" s="1038">
        <v>0</v>
      </c>
    </row>
    <row r="27" spans="1:16" s="254" customFormat="1" ht="15" customHeight="1">
      <c r="A27" s="592" t="s">
        <v>57</v>
      </c>
      <c r="B27" s="122"/>
      <c r="C27" s="1069">
        <v>0</v>
      </c>
      <c r="D27" s="5">
        <v>0</v>
      </c>
      <c r="E27" s="396">
        <v>0</v>
      </c>
      <c r="F27" s="5">
        <v>0</v>
      </c>
      <c r="G27" s="5">
        <v>0</v>
      </c>
      <c r="H27" s="396">
        <v>0</v>
      </c>
      <c r="I27" s="396">
        <v>0</v>
      </c>
      <c r="J27" s="396">
        <v>0</v>
      </c>
      <c r="K27" s="1081">
        <v>0</v>
      </c>
      <c r="L27" s="5">
        <v>0</v>
      </c>
      <c r="M27" s="396">
        <v>0</v>
      </c>
      <c r="N27" s="1081">
        <v>0</v>
      </c>
      <c r="O27" s="5">
        <v>0</v>
      </c>
      <c r="P27" s="1038">
        <v>0</v>
      </c>
    </row>
    <row r="28" spans="1:16" s="267" customFormat="1" ht="15" customHeight="1">
      <c r="A28" s="592" t="s">
        <v>59</v>
      </c>
      <c r="B28" s="122"/>
      <c r="C28" s="1069">
        <v>0</v>
      </c>
      <c r="D28" s="5">
        <v>0</v>
      </c>
      <c r="E28" s="396">
        <v>0</v>
      </c>
      <c r="F28" s="5">
        <v>0</v>
      </c>
      <c r="G28" s="5">
        <v>0</v>
      </c>
      <c r="H28" s="396">
        <v>0</v>
      </c>
      <c r="I28" s="1037">
        <v>0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16" s="336" customFormat="1" ht="4.5" customHeight="1">
      <c r="A29" s="329"/>
      <c r="B29" s="557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254" customFormat="1" ht="21" customHeight="1" thickBot="1">
      <c r="A30" s="593" t="s">
        <v>60</v>
      </c>
      <c r="B30" s="541"/>
      <c r="C30" s="1068">
        <v>66</v>
      </c>
      <c r="D30" s="580">
        <v>63</v>
      </c>
      <c r="E30" s="1065">
        <v>0</v>
      </c>
      <c r="F30" s="580">
        <v>0</v>
      </c>
      <c r="G30" s="580">
        <v>21</v>
      </c>
      <c r="H30" s="1065">
        <v>42</v>
      </c>
      <c r="I30" s="1066">
        <v>30</v>
      </c>
      <c r="J30" s="1066">
        <v>9</v>
      </c>
      <c r="K30" s="580">
        <v>18</v>
      </c>
      <c r="L30" s="580">
        <v>15</v>
      </c>
      <c r="M30" s="1065">
        <v>0</v>
      </c>
      <c r="N30" s="580">
        <v>15</v>
      </c>
      <c r="O30" s="580">
        <v>15</v>
      </c>
      <c r="P30" s="1039">
        <v>0</v>
      </c>
    </row>
    <row r="31" spans="1:16" ht="3.65" customHeight="1">
      <c r="A31" s="71"/>
      <c r="B31" s="71"/>
    </row>
    <row r="32" spans="1:16" s="254" customFormat="1" ht="10.95" customHeight="1">
      <c r="A32" s="70" t="s">
        <v>310</v>
      </c>
      <c r="B32" s="70"/>
      <c r="C32" s="37"/>
      <c r="D32" s="37"/>
      <c r="E32" s="37"/>
      <c r="F32" s="37"/>
      <c r="G32" s="37"/>
      <c r="H32" s="37"/>
      <c r="I32" s="268"/>
      <c r="J32" s="268"/>
      <c r="K32" s="37"/>
      <c r="L32" s="37"/>
      <c r="M32" s="37"/>
      <c r="N32" s="37"/>
    </row>
    <row r="33" spans="1:16" ht="13.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585"/>
      <c r="N33" s="585"/>
    </row>
    <row r="36" spans="1:16" ht="14.6" thickBot="1">
      <c r="A36" s="593" t="s">
        <v>60</v>
      </c>
      <c r="B36" s="598"/>
      <c r="C36" s="1068">
        <v>60</v>
      </c>
      <c r="D36" s="580">
        <v>60</v>
      </c>
      <c r="E36" s="1065">
        <v>0</v>
      </c>
      <c r="F36" s="580">
        <v>0</v>
      </c>
      <c r="G36" s="580">
        <v>21</v>
      </c>
      <c r="H36" s="1065">
        <v>39</v>
      </c>
      <c r="I36" s="580">
        <v>27</v>
      </c>
      <c r="J36" s="1066">
        <v>6</v>
      </c>
      <c r="K36" s="1068">
        <v>12</v>
      </c>
      <c r="L36" s="580">
        <v>12</v>
      </c>
      <c r="M36" s="1065">
        <v>0</v>
      </c>
      <c r="N36" s="1068">
        <v>12</v>
      </c>
      <c r="O36" s="580">
        <v>12</v>
      </c>
      <c r="P36" s="1039">
        <v>0</v>
      </c>
    </row>
    <row r="37" spans="1:16" ht="14.6" thickBot="1">
      <c r="A37" s="593" t="s">
        <v>384</v>
      </c>
      <c r="B37" s="598"/>
      <c r="C37" s="1321">
        <f t="shared" ref="C37:P37" si="0">C30-C36</f>
        <v>6</v>
      </c>
      <c r="D37" s="1297">
        <f t="shared" si="0"/>
        <v>3</v>
      </c>
      <c r="E37" s="1311">
        <f t="shared" si="0"/>
        <v>0</v>
      </c>
      <c r="F37" s="1323">
        <f t="shared" si="0"/>
        <v>0</v>
      </c>
      <c r="G37" s="1305">
        <f t="shared" si="0"/>
        <v>0</v>
      </c>
      <c r="H37" s="1298">
        <f t="shared" si="0"/>
        <v>3</v>
      </c>
      <c r="I37" s="1297">
        <f t="shared" si="0"/>
        <v>3</v>
      </c>
      <c r="J37" s="1337">
        <f t="shared" si="0"/>
        <v>3</v>
      </c>
      <c r="K37" s="1321">
        <f t="shared" si="0"/>
        <v>6</v>
      </c>
      <c r="L37" s="1297">
        <f t="shared" si="0"/>
        <v>3</v>
      </c>
      <c r="M37" s="1311">
        <f t="shared" si="0"/>
        <v>0</v>
      </c>
      <c r="N37" s="1321">
        <f t="shared" si="0"/>
        <v>3</v>
      </c>
      <c r="O37" s="1297">
        <f t="shared" si="0"/>
        <v>3</v>
      </c>
      <c r="P37" s="1350">
        <f t="shared" si="0"/>
        <v>0</v>
      </c>
    </row>
  </sheetData>
  <mergeCells count="4">
    <mergeCell ref="C6:H7"/>
    <mergeCell ref="K6:P6"/>
    <mergeCell ref="A4:P4"/>
    <mergeCell ref="A6:B1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6" orientation="landscape" r:id="rId1"/>
  <headerFooter alignWithMargins="0">
    <oddHeader>&amp;C&amp;"Arial,Standard"&amp;8- 18 -&amp;R&amp;8&amp;D</oddHeader>
    <oddFooter>&amp;R
&amp;12...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>
    <tabColor theme="0" tint="-0.499984740745262"/>
  </sheetPr>
  <dimension ref="A1:AB41"/>
  <sheetViews>
    <sheetView zoomScaleNormal="100" zoomScaleSheetLayoutView="100" workbookViewId="0">
      <selection activeCell="N30" sqref="N30"/>
    </sheetView>
  </sheetViews>
  <sheetFormatPr baseColWidth="10" defaultColWidth="11.3828125" defaultRowHeight="14.15"/>
  <cols>
    <col min="1" max="1" width="5.69140625" style="986" customWidth="1"/>
    <col min="2" max="2" width="0.84375" style="986" customWidth="1"/>
    <col min="3" max="8" width="7.69140625" style="37" customWidth="1"/>
    <col min="9" max="10" width="10.69140625" style="268" customWidth="1"/>
    <col min="11" max="16" width="7.69140625" style="37" customWidth="1"/>
    <col min="17" max="16384" width="11.3828125" style="37"/>
  </cols>
  <sheetData>
    <row r="1" spans="1:28" ht="13.2" customHeight="1"/>
    <row r="2" spans="1:28" ht="13.2" customHeight="1">
      <c r="A2" s="728" t="s">
        <v>213</v>
      </c>
      <c r="B2" s="863"/>
      <c r="C2" s="863"/>
      <c r="D2" s="870"/>
      <c r="E2" s="54"/>
      <c r="F2" s="235"/>
      <c r="G2" s="235"/>
      <c r="H2" s="235"/>
      <c r="I2" s="235"/>
      <c r="J2" s="856"/>
      <c r="K2" s="871"/>
      <c r="L2" s="857"/>
      <c r="M2" s="235"/>
      <c r="N2" s="534"/>
    </row>
    <row r="3" spans="1:28" ht="10.95" customHeight="1">
      <c r="A3" s="992"/>
      <c r="B3" s="992"/>
      <c r="C3" s="871"/>
      <c r="D3" s="871"/>
      <c r="E3" s="871"/>
      <c r="F3" s="871"/>
      <c r="G3" s="871"/>
      <c r="H3" s="871"/>
      <c r="I3" s="872"/>
      <c r="J3" s="872"/>
      <c r="L3" s="871"/>
      <c r="M3" s="871"/>
      <c r="N3" s="871" t="s">
        <v>40</v>
      </c>
    </row>
    <row r="4" spans="1:28" s="72" customFormat="1" ht="13.95" customHeight="1">
      <c r="A4" s="1526" t="s">
        <v>218</v>
      </c>
      <c r="B4" s="1526"/>
      <c r="C4" s="1526"/>
      <c r="D4" s="1526"/>
      <c r="E4" s="1526"/>
      <c r="F4" s="1526"/>
      <c r="G4" s="1526"/>
      <c r="H4" s="1526"/>
      <c r="I4" s="1526"/>
      <c r="J4" s="1526"/>
      <c r="K4" s="1526"/>
      <c r="L4" s="1526"/>
      <c r="M4" s="1526"/>
      <c r="N4" s="1526"/>
      <c r="O4" s="1527"/>
      <c r="P4" s="1527"/>
    </row>
    <row r="5" spans="1:28" ht="10.95" customHeight="1" thickBot="1">
      <c r="A5" s="993"/>
      <c r="B5" s="993"/>
      <c r="C5" s="873"/>
      <c r="D5" s="873"/>
      <c r="E5" s="873"/>
      <c r="F5" s="873"/>
      <c r="G5" s="873"/>
      <c r="H5" s="873"/>
      <c r="I5" s="874"/>
      <c r="J5" s="874"/>
      <c r="K5" s="873"/>
      <c r="L5" s="873"/>
      <c r="M5" s="873"/>
      <c r="N5" s="873"/>
    </row>
    <row r="6" spans="1:28" s="254" customFormat="1" ht="24.65" customHeight="1">
      <c r="A6" s="1603" t="s">
        <v>43</v>
      </c>
      <c r="B6" s="1532"/>
      <c r="C6" s="1604" t="s">
        <v>358</v>
      </c>
      <c r="D6" s="1604" t="s">
        <v>115</v>
      </c>
      <c r="E6" s="1604" t="s">
        <v>115</v>
      </c>
      <c r="F6" s="1604" t="s">
        <v>115</v>
      </c>
      <c r="G6" s="1604" t="s">
        <v>115</v>
      </c>
      <c r="H6" s="1605" t="s">
        <v>115</v>
      </c>
      <c r="I6" s="875" t="s">
        <v>0</v>
      </c>
      <c r="J6" s="875" t="s">
        <v>1</v>
      </c>
      <c r="K6" s="1611" t="s">
        <v>210</v>
      </c>
      <c r="L6" s="1601"/>
      <c r="M6" s="1601"/>
      <c r="N6" s="1601"/>
      <c r="O6" s="1601"/>
      <c r="P6" s="1602"/>
    </row>
    <row r="7" spans="1:28" s="254" customFormat="1" ht="12" customHeight="1">
      <c r="A7" s="1533"/>
      <c r="B7" s="1534"/>
      <c r="C7" s="1606"/>
      <c r="D7" s="1606"/>
      <c r="E7" s="1606"/>
      <c r="F7" s="1606"/>
      <c r="G7" s="1606"/>
      <c r="H7" s="1607"/>
      <c r="I7" s="876" t="s">
        <v>3</v>
      </c>
      <c r="J7" s="876" t="s">
        <v>4</v>
      </c>
      <c r="K7" s="877"/>
      <c r="L7" s="876"/>
      <c r="M7" s="878"/>
      <c r="N7" s="1608" t="s">
        <v>312</v>
      </c>
      <c r="O7" s="1609"/>
      <c r="P7" s="1610"/>
    </row>
    <row r="8" spans="1:28" s="254" customFormat="1" ht="12" customHeight="1">
      <c r="A8" s="1533"/>
      <c r="B8" s="1534"/>
      <c r="C8" s="879"/>
      <c r="D8" s="880"/>
      <c r="E8" s="880"/>
      <c r="F8" s="21" t="s">
        <v>165</v>
      </c>
      <c r="G8" s="881"/>
      <c r="H8" s="882"/>
      <c r="I8" s="876" t="s">
        <v>8</v>
      </c>
      <c r="J8" s="876" t="s">
        <v>8</v>
      </c>
      <c r="K8" s="883"/>
      <c r="L8" s="880"/>
      <c r="M8" s="884"/>
      <c r="N8" s="1522" t="s">
        <v>187</v>
      </c>
      <c r="O8" s="1523"/>
      <c r="P8" s="1525"/>
      <c r="Q8" s="235"/>
      <c r="R8" s="235"/>
      <c r="S8" s="856"/>
      <c r="T8" s="235"/>
      <c r="U8" s="235"/>
    </row>
    <row r="9" spans="1:28" s="254" customFormat="1" ht="12" customHeight="1">
      <c r="A9" s="1533"/>
      <c r="B9" s="1534"/>
      <c r="C9" s="1125"/>
      <c r="D9" s="876"/>
      <c r="E9" s="876"/>
      <c r="F9" s="886" t="s">
        <v>295</v>
      </c>
      <c r="G9" s="887"/>
      <c r="H9" s="888"/>
      <c r="I9" s="876" t="s">
        <v>20</v>
      </c>
      <c r="J9" s="876" t="s">
        <v>20</v>
      </c>
      <c r="K9" s="883"/>
      <c r="L9" s="880"/>
      <c r="M9" s="889"/>
      <c r="N9" s="890"/>
      <c r="O9" s="891"/>
      <c r="P9" s="892"/>
    </row>
    <row r="10" spans="1:28" s="254" customFormat="1" ht="12" customHeight="1">
      <c r="A10" s="1533"/>
      <c r="B10" s="1534"/>
      <c r="C10" s="894" t="s">
        <v>19</v>
      </c>
      <c r="D10" s="876" t="s">
        <v>17</v>
      </c>
      <c r="E10" s="876" t="s">
        <v>18</v>
      </c>
      <c r="F10" s="893"/>
      <c r="G10" s="893"/>
      <c r="H10" s="893"/>
      <c r="I10" s="876" t="s">
        <v>33</v>
      </c>
      <c r="J10" s="876" t="s">
        <v>33</v>
      </c>
      <c r="K10" s="894" t="s">
        <v>19</v>
      </c>
      <c r="L10" s="895" t="s">
        <v>17</v>
      </c>
      <c r="M10" s="896" t="s">
        <v>18</v>
      </c>
      <c r="N10" s="897" t="s">
        <v>19</v>
      </c>
      <c r="O10" s="898" t="s">
        <v>17</v>
      </c>
      <c r="P10" s="899" t="s">
        <v>18</v>
      </c>
    </row>
    <row r="11" spans="1:28" s="254" customFormat="1" ht="12" customHeight="1">
      <c r="A11" s="1533"/>
      <c r="B11" s="1534"/>
      <c r="C11" s="894" t="s">
        <v>29</v>
      </c>
      <c r="D11" s="1126" t="s">
        <v>28</v>
      </c>
      <c r="E11" s="880" t="s">
        <v>28</v>
      </c>
      <c r="F11" s="900" t="s">
        <v>30</v>
      </c>
      <c r="G11" s="900" t="s">
        <v>31</v>
      </c>
      <c r="H11" s="901" t="s">
        <v>32</v>
      </c>
      <c r="I11" s="876" t="s">
        <v>39</v>
      </c>
      <c r="J11" s="876" t="s">
        <v>39</v>
      </c>
      <c r="K11" s="894" t="s">
        <v>29</v>
      </c>
      <c r="L11" s="895" t="s">
        <v>28</v>
      </c>
      <c r="M11" s="896" t="s">
        <v>34</v>
      </c>
      <c r="N11" s="897" t="s">
        <v>29</v>
      </c>
      <c r="O11" s="898" t="s">
        <v>28</v>
      </c>
      <c r="P11" s="899" t="s">
        <v>34</v>
      </c>
    </row>
    <row r="12" spans="1:28" s="254" customFormat="1" ht="10.95" customHeight="1">
      <c r="A12" s="1535"/>
      <c r="B12" s="1536"/>
      <c r="C12" s="885"/>
      <c r="D12" s="876"/>
      <c r="E12" s="876"/>
      <c r="F12" s="902"/>
      <c r="G12" s="902"/>
      <c r="H12" s="903"/>
      <c r="I12" s="876"/>
      <c r="J12" s="876"/>
      <c r="K12" s="904"/>
      <c r="L12" s="905"/>
      <c r="M12" s="886"/>
      <c r="N12" s="906"/>
      <c r="O12" s="905"/>
      <c r="P12" s="907"/>
    </row>
    <row r="13" spans="1:28" s="267" customFormat="1" ht="15" customHeight="1">
      <c r="A13" s="592" t="s">
        <v>58</v>
      </c>
      <c r="B13" s="601"/>
      <c r="C13" s="1078">
        <v>30</v>
      </c>
      <c r="D13" s="1076">
        <v>30</v>
      </c>
      <c r="E13" s="1077">
        <v>0</v>
      </c>
      <c r="F13" s="1076">
        <v>9</v>
      </c>
      <c r="G13" s="1076">
        <v>12</v>
      </c>
      <c r="H13" s="1077">
        <v>12</v>
      </c>
      <c r="I13" s="1067">
        <v>9</v>
      </c>
      <c r="J13" s="1067">
        <v>0</v>
      </c>
      <c r="K13" s="1080">
        <v>9</v>
      </c>
      <c r="L13" s="1076">
        <v>9</v>
      </c>
      <c r="M13" s="1077">
        <v>0</v>
      </c>
      <c r="N13" s="1080">
        <v>6</v>
      </c>
      <c r="O13" s="1076">
        <v>6</v>
      </c>
      <c r="P13" s="1084">
        <v>0</v>
      </c>
    </row>
    <row r="14" spans="1:28" ht="15" customHeight="1">
      <c r="A14" s="592" t="s">
        <v>49</v>
      </c>
      <c r="B14" s="595"/>
      <c r="C14" s="1069">
        <v>6</v>
      </c>
      <c r="D14" s="5">
        <v>6</v>
      </c>
      <c r="E14" s="396">
        <v>0</v>
      </c>
      <c r="F14" s="5">
        <v>3</v>
      </c>
      <c r="G14" s="5">
        <v>3</v>
      </c>
      <c r="H14" s="396">
        <v>0</v>
      </c>
      <c r="I14" s="396">
        <v>3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5" customHeight="1">
      <c r="A15" s="592" t="s">
        <v>52</v>
      </c>
      <c r="B15" s="595"/>
      <c r="C15" s="1069">
        <v>126</v>
      </c>
      <c r="D15" s="5">
        <v>117</v>
      </c>
      <c r="E15" s="396">
        <v>9</v>
      </c>
      <c r="F15" s="5">
        <v>42</v>
      </c>
      <c r="G15" s="5">
        <v>45</v>
      </c>
      <c r="H15" s="396">
        <v>39</v>
      </c>
      <c r="I15" s="396">
        <v>48</v>
      </c>
      <c r="J15" s="396">
        <v>3</v>
      </c>
      <c r="K15" s="1081">
        <v>45</v>
      </c>
      <c r="L15" s="5">
        <v>39</v>
      </c>
      <c r="M15" s="396">
        <v>6</v>
      </c>
      <c r="N15" s="1081">
        <v>42</v>
      </c>
      <c r="O15" s="5">
        <v>39</v>
      </c>
      <c r="P15" s="1038">
        <v>6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s="52" customFormat="1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</row>
    <row r="17" spans="1:28" ht="15" customHeight="1">
      <c r="A17" s="592" t="s">
        <v>379</v>
      </c>
      <c r="B17" s="543"/>
      <c r="C17" s="1069">
        <f>240+12</f>
        <v>252</v>
      </c>
      <c r="D17" s="5">
        <f>225+12</f>
        <v>237</v>
      </c>
      <c r="E17" s="396">
        <v>18</v>
      </c>
      <c r="F17" s="5">
        <f>72+6</f>
        <v>78</v>
      </c>
      <c r="G17" s="5">
        <f>78+3</f>
        <v>81</v>
      </c>
      <c r="H17" s="396">
        <v>93</v>
      </c>
      <c r="I17" s="396">
        <f>84+6</f>
        <v>90</v>
      </c>
      <c r="J17" s="396">
        <v>6</v>
      </c>
      <c r="K17" s="1081">
        <f>81+6</f>
        <v>87</v>
      </c>
      <c r="L17" s="5">
        <f>75+6</f>
        <v>81</v>
      </c>
      <c r="M17" s="396">
        <v>6</v>
      </c>
      <c r="N17" s="1081">
        <f>69+6</f>
        <v>75</v>
      </c>
      <c r="O17" s="5">
        <f>63+6</f>
        <v>69</v>
      </c>
      <c r="P17" s="1038">
        <v>6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s="267" customFormat="1" ht="15" customHeight="1">
      <c r="A18" s="592" t="s">
        <v>50</v>
      </c>
      <c r="B18" s="595"/>
      <c r="C18" s="1069">
        <v>99</v>
      </c>
      <c r="D18" s="5">
        <v>93</v>
      </c>
      <c r="E18" s="396">
        <v>9</v>
      </c>
      <c r="F18" s="5">
        <v>42</v>
      </c>
      <c r="G18" s="5">
        <v>30</v>
      </c>
      <c r="H18" s="396">
        <v>27</v>
      </c>
      <c r="I18" s="396">
        <v>42</v>
      </c>
      <c r="J18" s="396">
        <v>3</v>
      </c>
      <c r="K18" s="1081">
        <v>36</v>
      </c>
      <c r="L18" s="5">
        <v>36</v>
      </c>
      <c r="M18" s="396">
        <v>3</v>
      </c>
      <c r="N18" s="1081">
        <v>33</v>
      </c>
      <c r="O18" s="5">
        <v>33</v>
      </c>
      <c r="P18" s="1038">
        <v>3</v>
      </c>
    </row>
    <row r="19" spans="1:28" ht="15" customHeight="1">
      <c r="A19" s="592" t="s">
        <v>54</v>
      </c>
      <c r="B19" s="595"/>
      <c r="C19" s="1069">
        <v>114</v>
      </c>
      <c r="D19" s="5">
        <v>111</v>
      </c>
      <c r="E19" s="396">
        <v>0</v>
      </c>
      <c r="F19" s="5">
        <v>30</v>
      </c>
      <c r="G19" s="5">
        <v>36</v>
      </c>
      <c r="H19" s="396">
        <v>48</v>
      </c>
      <c r="I19" s="396">
        <v>39</v>
      </c>
      <c r="J19" s="396">
        <v>3</v>
      </c>
      <c r="K19" s="1081">
        <v>51</v>
      </c>
      <c r="L19" s="5">
        <v>51</v>
      </c>
      <c r="M19" s="396">
        <v>0</v>
      </c>
      <c r="N19" s="1081">
        <v>48</v>
      </c>
      <c r="O19" s="5">
        <v>48</v>
      </c>
      <c r="P19" s="1038">
        <v>0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5" customHeight="1">
      <c r="A20" s="592" t="s">
        <v>44</v>
      </c>
      <c r="B20" s="595"/>
      <c r="C20" s="1069">
        <v>393</v>
      </c>
      <c r="D20" s="5">
        <v>375</v>
      </c>
      <c r="E20" s="396">
        <v>21</v>
      </c>
      <c r="F20" s="5">
        <v>96</v>
      </c>
      <c r="G20" s="5">
        <v>144</v>
      </c>
      <c r="H20" s="396">
        <v>156</v>
      </c>
      <c r="I20" s="396">
        <v>141</v>
      </c>
      <c r="J20" s="396">
        <v>15</v>
      </c>
      <c r="K20" s="1081">
        <v>132</v>
      </c>
      <c r="L20" s="5">
        <v>129</v>
      </c>
      <c r="M20" s="396">
        <v>3</v>
      </c>
      <c r="N20" s="1081">
        <v>129</v>
      </c>
      <c r="O20" s="5">
        <v>126</v>
      </c>
      <c r="P20" s="1038">
        <v>3</v>
      </c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5" customHeight="1">
      <c r="A21" s="592" t="s">
        <v>45</v>
      </c>
      <c r="B21" s="595"/>
      <c r="C21" s="1069">
        <v>165</v>
      </c>
      <c r="D21" s="5">
        <v>159</v>
      </c>
      <c r="E21" s="396">
        <v>6</v>
      </c>
      <c r="F21" s="5">
        <v>42</v>
      </c>
      <c r="G21" s="5">
        <v>66</v>
      </c>
      <c r="H21" s="396">
        <v>57</v>
      </c>
      <c r="I21" s="396">
        <v>48</v>
      </c>
      <c r="J21" s="396">
        <v>9</v>
      </c>
      <c r="K21" s="1081">
        <v>57</v>
      </c>
      <c r="L21" s="5">
        <v>57</v>
      </c>
      <c r="M21" s="396">
        <v>0</v>
      </c>
      <c r="N21" s="1081">
        <v>54</v>
      </c>
      <c r="O21" s="5">
        <v>54</v>
      </c>
      <c r="P21" s="1038">
        <v>0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5" customHeight="1">
      <c r="A22" s="592" t="s">
        <v>55</v>
      </c>
      <c r="B22" s="595"/>
      <c r="C22" s="1069">
        <v>12</v>
      </c>
      <c r="D22" s="5">
        <v>12</v>
      </c>
      <c r="E22" s="396">
        <v>0</v>
      </c>
      <c r="F22" s="5">
        <v>0</v>
      </c>
      <c r="G22" s="5">
        <v>0</v>
      </c>
      <c r="H22" s="396">
        <v>12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s="267" customFormat="1" ht="15" customHeight="1">
      <c r="A23" s="592" t="s">
        <v>46</v>
      </c>
      <c r="B23" s="595"/>
      <c r="C23" s="1070">
        <v>24</v>
      </c>
      <c r="D23" s="1063">
        <v>15</v>
      </c>
      <c r="E23" s="1064">
        <v>9</v>
      </c>
      <c r="F23" s="1063">
        <v>9</v>
      </c>
      <c r="G23" s="1063">
        <v>6</v>
      </c>
      <c r="H23" s="1064">
        <v>6</v>
      </c>
      <c r="I23" s="396">
        <v>9</v>
      </c>
      <c r="J23" s="396">
        <v>3</v>
      </c>
      <c r="K23" s="1082">
        <v>6</v>
      </c>
      <c r="L23" s="1063">
        <v>6</v>
      </c>
      <c r="M23" s="1064">
        <v>0</v>
      </c>
      <c r="N23" s="1082">
        <v>6</v>
      </c>
      <c r="O23" s="1063">
        <v>6</v>
      </c>
      <c r="P23" s="1036">
        <v>0</v>
      </c>
    </row>
    <row r="24" spans="1:28" ht="15" customHeight="1">
      <c r="A24" s="592" t="s">
        <v>47</v>
      </c>
      <c r="B24" s="595"/>
      <c r="C24" s="1069">
        <v>108</v>
      </c>
      <c r="D24" s="5">
        <v>102</v>
      </c>
      <c r="E24" s="396">
        <v>9</v>
      </c>
      <c r="F24" s="5">
        <v>42</v>
      </c>
      <c r="G24" s="5">
        <v>36</v>
      </c>
      <c r="H24" s="396">
        <v>33</v>
      </c>
      <c r="I24" s="258">
        <v>42</v>
      </c>
      <c r="J24" s="258">
        <v>0</v>
      </c>
      <c r="K24" s="1081">
        <v>30</v>
      </c>
      <c r="L24" s="5">
        <v>30</v>
      </c>
      <c r="M24" s="396">
        <v>3</v>
      </c>
      <c r="N24" s="1081">
        <v>27</v>
      </c>
      <c r="O24" s="5">
        <v>27</v>
      </c>
      <c r="P24" s="1038">
        <v>3</v>
      </c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5" customHeight="1">
      <c r="A25" s="592" t="s">
        <v>51</v>
      </c>
      <c r="B25" s="595"/>
      <c r="C25" s="1069">
        <v>60</v>
      </c>
      <c r="D25" s="5">
        <v>51</v>
      </c>
      <c r="E25" s="396">
        <v>9</v>
      </c>
      <c r="F25" s="5">
        <v>12</v>
      </c>
      <c r="G25" s="5">
        <v>27</v>
      </c>
      <c r="H25" s="396">
        <v>21</v>
      </c>
      <c r="I25" s="396">
        <v>21</v>
      </c>
      <c r="J25" s="396">
        <v>0</v>
      </c>
      <c r="K25" s="1081">
        <v>21</v>
      </c>
      <c r="L25" s="5">
        <v>18</v>
      </c>
      <c r="M25" s="396">
        <v>3</v>
      </c>
      <c r="N25" s="1081">
        <v>21</v>
      </c>
      <c r="O25" s="5">
        <v>18</v>
      </c>
      <c r="P25" s="1038">
        <v>3</v>
      </c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5" customHeight="1">
      <c r="A26" s="592" t="s">
        <v>56</v>
      </c>
      <c r="B26" s="595"/>
      <c r="C26" s="1069">
        <v>135</v>
      </c>
      <c r="D26" s="5">
        <v>126</v>
      </c>
      <c r="E26" s="396">
        <v>12</v>
      </c>
      <c r="F26" s="5">
        <v>45</v>
      </c>
      <c r="G26" s="5">
        <v>48</v>
      </c>
      <c r="H26" s="396">
        <v>42</v>
      </c>
      <c r="I26" s="396">
        <v>48</v>
      </c>
      <c r="J26" s="396">
        <v>0</v>
      </c>
      <c r="K26" s="1081">
        <v>45</v>
      </c>
      <c r="L26" s="5">
        <v>42</v>
      </c>
      <c r="M26" s="396">
        <v>0</v>
      </c>
      <c r="N26" s="1081">
        <v>45</v>
      </c>
      <c r="O26" s="5">
        <v>42</v>
      </c>
      <c r="P26" s="1038">
        <v>0</v>
      </c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s="254" customFormat="1" ht="15" customHeight="1">
      <c r="A27" s="592" t="s">
        <v>57</v>
      </c>
      <c r="B27" s="595"/>
      <c r="C27" s="1069">
        <v>87</v>
      </c>
      <c r="D27" s="5">
        <v>78</v>
      </c>
      <c r="E27" s="396">
        <v>9</v>
      </c>
      <c r="F27" s="5">
        <v>30</v>
      </c>
      <c r="G27" s="5">
        <v>27</v>
      </c>
      <c r="H27" s="396">
        <v>30</v>
      </c>
      <c r="I27" s="396">
        <v>33</v>
      </c>
      <c r="J27" s="396">
        <v>3</v>
      </c>
      <c r="K27" s="1081">
        <v>39</v>
      </c>
      <c r="L27" s="5">
        <v>36</v>
      </c>
      <c r="M27" s="396">
        <v>3</v>
      </c>
      <c r="N27" s="1081">
        <v>30</v>
      </c>
      <c r="O27" s="5">
        <v>30</v>
      </c>
      <c r="P27" s="1038">
        <v>3</v>
      </c>
    </row>
    <row r="28" spans="1:28" s="267" customFormat="1" ht="15" customHeight="1">
      <c r="A28" s="592" t="s">
        <v>59</v>
      </c>
      <c r="B28" s="595"/>
      <c r="C28" s="1069">
        <v>54</v>
      </c>
      <c r="D28" s="5">
        <v>51</v>
      </c>
      <c r="E28" s="396">
        <v>3</v>
      </c>
      <c r="F28" s="5">
        <v>18</v>
      </c>
      <c r="G28" s="5">
        <v>24</v>
      </c>
      <c r="H28" s="396">
        <v>12</v>
      </c>
      <c r="I28" s="1037">
        <v>18</v>
      </c>
      <c r="J28" s="1037">
        <v>0</v>
      </c>
      <c r="K28" s="1081">
        <v>27</v>
      </c>
      <c r="L28" s="5">
        <v>27</v>
      </c>
      <c r="M28" s="396">
        <v>0</v>
      </c>
      <c r="N28" s="1081">
        <v>21</v>
      </c>
      <c r="O28" s="5">
        <v>21</v>
      </c>
      <c r="P28" s="1038">
        <v>0</v>
      </c>
    </row>
    <row r="29" spans="1:28" s="336" customFormat="1" ht="4.5" customHeight="1">
      <c r="A29" s="656"/>
      <c r="B29" s="595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28" s="255" customFormat="1" ht="21" customHeight="1" thickBot="1">
      <c r="A30" s="593" t="s">
        <v>60</v>
      </c>
      <c r="B30" s="658"/>
      <c r="C30" s="1068">
        <f>1656+12</f>
        <v>1668</v>
      </c>
      <c r="D30" s="580">
        <f>1545+12</f>
        <v>1557</v>
      </c>
      <c r="E30" s="1065">
        <v>111</v>
      </c>
      <c r="F30" s="580">
        <f>486+6</f>
        <v>492</v>
      </c>
      <c r="G30" s="580">
        <f>582+3</f>
        <v>585</v>
      </c>
      <c r="H30" s="1065">
        <v>585</v>
      </c>
      <c r="I30" s="1339">
        <f>582+6</f>
        <v>588</v>
      </c>
      <c r="J30" s="1066">
        <v>51</v>
      </c>
      <c r="K30" s="580">
        <f>579+6</f>
        <v>585</v>
      </c>
      <c r="L30" s="580">
        <f>549+6</f>
        <v>555</v>
      </c>
      <c r="M30" s="1065">
        <f>27</f>
        <v>27</v>
      </c>
      <c r="N30" s="580">
        <f>534+6</f>
        <v>540</v>
      </c>
      <c r="O30" s="580">
        <f>510+6</f>
        <v>516</v>
      </c>
      <c r="P30" s="1039">
        <v>24</v>
      </c>
    </row>
    <row r="31" spans="1:28" s="255" customFormat="1" ht="3.65" customHeight="1">
      <c r="A31" s="71"/>
      <c r="B31" s="71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</row>
    <row r="32" spans="1:28" s="255" customFormat="1" ht="11.25" customHeight="1">
      <c r="A32" s="70" t="s">
        <v>297</v>
      </c>
      <c r="B32" s="71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</row>
    <row r="33" spans="1:16" s="255" customFormat="1" ht="12" customHeight="1">
      <c r="A33" s="71" t="s">
        <v>311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6" s="255" customFormat="1" ht="16" customHeight="1">
      <c r="A34" s="994"/>
      <c r="B34" s="994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</row>
    <row r="35" spans="1:16">
      <c r="A35" s="995"/>
      <c r="B35" s="995"/>
      <c r="C35" s="254"/>
      <c r="D35" s="254"/>
      <c r="E35" s="254"/>
      <c r="F35" s="254"/>
      <c r="G35" s="254"/>
      <c r="H35" s="254"/>
      <c r="I35" s="869"/>
      <c r="J35" s="869"/>
      <c r="K35" s="254"/>
      <c r="L35" s="254"/>
      <c r="M35" s="254"/>
      <c r="N35" s="254"/>
    </row>
    <row r="36" spans="1:16" ht="14.6" thickBot="1">
      <c r="A36" s="593" t="s">
        <v>60</v>
      </c>
      <c r="B36" s="598"/>
      <c r="C36" s="1068">
        <v>1665</v>
      </c>
      <c r="D36" s="580">
        <v>1563</v>
      </c>
      <c r="E36" s="1065">
        <v>114</v>
      </c>
      <c r="F36" s="580">
        <v>498</v>
      </c>
      <c r="G36" s="580">
        <v>585</v>
      </c>
      <c r="H36" s="1065">
        <v>588</v>
      </c>
      <c r="I36" s="580">
        <v>591</v>
      </c>
      <c r="J36" s="1066">
        <v>45</v>
      </c>
      <c r="K36" s="1068">
        <v>585</v>
      </c>
      <c r="L36" s="580">
        <v>561</v>
      </c>
      <c r="M36" s="1065">
        <v>27</v>
      </c>
      <c r="N36" s="1068">
        <v>537</v>
      </c>
      <c r="O36" s="580">
        <v>519</v>
      </c>
      <c r="P36" s="1039">
        <v>27</v>
      </c>
    </row>
    <row r="37" spans="1:16" ht="14.6" thickBot="1">
      <c r="A37" s="593" t="s">
        <v>384</v>
      </c>
      <c r="B37" s="598"/>
      <c r="C37" s="1321">
        <f t="shared" ref="C37:P37" si="0">C30-C36</f>
        <v>3</v>
      </c>
      <c r="D37" s="1295">
        <f t="shared" si="0"/>
        <v>-6</v>
      </c>
      <c r="E37" s="1296">
        <f t="shared" si="0"/>
        <v>-3</v>
      </c>
      <c r="F37" s="1326">
        <f t="shared" si="0"/>
        <v>-6</v>
      </c>
      <c r="G37" s="1305">
        <f t="shared" si="0"/>
        <v>0</v>
      </c>
      <c r="H37" s="1296">
        <f t="shared" si="0"/>
        <v>-3</v>
      </c>
      <c r="I37" s="1295">
        <f t="shared" si="0"/>
        <v>-3</v>
      </c>
      <c r="J37" s="1337">
        <f t="shared" si="0"/>
        <v>6</v>
      </c>
      <c r="K37" s="1327">
        <f t="shared" si="0"/>
        <v>0</v>
      </c>
      <c r="L37" s="1295">
        <f t="shared" si="0"/>
        <v>-6</v>
      </c>
      <c r="M37" s="1311">
        <f t="shared" si="0"/>
        <v>0</v>
      </c>
      <c r="N37" s="1321">
        <f t="shared" si="0"/>
        <v>3</v>
      </c>
      <c r="O37" s="1295">
        <f t="shared" si="0"/>
        <v>-3</v>
      </c>
      <c r="P37" s="1349">
        <f t="shared" si="0"/>
        <v>-3</v>
      </c>
    </row>
    <row r="38" spans="1:16">
      <c r="C38" s="72"/>
      <c r="D38" s="72"/>
      <c r="E38" s="72"/>
      <c r="F38" s="72"/>
      <c r="G38" s="72"/>
      <c r="H38" s="72"/>
      <c r="I38" s="908"/>
      <c r="J38" s="908"/>
      <c r="K38" s="72"/>
      <c r="L38" s="72"/>
      <c r="M38" s="72"/>
      <c r="N38" s="72"/>
    </row>
    <row r="39" spans="1:16">
      <c r="A39" s="995"/>
      <c r="B39" s="995"/>
      <c r="C39" s="254"/>
      <c r="D39" s="254"/>
      <c r="E39" s="254"/>
      <c r="F39" s="254"/>
      <c r="G39" s="254"/>
      <c r="H39" s="254"/>
      <c r="I39" s="869"/>
      <c r="J39" s="869"/>
      <c r="K39" s="254"/>
      <c r="L39" s="254"/>
      <c r="M39" s="254"/>
      <c r="N39" s="254"/>
    </row>
    <row r="40" spans="1:16">
      <c r="C40" s="72"/>
      <c r="D40" s="72"/>
      <c r="E40" s="72"/>
      <c r="F40" s="72"/>
      <c r="G40" s="72"/>
      <c r="H40" s="72"/>
      <c r="I40" s="908"/>
      <c r="J40" s="908"/>
      <c r="K40" s="72"/>
      <c r="L40" s="72"/>
      <c r="M40" s="72"/>
      <c r="N40" s="72"/>
    </row>
    <row r="41" spans="1:16">
      <c r="A41" s="995"/>
      <c r="B41" s="995"/>
      <c r="C41" s="254"/>
      <c r="D41" s="254"/>
      <c r="E41" s="254"/>
      <c r="F41" s="254"/>
      <c r="G41" s="254"/>
      <c r="H41" s="254"/>
      <c r="I41" s="869"/>
      <c r="J41" s="869"/>
      <c r="K41" s="254"/>
      <c r="L41" s="254"/>
      <c r="M41" s="254"/>
      <c r="N41" s="254"/>
    </row>
  </sheetData>
  <mergeCells count="6">
    <mergeCell ref="A4:P4"/>
    <mergeCell ref="A6:B12"/>
    <mergeCell ref="C6:H7"/>
    <mergeCell ref="N7:P7"/>
    <mergeCell ref="N8:P8"/>
    <mergeCell ref="K6:P6"/>
  </mergeCells>
  <printOptions horizontalCentered="1"/>
  <pageMargins left="0.19685039370078741" right="0.19685039370078741" top="0.98425196850393704" bottom="0.59055118110236227" header="0.51181102362204722" footer="0.51181102362204722"/>
  <pageSetup paperSize="9" orientation="landscape" r:id="rId1"/>
  <headerFooter alignWithMargins="0">
    <oddHeader>&amp;C&amp;"Arial,Standard"&amp;8-19 -&amp;R&amp;8&amp;D</oddHeader>
    <oddFooter>&amp;R
&amp;12...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>
    <tabColor theme="0" tint="-0.499984740745262"/>
  </sheetPr>
  <dimension ref="A1:AC41"/>
  <sheetViews>
    <sheetView zoomScaleNormal="100" zoomScaleSheetLayoutView="100" workbookViewId="0">
      <selection activeCell="K30" sqref="K30"/>
    </sheetView>
  </sheetViews>
  <sheetFormatPr baseColWidth="10" defaultColWidth="11.3828125" defaultRowHeight="14.15"/>
  <cols>
    <col min="1" max="1" width="5.69140625" style="270" customWidth="1"/>
    <col min="2" max="2" width="0.84375" style="270" customWidth="1"/>
    <col min="3" max="4" width="7.69140625" style="270" customWidth="1"/>
    <col min="5" max="5" width="7.69140625" style="275" customWidth="1"/>
    <col min="6" max="8" width="7.69140625" style="270" customWidth="1"/>
    <col min="9" max="10" width="10.69140625" style="270" customWidth="1"/>
    <col min="11" max="12" width="7.69140625" style="270" customWidth="1"/>
    <col min="13" max="13" width="7.69140625" style="275" customWidth="1"/>
    <col min="14" max="16" width="7.69140625" style="270" customWidth="1"/>
    <col min="17" max="16384" width="11.3828125" style="270"/>
  </cols>
  <sheetData>
    <row r="1" spans="1:29" ht="13.2" customHeight="1"/>
    <row r="2" spans="1:29" ht="13.2" customHeight="1">
      <c r="A2" s="1355" t="s">
        <v>213</v>
      </c>
      <c r="B2" s="863"/>
      <c r="C2" s="863"/>
      <c r="D2" s="513"/>
      <c r="E2" s="513"/>
      <c r="F2" s="513"/>
      <c r="G2" s="513"/>
      <c r="H2" s="513"/>
      <c r="I2" s="909"/>
      <c r="J2" s="909"/>
      <c r="K2" s="909"/>
      <c r="L2" s="909"/>
      <c r="M2" s="909"/>
      <c r="N2" s="534"/>
    </row>
    <row r="3" spans="1:29" ht="10.95" customHeight="1">
      <c r="A3" s="996"/>
      <c r="B3" s="996"/>
      <c r="C3" s="910"/>
      <c r="D3" s="910"/>
      <c r="E3" s="911"/>
      <c r="F3" s="910"/>
      <c r="G3" s="910"/>
      <c r="H3" s="910"/>
      <c r="I3" s="910"/>
      <c r="K3" s="910"/>
      <c r="L3" s="910"/>
      <c r="M3" s="911" t="s">
        <v>40</v>
      </c>
      <c r="N3" s="910"/>
    </row>
    <row r="4" spans="1:29" ht="13.95" customHeight="1">
      <c r="A4" s="1600" t="s">
        <v>158</v>
      </c>
      <c r="B4" s="1600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29" ht="10.95" customHeight="1" thickBot="1">
      <c r="A5" s="910"/>
      <c r="B5" s="910"/>
      <c r="C5" s="910"/>
      <c r="D5" s="910"/>
      <c r="E5" s="911"/>
      <c r="F5" s="910"/>
      <c r="G5" s="910"/>
      <c r="H5" s="910"/>
      <c r="I5" s="910"/>
      <c r="J5" s="910"/>
      <c r="K5" s="910"/>
      <c r="L5" s="910"/>
      <c r="M5" s="911"/>
      <c r="N5" s="910"/>
    </row>
    <row r="6" spans="1:29" ht="24.65" customHeight="1">
      <c r="A6" s="1603" t="s">
        <v>43</v>
      </c>
      <c r="B6" s="1532"/>
      <c r="C6" s="1604" t="s">
        <v>358</v>
      </c>
      <c r="D6" s="1604" t="s">
        <v>115</v>
      </c>
      <c r="E6" s="1604" t="s">
        <v>115</v>
      </c>
      <c r="F6" s="1604" t="s">
        <v>115</v>
      </c>
      <c r="G6" s="1604" t="s">
        <v>115</v>
      </c>
      <c r="H6" s="1605" t="s">
        <v>115</v>
      </c>
      <c r="I6" s="875" t="s">
        <v>0</v>
      </c>
      <c r="J6" s="875" t="s">
        <v>1</v>
      </c>
      <c r="K6" s="1611" t="s">
        <v>210</v>
      </c>
      <c r="L6" s="1601"/>
      <c r="M6" s="1601"/>
      <c r="N6" s="1601"/>
      <c r="O6" s="1601"/>
      <c r="P6" s="1602"/>
    </row>
    <row r="7" spans="1:29" s="271" customFormat="1" ht="12" customHeight="1">
      <c r="A7" s="1533"/>
      <c r="B7" s="1534"/>
      <c r="C7" s="1606"/>
      <c r="D7" s="1606"/>
      <c r="E7" s="1606"/>
      <c r="F7" s="1606"/>
      <c r="G7" s="1606"/>
      <c r="H7" s="1607"/>
      <c r="I7" s="876" t="s">
        <v>3</v>
      </c>
      <c r="J7" s="876" t="s">
        <v>4</v>
      </c>
      <c r="K7" s="877"/>
      <c r="L7" s="876"/>
      <c r="M7" s="878"/>
      <c r="N7" s="1608" t="s">
        <v>312</v>
      </c>
      <c r="O7" s="1609"/>
      <c r="P7" s="1610"/>
      <c r="Q7" s="515"/>
      <c r="R7" s="513"/>
      <c r="S7" s="513"/>
      <c r="T7" s="513"/>
      <c r="U7" s="513"/>
      <c r="V7" s="513"/>
      <c r="W7" s="513"/>
      <c r="X7" s="513"/>
      <c r="Y7" s="513"/>
      <c r="Z7" s="514"/>
      <c r="AA7" s="513"/>
      <c r="AB7" s="513"/>
      <c r="AC7" s="516" t="s">
        <v>110</v>
      </c>
    </row>
    <row r="8" spans="1:29" s="271" customFormat="1" ht="12" customHeight="1">
      <c r="A8" s="1533"/>
      <c r="B8" s="1534"/>
      <c r="C8" s="879"/>
      <c r="D8" s="880"/>
      <c r="E8" s="880"/>
      <c r="F8" s="21" t="s">
        <v>165</v>
      </c>
      <c r="G8" s="881"/>
      <c r="H8" s="882"/>
      <c r="I8" s="876" t="s">
        <v>8</v>
      </c>
      <c r="J8" s="876" t="s">
        <v>8</v>
      </c>
      <c r="K8" s="883"/>
      <c r="L8" s="880"/>
      <c r="M8" s="884"/>
      <c r="N8" s="1522" t="s">
        <v>187</v>
      </c>
      <c r="O8" s="1523"/>
      <c r="P8" s="1525"/>
    </row>
    <row r="9" spans="1:29" s="271" customFormat="1" ht="12" customHeight="1">
      <c r="A9" s="1533"/>
      <c r="B9" s="1534"/>
      <c r="C9" s="1125"/>
      <c r="D9" s="876"/>
      <c r="E9" s="876"/>
      <c r="F9" s="886" t="s">
        <v>295</v>
      </c>
      <c r="G9" s="887"/>
      <c r="H9" s="888"/>
      <c r="I9" s="876" t="s">
        <v>20</v>
      </c>
      <c r="J9" s="876" t="s">
        <v>20</v>
      </c>
      <c r="K9" s="883"/>
      <c r="L9" s="880"/>
      <c r="M9" s="889"/>
      <c r="N9" s="890"/>
      <c r="O9" s="891"/>
      <c r="P9" s="892"/>
    </row>
    <row r="10" spans="1:29" s="271" customFormat="1" ht="12" customHeight="1">
      <c r="A10" s="1533"/>
      <c r="B10" s="1534"/>
      <c r="C10" s="894" t="s">
        <v>19</v>
      </c>
      <c r="D10" s="876" t="s">
        <v>17</v>
      </c>
      <c r="E10" s="876" t="s">
        <v>18</v>
      </c>
      <c r="F10" s="893"/>
      <c r="G10" s="893"/>
      <c r="H10" s="893"/>
      <c r="I10" s="876" t="s">
        <v>33</v>
      </c>
      <c r="J10" s="876" t="s">
        <v>33</v>
      </c>
      <c r="K10" s="894" t="s">
        <v>19</v>
      </c>
      <c r="L10" s="895" t="s">
        <v>17</v>
      </c>
      <c r="M10" s="896" t="s">
        <v>18</v>
      </c>
      <c r="N10" s="897" t="s">
        <v>19</v>
      </c>
      <c r="O10" s="898" t="s">
        <v>17</v>
      </c>
      <c r="P10" s="899" t="s">
        <v>18</v>
      </c>
    </row>
    <row r="11" spans="1:29" s="271" customFormat="1" ht="12" customHeight="1">
      <c r="A11" s="1533"/>
      <c r="B11" s="1534"/>
      <c r="C11" s="894" t="s">
        <v>29</v>
      </c>
      <c r="D11" s="1126" t="s">
        <v>28</v>
      </c>
      <c r="E11" s="880" t="s">
        <v>28</v>
      </c>
      <c r="F11" s="900" t="s">
        <v>30</v>
      </c>
      <c r="G11" s="900" t="s">
        <v>31</v>
      </c>
      <c r="H11" s="901" t="s">
        <v>32</v>
      </c>
      <c r="I11" s="876" t="s">
        <v>39</v>
      </c>
      <c r="J11" s="876" t="s">
        <v>39</v>
      </c>
      <c r="K11" s="894" t="s">
        <v>29</v>
      </c>
      <c r="L11" s="895" t="s">
        <v>28</v>
      </c>
      <c r="M11" s="896" t="s">
        <v>34</v>
      </c>
      <c r="N11" s="897" t="s">
        <v>29</v>
      </c>
      <c r="O11" s="898" t="s">
        <v>28</v>
      </c>
      <c r="P11" s="899" t="s">
        <v>34</v>
      </c>
    </row>
    <row r="12" spans="1:29" s="271" customFormat="1" ht="10.95" customHeight="1">
      <c r="A12" s="1535"/>
      <c r="B12" s="1536"/>
      <c r="C12" s="885"/>
      <c r="D12" s="876"/>
      <c r="E12" s="876"/>
      <c r="F12" s="902"/>
      <c r="G12" s="902"/>
      <c r="H12" s="903"/>
      <c r="I12" s="876"/>
      <c r="J12" s="876"/>
      <c r="K12" s="904"/>
      <c r="L12" s="905"/>
      <c r="M12" s="886"/>
      <c r="N12" s="906"/>
      <c r="O12" s="905"/>
      <c r="P12" s="907"/>
    </row>
    <row r="13" spans="1:29" ht="15" customHeight="1">
      <c r="A13" s="592" t="s">
        <v>58</v>
      </c>
      <c r="B13" s="601"/>
      <c r="C13" s="1078">
        <v>0</v>
      </c>
      <c r="D13" s="1076">
        <v>0</v>
      </c>
      <c r="E13" s="1077">
        <v>0</v>
      </c>
      <c r="F13" s="1076">
        <v>0</v>
      </c>
      <c r="G13" s="1076">
        <v>0</v>
      </c>
      <c r="H13" s="1077">
        <v>0</v>
      </c>
      <c r="I13" s="1067">
        <v>0</v>
      </c>
      <c r="J13" s="1067">
        <v>0</v>
      </c>
      <c r="K13" s="1080">
        <v>0</v>
      </c>
      <c r="L13" s="1076">
        <v>0</v>
      </c>
      <c r="M13" s="1077">
        <v>0</v>
      </c>
      <c r="N13" s="1080">
        <v>0</v>
      </c>
      <c r="O13" s="1076">
        <v>0</v>
      </c>
      <c r="P13" s="1084">
        <v>0</v>
      </c>
    </row>
    <row r="14" spans="1:29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29" ht="15" customHeight="1">
      <c r="A15" s="592" t="s">
        <v>52</v>
      </c>
      <c r="B15" s="595"/>
      <c r="C15" s="1069">
        <v>0</v>
      </c>
      <c r="D15" s="5">
        <v>0</v>
      </c>
      <c r="E15" s="396">
        <v>0</v>
      </c>
      <c r="F15" s="5">
        <v>0</v>
      </c>
      <c r="G15" s="5">
        <v>0</v>
      </c>
      <c r="H15" s="396">
        <v>0</v>
      </c>
      <c r="I15" s="396">
        <v>0</v>
      </c>
      <c r="J15" s="396">
        <v>0</v>
      </c>
      <c r="K15" s="1081">
        <v>0</v>
      </c>
      <c r="L15" s="5">
        <v>0</v>
      </c>
      <c r="M15" s="396">
        <v>0</v>
      </c>
      <c r="N15" s="1081">
        <v>0</v>
      </c>
      <c r="O15" s="5">
        <v>0</v>
      </c>
      <c r="P15" s="1038">
        <v>0</v>
      </c>
    </row>
    <row r="16" spans="1:29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43"/>
      <c r="C17" s="1069">
        <v>0</v>
      </c>
      <c r="D17" s="5">
        <v>0</v>
      </c>
      <c r="E17" s="396">
        <v>0</v>
      </c>
      <c r="F17" s="5">
        <v>0</v>
      </c>
      <c r="G17" s="5">
        <v>0</v>
      </c>
      <c r="H17" s="396">
        <v>0</v>
      </c>
      <c r="I17" s="396">
        <v>0</v>
      </c>
      <c r="J17" s="396">
        <v>0</v>
      </c>
      <c r="K17" s="1081">
        <v>0</v>
      </c>
      <c r="L17" s="5">
        <v>0</v>
      </c>
      <c r="M17" s="396">
        <v>0</v>
      </c>
      <c r="N17" s="1081">
        <v>0</v>
      </c>
      <c r="O17" s="5">
        <v>0</v>
      </c>
      <c r="P17" s="1038">
        <v>0</v>
      </c>
    </row>
    <row r="18" spans="1:16" ht="15" customHeight="1">
      <c r="A18" s="592" t="s">
        <v>50</v>
      </c>
      <c r="B18" s="595"/>
      <c r="C18" s="1069">
        <v>9</v>
      </c>
      <c r="D18" s="5">
        <v>6</v>
      </c>
      <c r="E18" s="396">
        <v>3</v>
      </c>
      <c r="F18" s="5">
        <v>0</v>
      </c>
      <c r="G18" s="5">
        <v>6</v>
      </c>
      <c r="H18" s="396">
        <v>3</v>
      </c>
      <c r="I18" s="396">
        <v>0</v>
      </c>
      <c r="J18" s="396">
        <v>0</v>
      </c>
      <c r="K18" s="1081">
        <v>12</v>
      </c>
      <c r="L18" s="5">
        <v>9</v>
      </c>
      <c r="M18" s="396">
        <v>0</v>
      </c>
      <c r="N18" s="1081">
        <v>9</v>
      </c>
      <c r="O18" s="5">
        <v>6</v>
      </c>
      <c r="P18" s="1038">
        <v>0</v>
      </c>
    </row>
    <row r="19" spans="1:16" ht="15" customHeight="1">
      <c r="A19" s="592" t="s">
        <v>54</v>
      </c>
      <c r="B19" s="595"/>
      <c r="C19" s="1069">
        <v>0</v>
      </c>
      <c r="D19" s="5">
        <v>0</v>
      </c>
      <c r="E19" s="396">
        <v>0</v>
      </c>
      <c r="F19" s="5">
        <v>0</v>
      </c>
      <c r="G19" s="5">
        <v>0</v>
      </c>
      <c r="H19" s="396">
        <v>0</v>
      </c>
      <c r="I19" s="396">
        <v>0</v>
      </c>
      <c r="J19" s="396">
        <v>0</v>
      </c>
      <c r="K19" s="1081">
        <v>0</v>
      </c>
      <c r="L19" s="5">
        <v>0</v>
      </c>
      <c r="M19" s="396">
        <v>0</v>
      </c>
      <c r="N19" s="1081">
        <v>0</v>
      </c>
      <c r="O19" s="5">
        <v>0</v>
      </c>
      <c r="P19" s="1038">
        <v>0</v>
      </c>
    </row>
    <row r="20" spans="1:16" ht="15" customHeight="1">
      <c r="A20" s="592" t="s">
        <v>44</v>
      </c>
      <c r="B20" s="595"/>
      <c r="C20" s="1069">
        <v>0</v>
      </c>
      <c r="D20" s="5">
        <v>0</v>
      </c>
      <c r="E20" s="396">
        <v>0</v>
      </c>
      <c r="F20" s="5">
        <v>0</v>
      </c>
      <c r="G20" s="5">
        <v>0</v>
      </c>
      <c r="H20" s="396">
        <v>0</v>
      </c>
      <c r="I20" s="396">
        <v>0</v>
      </c>
      <c r="J20" s="396">
        <v>0</v>
      </c>
      <c r="K20" s="1081">
        <v>0</v>
      </c>
      <c r="L20" s="5">
        <v>0</v>
      </c>
      <c r="M20" s="396">
        <v>0</v>
      </c>
      <c r="N20" s="1081">
        <v>0</v>
      </c>
      <c r="O20" s="5">
        <v>0</v>
      </c>
      <c r="P20" s="1038">
        <v>0</v>
      </c>
    </row>
    <row r="21" spans="1:16" ht="15" customHeight="1">
      <c r="A21" s="592" t="s">
        <v>45</v>
      </c>
      <c r="B21" s="595"/>
      <c r="C21" s="1069">
        <v>0</v>
      </c>
      <c r="D21" s="5">
        <v>0</v>
      </c>
      <c r="E21" s="396">
        <v>0</v>
      </c>
      <c r="F21" s="5">
        <v>0</v>
      </c>
      <c r="G21" s="5">
        <v>0</v>
      </c>
      <c r="H21" s="396">
        <v>0</v>
      </c>
      <c r="I21" s="396">
        <v>0</v>
      </c>
      <c r="J21" s="396">
        <v>0</v>
      </c>
      <c r="K21" s="1081">
        <v>0</v>
      </c>
      <c r="L21" s="5">
        <v>0</v>
      </c>
      <c r="M21" s="396">
        <v>0</v>
      </c>
      <c r="N21" s="1081">
        <v>0</v>
      </c>
      <c r="O21" s="5">
        <v>0</v>
      </c>
      <c r="P21" s="1038">
        <v>0</v>
      </c>
    </row>
    <row r="22" spans="1:16" ht="15" customHeight="1">
      <c r="A22" s="592" t="s">
        <v>55</v>
      </c>
      <c r="B22" s="595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0</v>
      </c>
      <c r="D24" s="5">
        <v>0</v>
      </c>
      <c r="E24" s="396">
        <v>0</v>
      </c>
      <c r="F24" s="5">
        <v>0</v>
      </c>
      <c r="G24" s="5">
        <v>0</v>
      </c>
      <c r="H24" s="396">
        <v>0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</row>
    <row r="25" spans="1:16" ht="15" customHeight="1">
      <c r="A25" s="592" t="s">
        <v>51</v>
      </c>
      <c r="B25" s="595"/>
      <c r="C25" s="1069">
        <v>0</v>
      </c>
      <c r="D25" s="5">
        <v>0</v>
      </c>
      <c r="E25" s="396">
        <v>0</v>
      </c>
      <c r="F25" s="5">
        <v>0</v>
      </c>
      <c r="G25" s="5">
        <v>0</v>
      </c>
      <c r="H25" s="396">
        <v>0</v>
      </c>
      <c r="I25" s="396">
        <v>0</v>
      </c>
      <c r="J25" s="396">
        <v>0</v>
      </c>
      <c r="K25" s="1081">
        <v>0</v>
      </c>
      <c r="L25" s="5">
        <v>0</v>
      </c>
      <c r="M25" s="396">
        <v>0</v>
      </c>
      <c r="N25" s="1081">
        <v>0</v>
      </c>
      <c r="O25" s="5">
        <v>0</v>
      </c>
      <c r="P25" s="1038">
        <v>0</v>
      </c>
    </row>
    <row r="26" spans="1:16" ht="15" customHeight="1">
      <c r="A26" s="592" t="s">
        <v>56</v>
      </c>
      <c r="B26" s="595"/>
      <c r="C26" s="1069">
        <v>0</v>
      </c>
      <c r="D26" s="5">
        <v>0</v>
      </c>
      <c r="E26" s="396">
        <v>0</v>
      </c>
      <c r="F26" s="5">
        <v>0</v>
      </c>
      <c r="G26" s="5">
        <v>0</v>
      </c>
      <c r="H26" s="396">
        <v>0</v>
      </c>
      <c r="I26" s="396">
        <v>0</v>
      </c>
      <c r="J26" s="396">
        <v>0</v>
      </c>
      <c r="K26" s="1081">
        <v>0</v>
      </c>
      <c r="L26" s="5">
        <v>0</v>
      </c>
      <c r="M26" s="396">
        <v>0</v>
      </c>
      <c r="N26" s="1081">
        <v>0</v>
      </c>
      <c r="O26" s="5">
        <v>0</v>
      </c>
      <c r="P26" s="1038">
        <v>0</v>
      </c>
    </row>
    <row r="27" spans="1:16" s="271" customFormat="1" ht="15" customHeight="1">
      <c r="A27" s="592" t="s">
        <v>57</v>
      </c>
      <c r="B27" s="595"/>
      <c r="C27" s="1069">
        <v>0</v>
      </c>
      <c r="D27" s="5">
        <v>0</v>
      </c>
      <c r="E27" s="396">
        <v>0</v>
      </c>
      <c r="F27" s="5">
        <v>0</v>
      </c>
      <c r="G27" s="5">
        <v>0</v>
      </c>
      <c r="H27" s="396">
        <v>0</v>
      </c>
      <c r="I27" s="396">
        <v>0</v>
      </c>
      <c r="J27" s="396">
        <v>0</v>
      </c>
      <c r="K27" s="1081">
        <v>0</v>
      </c>
      <c r="L27" s="5">
        <v>0</v>
      </c>
      <c r="M27" s="396">
        <v>0</v>
      </c>
      <c r="N27" s="1081">
        <v>0</v>
      </c>
      <c r="O27" s="5">
        <v>0</v>
      </c>
      <c r="P27" s="1038">
        <v>0</v>
      </c>
    </row>
    <row r="28" spans="1:16" s="272" customFormat="1" ht="15" customHeight="1">
      <c r="A28" s="592" t="s">
        <v>59</v>
      </c>
      <c r="B28" s="595"/>
      <c r="C28" s="1069">
        <v>0</v>
      </c>
      <c r="D28" s="5">
        <v>0</v>
      </c>
      <c r="E28" s="396">
        <v>0</v>
      </c>
      <c r="F28" s="5">
        <v>0</v>
      </c>
      <c r="G28" s="5">
        <v>0</v>
      </c>
      <c r="H28" s="396">
        <v>0</v>
      </c>
      <c r="I28" s="1037">
        <v>0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16" s="337" customFormat="1" ht="4.5" customHeight="1">
      <c r="A29" s="656"/>
      <c r="B29" s="595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273" customFormat="1" ht="21" customHeight="1" thickBot="1">
      <c r="A30" s="593" t="s">
        <v>60</v>
      </c>
      <c r="B30" s="658"/>
      <c r="C30" s="1068">
        <v>9</v>
      </c>
      <c r="D30" s="580">
        <v>6</v>
      </c>
      <c r="E30" s="1065">
        <v>3</v>
      </c>
      <c r="F30" s="580">
        <v>0</v>
      </c>
      <c r="G30" s="580">
        <v>6</v>
      </c>
      <c r="H30" s="1065">
        <v>3</v>
      </c>
      <c r="I30" s="1066">
        <f>SUM(I13:I28)</f>
        <v>0</v>
      </c>
      <c r="J30" s="1066">
        <v>0</v>
      </c>
      <c r="K30" s="580">
        <v>12</v>
      </c>
      <c r="L30" s="580">
        <v>9</v>
      </c>
      <c r="M30" s="1065">
        <v>0</v>
      </c>
      <c r="N30" s="580">
        <v>9</v>
      </c>
      <c r="O30" s="580">
        <v>6</v>
      </c>
      <c r="P30" s="1039">
        <v>0</v>
      </c>
    </row>
    <row r="31" spans="1:16" s="274" customFormat="1" ht="3.65" customHeight="1">
      <c r="A31" s="71"/>
      <c r="B31" s="71"/>
      <c r="C31" s="68"/>
      <c r="D31" s="68"/>
      <c r="E31" s="68"/>
      <c r="F31" s="68"/>
      <c r="G31" s="68"/>
      <c r="H31" s="68"/>
      <c r="I31" s="265"/>
      <c r="J31" s="68"/>
      <c r="K31" s="68"/>
      <c r="L31" s="68"/>
      <c r="M31" s="68"/>
      <c r="N31" s="68"/>
      <c r="O31" s="54"/>
      <c r="P31" s="54"/>
    </row>
    <row r="32" spans="1:16" s="274" customFormat="1" ht="10.95" customHeight="1">
      <c r="A32" s="70" t="s">
        <v>297</v>
      </c>
      <c r="B32" s="70"/>
      <c r="C32" s="68"/>
      <c r="D32" s="68"/>
      <c r="E32" s="68"/>
      <c r="F32" s="68"/>
      <c r="G32" s="68"/>
      <c r="H32" s="68"/>
      <c r="I32" s="265"/>
      <c r="J32" s="68"/>
      <c r="K32" s="68"/>
      <c r="L32" s="68"/>
      <c r="M32" s="68"/>
      <c r="N32" s="68"/>
      <c r="O32" s="54"/>
      <c r="P32" s="54"/>
    </row>
    <row r="33" spans="1:16" s="274" customFormat="1" ht="25" customHeight="1">
      <c r="A33" s="73"/>
      <c r="B33" s="73"/>
      <c r="C33" s="68"/>
      <c r="D33" s="68"/>
      <c r="E33" s="68"/>
      <c r="F33" s="68"/>
      <c r="G33" s="68"/>
      <c r="H33" s="68"/>
      <c r="I33" s="265"/>
      <c r="J33" s="68"/>
      <c r="K33" s="68"/>
      <c r="L33" s="68"/>
      <c r="M33" s="68"/>
      <c r="N33" s="68"/>
      <c r="O33" s="54"/>
      <c r="P33" s="54"/>
    </row>
    <row r="34" spans="1:16" s="274" customFormat="1" ht="25" customHeight="1">
      <c r="C34" s="68"/>
      <c r="D34" s="68"/>
      <c r="E34" s="68"/>
      <c r="F34" s="68"/>
      <c r="G34" s="68"/>
      <c r="H34" s="68"/>
      <c r="I34" s="265"/>
      <c r="J34" s="68"/>
      <c r="K34" s="68"/>
      <c r="L34" s="68"/>
      <c r="M34" s="68"/>
      <c r="N34" s="68"/>
      <c r="O34" s="54"/>
      <c r="P34" s="54"/>
    </row>
    <row r="35" spans="1:16">
      <c r="A35" s="6"/>
      <c r="B35" s="6"/>
      <c r="C35" s="6"/>
      <c r="D35" s="6"/>
      <c r="E35" s="53"/>
      <c r="F35" s="6"/>
      <c r="G35" s="6"/>
      <c r="H35" s="6"/>
      <c r="I35" s="6"/>
      <c r="J35" s="6"/>
      <c r="K35" s="6"/>
      <c r="L35" s="6"/>
      <c r="M35" s="53"/>
      <c r="N35" s="6"/>
    </row>
    <row r="36" spans="1:16" ht="14.6" thickBot="1">
      <c r="A36" s="593" t="s">
        <v>60</v>
      </c>
      <c r="B36" s="598"/>
      <c r="C36" s="1068">
        <v>9</v>
      </c>
      <c r="D36" s="580">
        <v>6</v>
      </c>
      <c r="E36" s="1065">
        <v>3</v>
      </c>
      <c r="F36" s="580">
        <v>0</v>
      </c>
      <c r="G36" s="580">
        <v>6</v>
      </c>
      <c r="H36" s="1065">
        <v>3</v>
      </c>
      <c r="I36" s="580">
        <v>0</v>
      </c>
      <c r="J36" s="1066">
        <v>0</v>
      </c>
      <c r="K36" s="1068">
        <v>12</v>
      </c>
      <c r="L36" s="580">
        <v>9</v>
      </c>
      <c r="M36" s="1065">
        <v>0</v>
      </c>
      <c r="N36" s="1068">
        <v>9</v>
      </c>
      <c r="O36" s="580">
        <v>6</v>
      </c>
      <c r="P36" s="1039">
        <v>0</v>
      </c>
    </row>
    <row r="37" spans="1:16" ht="14.6" thickBot="1">
      <c r="A37" s="593" t="s">
        <v>384</v>
      </c>
      <c r="B37" s="598"/>
      <c r="C37" s="1327">
        <f t="shared" ref="C37:P37" si="0">C30-C36</f>
        <v>0</v>
      </c>
      <c r="D37" s="1305">
        <f t="shared" si="0"/>
        <v>0</v>
      </c>
      <c r="E37" s="1311">
        <f t="shared" si="0"/>
        <v>0</v>
      </c>
      <c r="F37" s="1323">
        <f t="shared" si="0"/>
        <v>0</v>
      </c>
      <c r="G37" s="1305">
        <f t="shared" si="0"/>
        <v>0</v>
      </c>
      <c r="H37" s="1311">
        <f t="shared" si="0"/>
        <v>0</v>
      </c>
      <c r="I37" s="1305">
        <f t="shared" si="0"/>
        <v>0</v>
      </c>
      <c r="J37" s="1338">
        <f t="shared" si="0"/>
        <v>0</v>
      </c>
      <c r="K37" s="1327">
        <f t="shared" si="0"/>
        <v>0</v>
      </c>
      <c r="L37" s="1305">
        <f t="shared" si="0"/>
        <v>0</v>
      </c>
      <c r="M37" s="1311">
        <f t="shared" si="0"/>
        <v>0</v>
      </c>
      <c r="N37" s="1327">
        <f t="shared" si="0"/>
        <v>0</v>
      </c>
      <c r="O37" s="1305">
        <f t="shared" si="0"/>
        <v>0</v>
      </c>
      <c r="P37" s="1350">
        <f t="shared" si="0"/>
        <v>0</v>
      </c>
    </row>
    <row r="38" spans="1:16">
      <c r="A38" s="6"/>
      <c r="B38" s="6"/>
      <c r="C38" s="6"/>
      <c r="D38" s="6"/>
      <c r="E38" s="53"/>
      <c r="F38" s="6"/>
      <c r="G38" s="6"/>
      <c r="H38" s="6"/>
      <c r="I38" s="6"/>
      <c r="J38" s="6"/>
      <c r="K38" s="6"/>
      <c r="L38" s="6"/>
      <c r="M38" s="53"/>
      <c r="N38" s="6"/>
    </row>
    <row r="39" spans="1:16">
      <c r="A39" s="6"/>
      <c r="B39" s="6"/>
      <c r="C39" s="6"/>
      <c r="D39" s="6"/>
      <c r="E39" s="53"/>
      <c r="F39" s="6"/>
      <c r="G39" s="6"/>
      <c r="H39" s="6"/>
      <c r="I39" s="6"/>
      <c r="J39" s="6"/>
      <c r="K39" s="6"/>
      <c r="L39" s="6"/>
      <c r="M39" s="53"/>
      <c r="N39" s="6"/>
    </row>
    <row r="40" spans="1:16">
      <c r="A40" s="6"/>
      <c r="B40" s="6"/>
      <c r="C40" s="6"/>
      <c r="D40" s="6"/>
      <c r="E40" s="53"/>
      <c r="F40" s="6"/>
      <c r="G40" s="6"/>
      <c r="H40" s="6"/>
      <c r="I40" s="6"/>
      <c r="J40" s="6"/>
      <c r="K40" s="6"/>
      <c r="L40" s="6"/>
      <c r="M40" s="53"/>
      <c r="N40" s="6"/>
    </row>
    <row r="41" spans="1:16">
      <c r="A41" s="6"/>
      <c r="B41" s="6"/>
      <c r="C41" s="6"/>
      <c r="D41" s="6"/>
      <c r="E41" s="53"/>
      <c r="F41" s="6"/>
      <c r="G41" s="6"/>
      <c r="H41" s="6"/>
      <c r="I41" s="6"/>
      <c r="J41" s="6"/>
      <c r="K41" s="6"/>
      <c r="L41" s="6"/>
      <c r="M41" s="53"/>
      <c r="N41" s="6"/>
    </row>
  </sheetData>
  <mergeCells count="6">
    <mergeCell ref="A4:P4"/>
    <mergeCell ref="A6:B12"/>
    <mergeCell ref="C6:H7"/>
    <mergeCell ref="K6:P6"/>
    <mergeCell ref="N7:P7"/>
    <mergeCell ref="N8:P8"/>
  </mergeCells>
  <printOptions horizontalCentered="1"/>
  <pageMargins left="0.19685039370078741" right="0.19685039370078741" top="0.62992125984251968" bottom="0.47244094488188981" header="0.39370078740157483" footer="0.27559055118110237"/>
  <pageSetup paperSize="9" orientation="landscape" r:id="rId1"/>
  <headerFooter alignWithMargins="0">
    <oddHeader>&amp;C&amp;"Arial,Standard"&amp;8- 20 -&amp;R&amp;8&amp;D</oddHeader>
    <oddFooter>&amp;R
&amp;12...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>
    <tabColor theme="0" tint="-0.499984740745262"/>
  </sheetPr>
  <dimension ref="A1:AC42"/>
  <sheetViews>
    <sheetView zoomScaleNormal="100" zoomScaleSheetLayoutView="100" workbookViewId="0">
      <selection activeCell="O37" sqref="O37"/>
    </sheetView>
  </sheetViews>
  <sheetFormatPr baseColWidth="10" defaultColWidth="11.3828125" defaultRowHeight="14.15"/>
  <cols>
    <col min="1" max="1" width="5.69140625" style="270" customWidth="1"/>
    <col min="2" max="2" width="0.84375" style="270" customWidth="1"/>
    <col min="3" max="4" width="7.69140625" style="270" customWidth="1"/>
    <col min="5" max="5" width="7.69140625" style="275" customWidth="1"/>
    <col min="6" max="8" width="7.69140625" style="270" customWidth="1"/>
    <col min="9" max="10" width="10.69140625" style="270" customWidth="1"/>
    <col min="11" max="12" width="7.69140625" style="270" customWidth="1"/>
    <col min="13" max="13" width="7.69140625" style="275" customWidth="1"/>
    <col min="14" max="16" width="7.69140625" style="270" customWidth="1"/>
    <col min="17" max="16384" width="11.3828125" style="270"/>
  </cols>
  <sheetData>
    <row r="1" spans="1:29" ht="13.2" customHeight="1"/>
    <row r="2" spans="1:29" ht="13.2" customHeight="1">
      <c r="A2" s="728" t="s">
        <v>213</v>
      </c>
      <c r="B2" s="863"/>
      <c r="C2" s="863"/>
      <c r="D2" s="513"/>
      <c r="E2" s="513"/>
      <c r="F2" s="513"/>
      <c r="G2" s="513"/>
      <c r="H2" s="513"/>
      <c r="I2" s="909"/>
      <c r="J2" s="909"/>
      <c r="K2" s="909"/>
      <c r="L2" s="909"/>
      <c r="M2" s="909"/>
      <c r="N2" s="534"/>
    </row>
    <row r="3" spans="1:29" ht="10.95" customHeight="1">
      <c r="A3" s="996"/>
      <c r="B3" s="996"/>
      <c r="C3" s="910"/>
      <c r="D3" s="910"/>
      <c r="E3" s="911"/>
      <c r="F3" s="910"/>
      <c r="G3" s="910"/>
      <c r="H3" s="910"/>
      <c r="I3" s="910"/>
      <c r="K3" s="910"/>
      <c r="L3" s="910"/>
      <c r="M3" s="911" t="s">
        <v>40</v>
      </c>
      <c r="N3" s="910"/>
    </row>
    <row r="4" spans="1:29" ht="13.95" customHeight="1">
      <c r="A4" s="1600" t="s">
        <v>196</v>
      </c>
      <c r="B4" s="1600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29" ht="10.95" customHeight="1" thickBot="1">
      <c r="A5" s="910"/>
      <c r="B5" s="910"/>
      <c r="C5" s="910"/>
      <c r="D5" s="910"/>
      <c r="E5" s="911"/>
      <c r="F5" s="910"/>
      <c r="G5" s="910"/>
      <c r="H5" s="910"/>
      <c r="I5" s="910"/>
      <c r="J5" s="910"/>
      <c r="K5" s="910"/>
      <c r="L5" s="910"/>
      <c r="M5" s="911"/>
      <c r="N5" s="910"/>
    </row>
    <row r="6" spans="1:29" ht="25" customHeight="1">
      <c r="A6" s="1603" t="s">
        <v>43</v>
      </c>
      <c r="B6" s="1532"/>
      <c r="C6" s="1604" t="s">
        <v>358</v>
      </c>
      <c r="D6" s="1604" t="s">
        <v>115</v>
      </c>
      <c r="E6" s="1604" t="s">
        <v>115</v>
      </c>
      <c r="F6" s="1604" t="s">
        <v>115</v>
      </c>
      <c r="G6" s="1604" t="s">
        <v>115</v>
      </c>
      <c r="H6" s="1605" t="s">
        <v>115</v>
      </c>
      <c r="I6" s="875" t="s">
        <v>0</v>
      </c>
      <c r="J6" s="875" t="s">
        <v>1</v>
      </c>
      <c r="K6" s="1611" t="s">
        <v>210</v>
      </c>
      <c r="L6" s="1601"/>
      <c r="M6" s="1601"/>
      <c r="N6" s="1601"/>
      <c r="O6" s="1601"/>
      <c r="P6" s="1602"/>
    </row>
    <row r="7" spans="1:29" s="271" customFormat="1" ht="12" customHeight="1">
      <c r="A7" s="1533"/>
      <c r="B7" s="1534"/>
      <c r="C7" s="1606"/>
      <c r="D7" s="1606"/>
      <c r="E7" s="1606"/>
      <c r="F7" s="1606"/>
      <c r="G7" s="1606"/>
      <c r="H7" s="1607"/>
      <c r="I7" s="876" t="s">
        <v>3</v>
      </c>
      <c r="J7" s="876" t="s">
        <v>4</v>
      </c>
      <c r="K7" s="877"/>
      <c r="L7" s="876"/>
      <c r="M7" s="878"/>
      <c r="N7" s="1608" t="s">
        <v>312</v>
      </c>
      <c r="O7" s="1609"/>
      <c r="P7" s="1610"/>
    </row>
    <row r="8" spans="1:29" s="271" customFormat="1" ht="12" customHeight="1">
      <c r="A8" s="1533"/>
      <c r="B8" s="1534"/>
      <c r="C8" s="879"/>
      <c r="D8" s="880"/>
      <c r="E8" s="880"/>
      <c r="F8" s="21" t="s">
        <v>165</v>
      </c>
      <c r="G8" s="881"/>
      <c r="H8" s="882"/>
      <c r="I8" s="876" t="s">
        <v>8</v>
      </c>
      <c r="J8" s="876" t="s">
        <v>8</v>
      </c>
      <c r="K8" s="883"/>
      <c r="L8" s="880"/>
      <c r="M8" s="884"/>
      <c r="N8" s="1522" t="s">
        <v>313</v>
      </c>
      <c r="O8" s="1523"/>
      <c r="P8" s="1525"/>
      <c r="Q8" s="515"/>
      <c r="R8" s="513"/>
      <c r="S8" s="513"/>
      <c r="T8" s="513"/>
      <c r="U8" s="513"/>
      <c r="V8" s="513"/>
      <c r="W8" s="513"/>
      <c r="X8" s="513"/>
      <c r="Y8" s="513"/>
      <c r="Z8" s="514"/>
      <c r="AA8" s="513"/>
      <c r="AB8" s="513"/>
      <c r="AC8" s="516" t="s">
        <v>110</v>
      </c>
    </row>
    <row r="9" spans="1:29" s="271" customFormat="1" ht="12" customHeight="1">
      <c r="A9" s="1533"/>
      <c r="B9" s="1534"/>
      <c r="C9" s="1125"/>
      <c r="D9" s="876"/>
      <c r="E9" s="876"/>
      <c r="F9" s="886" t="s">
        <v>295</v>
      </c>
      <c r="G9" s="887"/>
      <c r="H9" s="888"/>
      <c r="I9" s="876" t="s">
        <v>20</v>
      </c>
      <c r="J9" s="876" t="s">
        <v>20</v>
      </c>
      <c r="K9" s="883"/>
      <c r="L9" s="880"/>
      <c r="M9" s="889"/>
      <c r="N9" s="890"/>
      <c r="O9" s="891"/>
      <c r="P9" s="892"/>
    </row>
    <row r="10" spans="1:29" s="271" customFormat="1" ht="12" customHeight="1">
      <c r="A10" s="1533"/>
      <c r="B10" s="1534"/>
      <c r="C10" s="894" t="s">
        <v>19</v>
      </c>
      <c r="D10" s="876" t="s">
        <v>17</v>
      </c>
      <c r="E10" s="876" t="s">
        <v>18</v>
      </c>
      <c r="F10" s="893"/>
      <c r="G10" s="893"/>
      <c r="H10" s="893"/>
      <c r="I10" s="876" t="s">
        <v>33</v>
      </c>
      <c r="J10" s="876" t="s">
        <v>33</v>
      </c>
      <c r="K10" s="894" t="s">
        <v>19</v>
      </c>
      <c r="L10" s="895" t="s">
        <v>17</v>
      </c>
      <c r="M10" s="896" t="s">
        <v>18</v>
      </c>
      <c r="N10" s="897" t="s">
        <v>19</v>
      </c>
      <c r="O10" s="898" t="s">
        <v>17</v>
      </c>
      <c r="P10" s="899" t="s">
        <v>18</v>
      </c>
    </row>
    <row r="11" spans="1:29" s="271" customFormat="1" ht="12" customHeight="1">
      <c r="A11" s="1533"/>
      <c r="B11" s="1534"/>
      <c r="C11" s="894" t="s">
        <v>29</v>
      </c>
      <c r="D11" s="1126" t="s">
        <v>28</v>
      </c>
      <c r="E11" s="880" t="s">
        <v>28</v>
      </c>
      <c r="F11" s="900" t="s">
        <v>30</v>
      </c>
      <c r="G11" s="900" t="s">
        <v>31</v>
      </c>
      <c r="H11" s="901" t="s">
        <v>32</v>
      </c>
      <c r="I11" s="876" t="s">
        <v>39</v>
      </c>
      <c r="J11" s="876" t="s">
        <v>39</v>
      </c>
      <c r="K11" s="894" t="s">
        <v>29</v>
      </c>
      <c r="L11" s="895" t="s">
        <v>28</v>
      </c>
      <c r="M11" s="896" t="s">
        <v>34</v>
      </c>
      <c r="N11" s="897" t="s">
        <v>29</v>
      </c>
      <c r="O11" s="898" t="s">
        <v>28</v>
      </c>
      <c r="P11" s="899" t="s">
        <v>34</v>
      </c>
    </row>
    <row r="12" spans="1:29" s="271" customFormat="1" ht="10.95" customHeight="1">
      <c r="A12" s="1535"/>
      <c r="B12" s="1536"/>
      <c r="C12" s="885"/>
      <c r="D12" s="876"/>
      <c r="E12" s="876"/>
      <c r="F12" s="902"/>
      <c r="G12" s="902"/>
      <c r="H12" s="903"/>
      <c r="I12" s="876"/>
      <c r="J12" s="876"/>
      <c r="K12" s="904"/>
      <c r="L12" s="905"/>
      <c r="M12" s="886"/>
      <c r="N12" s="906"/>
      <c r="O12" s="905"/>
      <c r="P12" s="907"/>
    </row>
    <row r="13" spans="1:29" ht="15" customHeight="1">
      <c r="A13" s="592" t="s">
        <v>58</v>
      </c>
      <c r="B13" s="601"/>
      <c r="C13" s="1078">
        <v>60</v>
      </c>
      <c r="D13" s="1076">
        <v>42</v>
      </c>
      <c r="E13" s="1077">
        <v>21</v>
      </c>
      <c r="F13" s="1076">
        <v>24</v>
      </c>
      <c r="G13" s="1076">
        <v>18</v>
      </c>
      <c r="H13" s="1077">
        <v>21</v>
      </c>
      <c r="I13" s="1067">
        <v>24</v>
      </c>
      <c r="J13" s="1067">
        <v>3</v>
      </c>
      <c r="K13" s="1080">
        <v>18</v>
      </c>
      <c r="L13" s="1076">
        <v>15</v>
      </c>
      <c r="M13" s="1077">
        <v>3</v>
      </c>
      <c r="N13" s="1080">
        <v>18</v>
      </c>
      <c r="O13" s="1076">
        <v>15</v>
      </c>
      <c r="P13" s="1084">
        <v>3</v>
      </c>
    </row>
    <row r="14" spans="1:29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29" ht="15" customHeight="1">
      <c r="A15" s="592" t="s">
        <v>52</v>
      </c>
      <c r="B15" s="595"/>
      <c r="C15" s="1069">
        <v>99</v>
      </c>
      <c r="D15" s="5">
        <v>75</v>
      </c>
      <c r="E15" s="396">
        <v>24</v>
      </c>
      <c r="F15" s="5">
        <v>36</v>
      </c>
      <c r="G15" s="5">
        <v>33</v>
      </c>
      <c r="H15" s="396">
        <v>30</v>
      </c>
      <c r="I15" s="396">
        <v>39</v>
      </c>
      <c r="J15" s="396">
        <v>3</v>
      </c>
      <c r="K15" s="1081">
        <v>30</v>
      </c>
      <c r="L15" s="5">
        <v>24</v>
      </c>
      <c r="M15" s="396">
        <v>6</v>
      </c>
      <c r="N15" s="1081">
        <v>30</v>
      </c>
      <c r="O15" s="5">
        <v>24</v>
      </c>
      <c r="P15" s="1038">
        <v>6</v>
      </c>
    </row>
    <row r="16" spans="1:29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43"/>
      <c r="C17" s="1069">
        <v>42</v>
      </c>
      <c r="D17" s="5">
        <v>39</v>
      </c>
      <c r="E17" s="396">
        <v>3</v>
      </c>
      <c r="F17" s="5">
        <v>18</v>
      </c>
      <c r="G17" s="5">
        <v>15</v>
      </c>
      <c r="H17" s="396">
        <v>9</v>
      </c>
      <c r="I17" s="396">
        <v>18</v>
      </c>
      <c r="J17" s="396">
        <v>0</v>
      </c>
      <c r="K17" s="1081">
        <v>18</v>
      </c>
      <c r="L17" s="5">
        <v>15</v>
      </c>
      <c r="M17" s="396">
        <v>3</v>
      </c>
      <c r="N17" s="1081">
        <v>18</v>
      </c>
      <c r="O17" s="5">
        <v>15</v>
      </c>
      <c r="P17" s="1038">
        <v>3</v>
      </c>
    </row>
    <row r="18" spans="1:16" ht="15" customHeight="1">
      <c r="A18" s="592" t="s">
        <v>50</v>
      </c>
      <c r="B18" s="595"/>
      <c r="C18" s="1069">
        <v>6</v>
      </c>
      <c r="D18" s="5">
        <v>3</v>
      </c>
      <c r="E18" s="396">
        <v>3</v>
      </c>
      <c r="F18" s="5">
        <v>6</v>
      </c>
      <c r="G18" s="5">
        <v>0</v>
      </c>
      <c r="H18" s="396">
        <v>0</v>
      </c>
      <c r="I18" s="396">
        <v>6</v>
      </c>
      <c r="J18" s="396">
        <v>0</v>
      </c>
      <c r="K18" s="1081">
        <v>0</v>
      </c>
      <c r="L18" s="5">
        <v>0</v>
      </c>
      <c r="M18" s="396">
        <v>0</v>
      </c>
      <c r="N18" s="1081">
        <v>0</v>
      </c>
      <c r="O18" s="5">
        <v>0</v>
      </c>
      <c r="P18" s="1038">
        <v>0</v>
      </c>
    </row>
    <row r="19" spans="1:16" ht="15" customHeight="1">
      <c r="A19" s="592" t="s">
        <v>54</v>
      </c>
      <c r="B19" s="595"/>
      <c r="C19" s="1069">
        <v>12</v>
      </c>
      <c r="D19" s="5">
        <v>9</v>
      </c>
      <c r="E19" s="396">
        <v>0</v>
      </c>
      <c r="F19" s="5">
        <v>3</v>
      </c>
      <c r="G19" s="5">
        <v>3</v>
      </c>
      <c r="H19" s="396">
        <v>3</v>
      </c>
      <c r="I19" s="396">
        <v>3</v>
      </c>
      <c r="J19" s="396">
        <v>0</v>
      </c>
      <c r="K19" s="1081">
        <v>6</v>
      </c>
      <c r="L19" s="5">
        <v>3</v>
      </c>
      <c r="M19" s="396">
        <v>0</v>
      </c>
      <c r="N19" s="1081">
        <v>6</v>
      </c>
      <c r="O19" s="5">
        <v>3</v>
      </c>
      <c r="P19" s="1038">
        <v>0</v>
      </c>
    </row>
    <row r="20" spans="1:16" ht="15" customHeight="1">
      <c r="A20" s="592" t="s">
        <v>44</v>
      </c>
      <c r="B20" s="595"/>
      <c r="C20" s="1069">
        <v>48</v>
      </c>
      <c r="D20" s="5">
        <v>39</v>
      </c>
      <c r="E20" s="396">
        <v>9</v>
      </c>
      <c r="F20" s="5">
        <v>15</v>
      </c>
      <c r="G20" s="5">
        <v>12</v>
      </c>
      <c r="H20" s="396">
        <v>18</v>
      </c>
      <c r="I20" s="396">
        <v>15</v>
      </c>
      <c r="J20" s="396">
        <v>0</v>
      </c>
      <c r="K20" s="1081">
        <v>15</v>
      </c>
      <c r="L20" s="5">
        <v>12</v>
      </c>
      <c r="M20" s="396">
        <v>3</v>
      </c>
      <c r="N20" s="1081">
        <v>15</v>
      </c>
      <c r="O20" s="5">
        <v>9</v>
      </c>
      <c r="P20" s="1038">
        <v>3</v>
      </c>
    </row>
    <row r="21" spans="1:16" ht="15" customHeight="1">
      <c r="A21" s="592" t="s">
        <v>45</v>
      </c>
      <c r="B21" s="595"/>
      <c r="C21" s="1069">
        <v>333</v>
      </c>
      <c r="D21" s="5">
        <v>258</v>
      </c>
      <c r="E21" s="396">
        <v>75</v>
      </c>
      <c r="F21" s="5">
        <v>117</v>
      </c>
      <c r="G21" s="5">
        <v>120</v>
      </c>
      <c r="H21" s="396">
        <v>96</v>
      </c>
      <c r="I21" s="396">
        <v>120</v>
      </c>
      <c r="J21" s="396">
        <v>12</v>
      </c>
      <c r="K21" s="1081">
        <v>105</v>
      </c>
      <c r="L21" s="5">
        <v>75</v>
      </c>
      <c r="M21" s="396">
        <v>27</v>
      </c>
      <c r="N21" s="1081">
        <v>99</v>
      </c>
      <c r="O21" s="5">
        <v>72</v>
      </c>
      <c r="P21" s="1038">
        <v>27</v>
      </c>
    </row>
    <row r="22" spans="1:16" ht="15" customHeight="1">
      <c r="A22" s="592" t="s">
        <v>55</v>
      </c>
      <c r="B22" s="595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18</v>
      </c>
      <c r="D24" s="5">
        <v>15</v>
      </c>
      <c r="E24" s="396">
        <v>3</v>
      </c>
      <c r="F24" s="5">
        <v>9</v>
      </c>
      <c r="G24" s="5">
        <v>3</v>
      </c>
      <c r="H24" s="396">
        <v>6</v>
      </c>
      <c r="I24" s="258">
        <v>9</v>
      </c>
      <c r="J24" s="258">
        <v>3</v>
      </c>
      <c r="K24" s="1081">
        <v>3</v>
      </c>
      <c r="L24" s="5">
        <v>3</v>
      </c>
      <c r="M24" s="396">
        <v>0</v>
      </c>
      <c r="N24" s="1081">
        <v>3</v>
      </c>
      <c r="O24" s="5">
        <v>3</v>
      </c>
      <c r="P24" s="1038">
        <v>0</v>
      </c>
    </row>
    <row r="25" spans="1:16" ht="15" customHeight="1">
      <c r="A25" s="592" t="s">
        <v>51</v>
      </c>
      <c r="B25" s="595"/>
      <c r="C25" s="1069">
        <v>33</v>
      </c>
      <c r="D25" s="5">
        <v>27</v>
      </c>
      <c r="E25" s="396">
        <v>3</v>
      </c>
      <c r="F25" s="5">
        <v>12</v>
      </c>
      <c r="G25" s="5">
        <v>12</v>
      </c>
      <c r="H25" s="396">
        <v>9</v>
      </c>
      <c r="I25" s="396">
        <v>12</v>
      </c>
      <c r="J25" s="396">
        <v>3</v>
      </c>
      <c r="K25" s="1081">
        <v>15</v>
      </c>
      <c r="L25" s="5">
        <v>15</v>
      </c>
      <c r="M25" s="396">
        <v>0</v>
      </c>
      <c r="N25" s="1081">
        <v>15</v>
      </c>
      <c r="O25" s="5">
        <v>12</v>
      </c>
      <c r="P25" s="1038">
        <v>0</v>
      </c>
    </row>
    <row r="26" spans="1:16" ht="15" customHeight="1">
      <c r="A26" s="592" t="s">
        <v>56</v>
      </c>
      <c r="B26" s="595"/>
      <c r="C26" s="1069">
        <v>57</v>
      </c>
      <c r="D26" s="5">
        <v>42</v>
      </c>
      <c r="E26" s="396">
        <v>15</v>
      </c>
      <c r="F26" s="5">
        <v>24</v>
      </c>
      <c r="G26" s="5">
        <v>21</v>
      </c>
      <c r="H26" s="396">
        <v>12</v>
      </c>
      <c r="I26" s="396">
        <v>24</v>
      </c>
      <c r="J26" s="396">
        <v>0</v>
      </c>
      <c r="K26" s="1081">
        <v>12</v>
      </c>
      <c r="L26" s="5">
        <v>9</v>
      </c>
      <c r="M26" s="396">
        <v>3</v>
      </c>
      <c r="N26" s="1081">
        <v>12</v>
      </c>
      <c r="O26" s="5">
        <v>9</v>
      </c>
      <c r="P26" s="1038">
        <v>3</v>
      </c>
    </row>
    <row r="27" spans="1:16" s="271" customFormat="1" ht="15" customHeight="1">
      <c r="A27" s="592" t="s">
        <v>57</v>
      </c>
      <c r="B27" s="595"/>
      <c r="C27" s="1069">
        <v>27</v>
      </c>
      <c r="D27" s="5">
        <v>18</v>
      </c>
      <c r="E27" s="396">
        <v>9</v>
      </c>
      <c r="F27" s="5">
        <v>9</v>
      </c>
      <c r="G27" s="5">
        <v>6</v>
      </c>
      <c r="H27" s="396">
        <v>15</v>
      </c>
      <c r="I27" s="396">
        <v>6</v>
      </c>
      <c r="J27" s="396">
        <v>0</v>
      </c>
      <c r="K27" s="1081">
        <v>3</v>
      </c>
      <c r="L27" s="5">
        <v>3</v>
      </c>
      <c r="M27" s="396">
        <v>0</v>
      </c>
      <c r="N27" s="1081">
        <v>3</v>
      </c>
      <c r="O27" s="5">
        <v>3</v>
      </c>
      <c r="P27" s="1038">
        <v>0</v>
      </c>
    </row>
    <row r="28" spans="1:16" s="272" customFormat="1" ht="15" customHeight="1">
      <c r="A28" s="592" t="s">
        <v>59</v>
      </c>
      <c r="B28" s="595"/>
      <c r="C28" s="1069">
        <v>15</v>
      </c>
      <c r="D28" s="5">
        <v>6</v>
      </c>
      <c r="E28" s="396">
        <v>6</v>
      </c>
      <c r="F28" s="5">
        <v>6</v>
      </c>
      <c r="G28" s="5">
        <v>6</v>
      </c>
      <c r="H28" s="396">
        <v>3</v>
      </c>
      <c r="I28" s="1037">
        <v>9</v>
      </c>
      <c r="J28" s="1037">
        <v>0</v>
      </c>
      <c r="K28" s="1081">
        <v>3</v>
      </c>
      <c r="L28" s="5">
        <v>3</v>
      </c>
      <c r="M28" s="396">
        <v>0</v>
      </c>
      <c r="N28" s="1081">
        <v>3</v>
      </c>
      <c r="O28" s="5">
        <v>3</v>
      </c>
      <c r="P28" s="1038">
        <v>0</v>
      </c>
    </row>
    <row r="29" spans="1:16" s="337" customFormat="1" ht="4.5" customHeight="1">
      <c r="A29" s="656"/>
      <c r="B29" s="595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273" customFormat="1" ht="21" customHeight="1" thickBot="1">
      <c r="A30" s="593" t="s">
        <v>60</v>
      </c>
      <c r="B30" s="658"/>
      <c r="C30" s="1068">
        <v>747</v>
      </c>
      <c r="D30" s="580">
        <v>573</v>
      </c>
      <c r="E30" s="1065">
        <v>174</v>
      </c>
      <c r="F30" s="580">
        <v>279</v>
      </c>
      <c r="G30" s="580">
        <v>246</v>
      </c>
      <c r="H30" s="1065">
        <v>219</v>
      </c>
      <c r="I30" s="1066">
        <v>285</v>
      </c>
      <c r="J30" s="1066">
        <v>27</v>
      </c>
      <c r="K30" s="580">
        <v>228</v>
      </c>
      <c r="L30" s="580">
        <v>180</v>
      </c>
      <c r="M30" s="1065">
        <v>48</v>
      </c>
      <c r="N30" s="580">
        <v>216</v>
      </c>
      <c r="O30" s="580">
        <v>171</v>
      </c>
      <c r="P30" s="1039">
        <v>48</v>
      </c>
    </row>
    <row r="31" spans="1:16" s="274" customFormat="1" ht="3.65" customHeight="1">
      <c r="A31" s="71"/>
      <c r="B31" s="71"/>
      <c r="C31" s="68"/>
      <c r="D31" s="68"/>
      <c r="E31" s="68"/>
      <c r="F31" s="68"/>
      <c r="G31" s="68"/>
      <c r="H31" s="68"/>
      <c r="I31" s="265"/>
      <c r="J31" s="68"/>
      <c r="K31" s="68"/>
      <c r="L31" s="68"/>
      <c r="M31" s="68"/>
      <c r="N31" s="68"/>
      <c r="O31" s="54"/>
      <c r="P31" s="54"/>
    </row>
    <row r="32" spans="1:16" s="274" customFormat="1" ht="10.95" customHeight="1">
      <c r="A32" s="70" t="s">
        <v>297</v>
      </c>
      <c r="B32" s="70"/>
      <c r="C32" s="68"/>
      <c r="D32" s="68"/>
      <c r="E32" s="68"/>
      <c r="F32" s="68"/>
      <c r="G32" s="68"/>
      <c r="H32" s="68"/>
      <c r="I32" s="265"/>
      <c r="J32" s="68"/>
      <c r="K32" s="68"/>
      <c r="L32" s="68"/>
      <c r="M32" s="68"/>
      <c r="N32" s="68"/>
      <c r="O32" s="54"/>
      <c r="P32" s="54"/>
    </row>
    <row r="33" spans="1:16" s="274" customFormat="1" ht="25" customHeight="1">
      <c r="A33" s="73"/>
      <c r="B33" s="73"/>
      <c r="C33" s="68"/>
      <c r="D33" s="68"/>
      <c r="E33" s="68"/>
      <c r="F33" s="68"/>
      <c r="G33" s="68"/>
      <c r="H33" s="68"/>
      <c r="I33" s="265"/>
      <c r="J33" s="68"/>
      <c r="K33" s="68"/>
      <c r="L33" s="68"/>
      <c r="M33" s="68"/>
      <c r="N33" s="68"/>
      <c r="O33" s="54"/>
      <c r="P33" s="54"/>
    </row>
    <row r="34" spans="1:16" s="274" customFormat="1">
      <c r="A34" s="73"/>
      <c r="B34" s="73"/>
      <c r="C34" s="68"/>
      <c r="D34" s="68"/>
      <c r="E34" s="68"/>
      <c r="F34" s="68"/>
      <c r="G34" s="68"/>
      <c r="H34" s="68"/>
      <c r="I34" s="265"/>
      <c r="J34" s="68"/>
      <c r="K34" s="68"/>
      <c r="L34" s="68"/>
      <c r="M34" s="68"/>
      <c r="N34" s="68"/>
      <c r="O34" s="54"/>
      <c r="P34" s="54"/>
    </row>
    <row r="35" spans="1:16" s="274" customFormat="1">
      <c r="C35" s="68"/>
      <c r="D35" s="68"/>
      <c r="E35" s="68"/>
      <c r="F35" s="68"/>
      <c r="G35" s="68"/>
      <c r="H35" s="68"/>
      <c r="I35" s="265"/>
      <c r="J35" s="68"/>
      <c r="K35" s="68"/>
      <c r="L35" s="68"/>
      <c r="M35" s="68"/>
      <c r="N35" s="68"/>
      <c r="O35" s="54"/>
      <c r="P35" s="54"/>
    </row>
    <row r="36" spans="1:16" ht="14.6" thickBot="1">
      <c r="A36" s="593" t="s">
        <v>60</v>
      </c>
      <c r="B36" s="598"/>
      <c r="C36" s="1068">
        <v>750</v>
      </c>
      <c r="D36" s="580">
        <v>573</v>
      </c>
      <c r="E36" s="1065">
        <v>171</v>
      </c>
      <c r="F36" s="580">
        <v>279</v>
      </c>
      <c r="G36" s="580">
        <v>249</v>
      </c>
      <c r="H36" s="1065">
        <v>222</v>
      </c>
      <c r="I36" s="580">
        <v>285</v>
      </c>
      <c r="J36" s="1066">
        <v>24</v>
      </c>
      <c r="K36" s="1068">
        <v>228</v>
      </c>
      <c r="L36" s="580">
        <v>177</v>
      </c>
      <c r="M36" s="1065">
        <v>45</v>
      </c>
      <c r="N36" s="1068">
        <v>222</v>
      </c>
      <c r="O36" s="580">
        <v>168</v>
      </c>
      <c r="P36" s="1039">
        <v>45</v>
      </c>
    </row>
    <row r="37" spans="1:16" ht="14.6" thickBot="1">
      <c r="A37" s="593" t="s">
        <v>384</v>
      </c>
      <c r="B37" s="598"/>
      <c r="C37" s="1328">
        <f t="shared" ref="C37:P37" si="0">C30-C36</f>
        <v>-3</v>
      </c>
      <c r="D37" s="1305">
        <f t="shared" si="0"/>
        <v>0</v>
      </c>
      <c r="E37" s="1298">
        <f t="shared" si="0"/>
        <v>3</v>
      </c>
      <c r="F37" s="1323">
        <f t="shared" si="0"/>
        <v>0</v>
      </c>
      <c r="G37" s="1295">
        <f t="shared" si="0"/>
        <v>-3</v>
      </c>
      <c r="H37" s="1296">
        <f t="shared" si="0"/>
        <v>-3</v>
      </c>
      <c r="I37" s="1305">
        <f t="shared" si="0"/>
        <v>0</v>
      </c>
      <c r="J37" s="1337">
        <f t="shared" si="0"/>
        <v>3</v>
      </c>
      <c r="K37" s="1327">
        <f t="shared" si="0"/>
        <v>0</v>
      </c>
      <c r="L37" s="1297">
        <f t="shared" si="0"/>
        <v>3</v>
      </c>
      <c r="M37" s="1298">
        <f t="shared" si="0"/>
        <v>3</v>
      </c>
      <c r="N37" s="1328">
        <f t="shared" si="0"/>
        <v>-6</v>
      </c>
      <c r="O37" s="1297">
        <f t="shared" si="0"/>
        <v>3</v>
      </c>
      <c r="P37" s="1353">
        <f t="shared" si="0"/>
        <v>3</v>
      </c>
    </row>
    <row r="38" spans="1:16">
      <c r="A38" s="6"/>
      <c r="B38" s="6"/>
      <c r="C38" s="6"/>
      <c r="D38" s="6"/>
      <c r="E38" s="53"/>
      <c r="F38" s="6"/>
      <c r="G38" s="6"/>
      <c r="H38" s="6"/>
      <c r="I38" s="6"/>
      <c r="J38" s="6"/>
      <c r="K38" s="6"/>
      <c r="L38" s="6"/>
      <c r="M38" s="53"/>
      <c r="N38" s="6"/>
    </row>
    <row r="39" spans="1:16">
      <c r="A39" s="6"/>
      <c r="B39" s="6"/>
      <c r="C39" s="6"/>
      <c r="D39" s="6"/>
      <c r="E39" s="53"/>
      <c r="F39" s="6"/>
      <c r="G39" s="6"/>
      <c r="H39" s="6"/>
      <c r="I39" s="6"/>
      <c r="J39" s="6"/>
      <c r="K39" s="6"/>
      <c r="L39" s="6"/>
      <c r="M39" s="53"/>
      <c r="N39" s="6"/>
    </row>
    <row r="40" spans="1:16">
      <c r="A40" s="6"/>
      <c r="B40" s="6"/>
      <c r="C40" s="6"/>
      <c r="D40" s="6"/>
      <c r="E40" s="53"/>
      <c r="F40" s="6"/>
      <c r="G40" s="6"/>
      <c r="H40" s="6"/>
      <c r="I40" s="6"/>
      <c r="J40" s="6"/>
      <c r="K40" s="6"/>
      <c r="L40" s="6"/>
      <c r="M40" s="53"/>
      <c r="N40" s="6"/>
    </row>
    <row r="41" spans="1:16">
      <c r="A41" s="6"/>
      <c r="B41" s="6"/>
      <c r="C41" s="6"/>
      <c r="D41" s="6"/>
      <c r="E41" s="53"/>
      <c r="F41" s="6"/>
      <c r="G41" s="6"/>
      <c r="H41" s="6"/>
      <c r="I41" s="6"/>
      <c r="J41" s="6"/>
      <c r="K41" s="6"/>
      <c r="L41" s="6"/>
      <c r="M41" s="53"/>
      <c r="N41" s="6"/>
    </row>
    <row r="42" spans="1:16">
      <c r="A42" s="6"/>
      <c r="B42" s="6"/>
      <c r="C42" s="6"/>
      <c r="D42" s="6"/>
      <c r="E42" s="53"/>
      <c r="F42" s="6"/>
      <c r="G42" s="6"/>
      <c r="H42" s="6"/>
      <c r="I42" s="6"/>
      <c r="J42" s="6"/>
      <c r="K42" s="6"/>
      <c r="L42" s="6"/>
      <c r="M42" s="53"/>
      <c r="N42" s="6"/>
    </row>
  </sheetData>
  <mergeCells count="6">
    <mergeCell ref="N7:P7"/>
    <mergeCell ref="N8:P8"/>
    <mergeCell ref="K6:P6"/>
    <mergeCell ref="A4:P4"/>
    <mergeCell ref="A6:B12"/>
    <mergeCell ref="C6:H7"/>
  </mergeCells>
  <printOptions horizontalCentered="1"/>
  <pageMargins left="0.19685039370078741" right="0.19685039370078741" top="0.62992125984251968" bottom="0.47244094488188981" header="0.39370078740157483" footer="0.27559055118110237"/>
  <pageSetup paperSize="9" orientation="landscape" r:id="rId1"/>
  <headerFooter alignWithMargins="0">
    <oddHeader>&amp;C&amp;"Arial,Standard"&amp;8- 21 -&amp;R&amp;8&amp;D</oddHeader>
    <oddFooter>&amp;R
&amp;12...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7">
    <tabColor theme="0" tint="-0.499984740745262"/>
  </sheetPr>
  <dimension ref="A1:AC98"/>
  <sheetViews>
    <sheetView zoomScaleNormal="100" zoomScaleSheetLayoutView="100" workbookViewId="0">
      <selection activeCell="O37" sqref="O37"/>
    </sheetView>
  </sheetViews>
  <sheetFormatPr baseColWidth="10" defaultColWidth="11.3828125" defaultRowHeight="10.3"/>
  <cols>
    <col min="1" max="1" width="5.69140625" style="6" customWidth="1"/>
    <col min="2" max="2" width="0.84375" style="6" customWidth="1"/>
    <col min="3" max="8" width="7.69140625" style="6" customWidth="1"/>
    <col min="9" max="10" width="10.69140625" style="916" customWidth="1"/>
    <col min="11" max="12" width="7.69140625" style="6" customWidth="1"/>
    <col min="13" max="13" width="7.69140625" style="53" customWidth="1"/>
    <col min="14" max="16" width="7.69140625" style="6" customWidth="1"/>
    <col min="17" max="16384" width="11.3828125" style="6"/>
  </cols>
  <sheetData>
    <row r="1" spans="1:29" ht="13.2" customHeight="1"/>
    <row r="2" spans="1:29" ht="13.2" customHeight="1">
      <c r="A2" s="728" t="s">
        <v>213</v>
      </c>
      <c r="B2" s="863"/>
      <c r="C2" s="863"/>
      <c r="D2" s="41"/>
      <c r="E2" s="41"/>
      <c r="F2" s="41"/>
      <c r="G2" s="41"/>
      <c r="H2" s="41"/>
      <c r="I2" s="42"/>
      <c r="J2" s="912" t="s">
        <v>40</v>
      </c>
      <c r="K2" s="43"/>
      <c r="L2" s="41"/>
      <c r="M2" s="41"/>
      <c r="N2" s="534"/>
    </row>
    <row r="3" spans="1:29" ht="10.95" customHeight="1">
      <c r="A3" s="44"/>
      <c r="B3" s="44"/>
      <c r="C3" s="44"/>
      <c r="D3" s="44"/>
      <c r="E3" s="44"/>
      <c r="F3" s="44"/>
      <c r="G3" s="44"/>
      <c r="H3" s="44"/>
      <c r="I3" s="912"/>
      <c r="J3" s="6"/>
      <c r="K3" s="44"/>
      <c r="L3" s="44"/>
      <c r="M3" s="45" t="s">
        <v>40</v>
      </c>
      <c r="N3" s="44"/>
    </row>
    <row r="4" spans="1:29" ht="13.95" customHeight="1">
      <c r="A4" s="1507" t="s">
        <v>159</v>
      </c>
      <c r="B4" s="1507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29" ht="10.95" customHeight="1" thickBot="1">
      <c r="C5" s="65"/>
      <c r="D5" s="65"/>
      <c r="E5" s="65"/>
      <c r="F5" s="65"/>
      <c r="G5" s="65"/>
      <c r="H5" s="65"/>
      <c r="I5" s="913"/>
      <c r="J5" s="913"/>
      <c r="K5" s="65"/>
      <c r="L5" s="65"/>
      <c r="M5" s="914"/>
      <c r="N5" s="65"/>
    </row>
    <row r="6" spans="1:29" ht="25" customHeight="1">
      <c r="A6" s="1603" t="s">
        <v>43</v>
      </c>
      <c r="B6" s="1532"/>
      <c r="C6" s="1604" t="s">
        <v>358</v>
      </c>
      <c r="D6" s="1604" t="s">
        <v>115</v>
      </c>
      <c r="E6" s="1604" t="s">
        <v>115</v>
      </c>
      <c r="F6" s="1604" t="s">
        <v>115</v>
      </c>
      <c r="G6" s="1604" t="s">
        <v>115</v>
      </c>
      <c r="H6" s="1605" t="s">
        <v>115</v>
      </c>
      <c r="I6" s="875" t="s">
        <v>0</v>
      </c>
      <c r="J6" s="875" t="s">
        <v>1</v>
      </c>
      <c r="K6" s="1611" t="s">
        <v>210</v>
      </c>
      <c r="L6" s="1601"/>
      <c r="M6" s="1601"/>
      <c r="N6" s="1601"/>
      <c r="O6" s="1601"/>
      <c r="P6" s="1602"/>
    </row>
    <row r="7" spans="1:29" s="70" customFormat="1" ht="12" customHeight="1">
      <c r="A7" s="1533"/>
      <c r="B7" s="1534"/>
      <c r="C7" s="1606"/>
      <c r="D7" s="1606"/>
      <c r="E7" s="1606"/>
      <c r="F7" s="1606"/>
      <c r="G7" s="1606"/>
      <c r="H7" s="1607"/>
      <c r="I7" s="876" t="s">
        <v>3</v>
      </c>
      <c r="J7" s="876" t="s">
        <v>4</v>
      </c>
      <c r="K7" s="877"/>
      <c r="L7" s="876"/>
      <c r="M7" s="878"/>
      <c r="N7" s="1608" t="s">
        <v>312</v>
      </c>
      <c r="O7" s="1609"/>
      <c r="P7" s="1610"/>
    </row>
    <row r="8" spans="1:29" s="70" customFormat="1" ht="12" customHeight="1">
      <c r="A8" s="1533"/>
      <c r="B8" s="1534"/>
      <c r="C8" s="879"/>
      <c r="D8" s="880"/>
      <c r="E8" s="880"/>
      <c r="F8" s="21" t="s">
        <v>165</v>
      </c>
      <c r="G8" s="881"/>
      <c r="H8" s="882"/>
      <c r="I8" s="876" t="s">
        <v>8</v>
      </c>
      <c r="J8" s="876" t="s">
        <v>8</v>
      </c>
      <c r="K8" s="883"/>
      <c r="L8" s="880"/>
      <c r="M8" s="884"/>
      <c r="N8" s="1522" t="s">
        <v>313</v>
      </c>
      <c r="O8" s="1523"/>
      <c r="P8" s="1525"/>
      <c r="Q8" s="43"/>
      <c r="R8" s="41"/>
      <c r="S8" s="41"/>
      <c r="T8" s="41"/>
      <c r="U8" s="41"/>
      <c r="V8" s="41"/>
      <c r="W8" s="41"/>
      <c r="X8" s="41"/>
      <c r="Y8" s="41"/>
      <c r="Z8" s="42"/>
      <c r="AA8" s="41"/>
      <c r="AB8" s="41"/>
      <c r="AC8" s="64"/>
    </row>
    <row r="9" spans="1:29" s="70" customFormat="1" ht="12" customHeight="1">
      <c r="A9" s="1533"/>
      <c r="B9" s="1534"/>
      <c r="C9" s="1125"/>
      <c r="D9" s="876"/>
      <c r="E9" s="876"/>
      <c r="F9" s="886" t="s">
        <v>295</v>
      </c>
      <c r="G9" s="887"/>
      <c r="H9" s="888"/>
      <c r="I9" s="876" t="s">
        <v>20</v>
      </c>
      <c r="J9" s="876" t="s">
        <v>20</v>
      </c>
      <c r="K9" s="883"/>
      <c r="L9" s="880"/>
      <c r="M9" s="889"/>
      <c r="N9" s="890"/>
      <c r="O9" s="891"/>
      <c r="P9" s="892"/>
    </row>
    <row r="10" spans="1:29" s="70" customFormat="1" ht="12" customHeight="1">
      <c r="A10" s="1533"/>
      <c r="B10" s="1534"/>
      <c r="C10" s="894" t="s">
        <v>19</v>
      </c>
      <c r="D10" s="876" t="s">
        <v>17</v>
      </c>
      <c r="E10" s="876" t="s">
        <v>18</v>
      </c>
      <c r="F10" s="893"/>
      <c r="G10" s="893"/>
      <c r="H10" s="893"/>
      <c r="I10" s="876" t="s">
        <v>33</v>
      </c>
      <c r="J10" s="876" t="s">
        <v>33</v>
      </c>
      <c r="K10" s="894" t="s">
        <v>19</v>
      </c>
      <c r="L10" s="895" t="s">
        <v>17</v>
      </c>
      <c r="M10" s="896" t="s">
        <v>18</v>
      </c>
      <c r="N10" s="897" t="s">
        <v>19</v>
      </c>
      <c r="O10" s="898" t="s">
        <v>17</v>
      </c>
      <c r="P10" s="899" t="s">
        <v>18</v>
      </c>
    </row>
    <row r="11" spans="1:29" s="70" customFormat="1" ht="12" customHeight="1">
      <c r="A11" s="1533"/>
      <c r="B11" s="1534"/>
      <c r="C11" s="894" t="s">
        <v>29</v>
      </c>
      <c r="D11" s="1126" t="s">
        <v>28</v>
      </c>
      <c r="E11" s="880" t="s">
        <v>28</v>
      </c>
      <c r="F11" s="900" t="s">
        <v>30</v>
      </c>
      <c r="G11" s="900" t="s">
        <v>31</v>
      </c>
      <c r="H11" s="901" t="s">
        <v>32</v>
      </c>
      <c r="I11" s="876" t="s">
        <v>39</v>
      </c>
      <c r="J11" s="876" t="s">
        <v>39</v>
      </c>
      <c r="K11" s="894" t="s">
        <v>29</v>
      </c>
      <c r="L11" s="895" t="s">
        <v>28</v>
      </c>
      <c r="M11" s="896" t="s">
        <v>34</v>
      </c>
      <c r="N11" s="897" t="s">
        <v>29</v>
      </c>
      <c r="O11" s="898" t="s">
        <v>28</v>
      </c>
      <c r="P11" s="899" t="s">
        <v>34</v>
      </c>
    </row>
    <row r="12" spans="1:29" ht="11.15" customHeight="1">
      <c r="A12" s="1535"/>
      <c r="B12" s="1536"/>
      <c r="C12" s="885"/>
      <c r="D12" s="876"/>
      <c r="E12" s="876"/>
      <c r="F12" s="902"/>
      <c r="G12" s="902"/>
      <c r="H12" s="903"/>
      <c r="I12" s="876"/>
      <c r="J12" s="876"/>
      <c r="K12" s="904"/>
      <c r="L12" s="905"/>
      <c r="M12" s="886"/>
      <c r="N12" s="906"/>
      <c r="O12" s="905"/>
      <c r="P12" s="907"/>
    </row>
    <row r="13" spans="1:29" ht="15" customHeight="1">
      <c r="A13" s="592" t="s">
        <v>58</v>
      </c>
      <c r="B13" s="601"/>
      <c r="C13" s="1078">
        <v>54</v>
      </c>
      <c r="D13" s="1076">
        <v>12</v>
      </c>
      <c r="E13" s="1077">
        <v>42</v>
      </c>
      <c r="F13" s="1076">
        <v>18</v>
      </c>
      <c r="G13" s="1076">
        <v>18</v>
      </c>
      <c r="H13" s="1077">
        <v>21</v>
      </c>
      <c r="I13" s="1067">
        <v>18</v>
      </c>
      <c r="J13" s="1067">
        <v>0</v>
      </c>
      <c r="K13" s="1080">
        <v>15</v>
      </c>
      <c r="L13" s="1076">
        <v>3</v>
      </c>
      <c r="M13" s="1077">
        <v>12</v>
      </c>
      <c r="N13" s="1080">
        <v>15</v>
      </c>
      <c r="O13" s="1076">
        <v>3</v>
      </c>
      <c r="P13" s="1084">
        <v>12</v>
      </c>
    </row>
    <row r="14" spans="1:29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29" ht="15" customHeight="1">
      <c r="A15" s="592" t="s">
        <v>52</v>
      </c>
      <c r="B15" s="595"/>
      <c r="C15" s="1069">
        <v>90</v>
      </c>
      <c r="D15" s="5">
        <v>21</v>
      </c>
      <c r="E15" s="396">
        <v>69</v>
      </c>
      <c r="F15" s="5">
        <v>30</v>
      </c>
      <c r="G15" s="5">
        <v>30</v>
      </c>
      <c r="H15" s="396">
        <v>30</v>
      </c>
      <c r="I15" s="396">
        <v>30</v>
      </c>
      <c r="J15" s="396">
        <v>0</v>
      </c>
      <c r="K15" s="1081">
        <v>21</v>
      </c>
      <c r="L15" s="5">
        <v>3</v>
      </c>
      <c r="M15" s="396">
        <v>18</v>
      </c>
      <c r="N15" s="1081">
        <v>21</v>
      </c>
      <c r="O15" s="5">
        <v>3</v>
      </c>
      <c r="P15" s="1038">
        <v>18</v>
      </c>
    </row>
    <row r="16" spans="1:29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16" ht="15" customHeight="1">
      <c r="A17" s="592" t="s">
        <v>53</v>
      </c>
      <c r="B17" s="543"/>
      <c r="C17" s="1069">
        <v>45</v>
      </c>
      <c r="D17" s="5">
        <v>18</v>
      </c>
      <c r="E17" s="396">
        <v>27</v>
      </c>
      <c r="F17" s="5">
        <v>15</v>
      </c>
      <c r="G17" s="5">
        <v>12</v>
      </c>
      <c r="H17" s="396">
        <v>15</v>
      </c>
      <c r="I17" s="396">
        <v>15</v>
      </c>
      <c r="J17" s="396">
        <v>0</v>
      </c>
      <c r="K17" s="1081">
        <v>18</v>
      </c>
      <c r="L17" s="5">
        <v>3</v>
      </c>
      <c r="M17" s="396">
        <v>15</v>
      </c>
      <c r="N17" s="1081">
        <v>18</v>
      </c>
      <c r="O17" s="5">
        <v>3</v>
      </c>
      <c r="P17" s="1038">
        <v>15</v>
      </c>
    </row>
    <row r="18" spans="1:16" ht="15" customHeight="1">
      <c r="A18" s="592" t="s">
        <v>50</v>
      </c>
      <c r="B18" s="595"/>
      <c r="C18" s="1069">
        <v>12</v>
      </c>
      <c r="D18" s="5">
        <v>6</v>
      </c>
      <c r="E18" s="396">
        <v>6</v>
      </c>
      <c r="F18" s="5">
        <v>6</v>
      </c>
      <c r="G18" s="5">
        <v>3</v>
      </c>
      <c r="H18" s="396">
        <v>3</v>
      </c>
      <c r="I18" s="396">
        <v>6</v>
      </c>
      <c r="J18" s="396">
        <v>0</v>
      </c>
      <c r="K18" s="1081">
        <v>3</v>
      </c>
      <c r="L18" s="5">
        <v>3</v>
      </c>
      <c r="M18" s="396">
        <v>0</v>
      </c>
      <c r="N18" s="1081">
        <v>3</v>
      </c>
      <c r="O18" s="5">
        <v>0</v>
      </c>
      <c r="P18" s="1038">
        <v>0</v>
      </c>
    </row>
    <row r="19" spans="1:16" ht="15" customHeight="1">
      <c r="A19" s="592" t="s">
        <v>54</v>
      </c>
      <c r="B19" s="595"/>
      <c r="C19" s="1069">
        <v>12</v>
      </c>
      <c r="D19" s="5">
        <v>3</v>
      </c>
      <c r="E19" s="396">
        <v>12</v>
      </c>
      <c r="F19" s="5">
        <v>3</v>
      </c>
      <c r="G19" s="5">
        <v>6</v>
      </c>
      <c r="H19" s="396">
        <v>6</v>
      </c>
      <c r="I19" s="396">
        <v>3</v>
      </c>
      <c r="J19" s="396">
        <v>0</v>
      </c>
      <c r="K19" s="1081">
        <v>6</v>
      </c>
      <c r="L19" s="5">
        <v>0</v>
      </c>
      <c r="M19" s="396">
        <v>6</v>
      </c>
      <c r="N19" s="1081">
        <v>6</v>
      </c>
      <c r="O19" s="5">
        <v>0</v>
      </c>
      <c r="P19" s="1038">
        <v>6</v>
      </c>
    </row>
    <row r="20" spans="1:16" ht="15" customHeight="1">
      <c r="A20" s="592" t="s">
        <v>44</v>
      </c>
      <c r="B20" s="595"/>
      <c r="C20" s="1069">
        <v>33</v>
      </c>
      <c r="D20" s="5">
        <v>9</v>
      </c>
      <c r="E20" s="396">
        <v>24</v>
      </c>
      <c r="F20" s="5">
        <v>9</v>
      </c>
      <c r="G20" s="5">
        <v>12</v>
      </c>
      <c r="H20" s="396">
        <v>12</v>
      </c>
      <c r="I20" s="396">
        <v>9</v>
      </c>
      <c r="J20" s="396">
        <v>0</v>
      </c>
      <c r="K20" s="1081">
        <v>18</v>
      </c>
      <c r="L20" s="5">
        <v>6</v>
      </c>
      <c r="M20" s="396">
        <v>12</v>
      </c>
      <c r="N20" s="1081">
        <v>18</v>
      </c>
      <c r="O20" s="5">
        <v>6</v>
      </c>
      <c r="P20" s="1038">
        <v>12</v>
      </c>
    </row>
    <row r="21" spans="1:16" ht="15" customHeight="1">
      <c r="A21" s="592" t="s">
        <v>45</v>
      </c>
      <c r="B21" s="595"/>
      <c r="C21" s="1069">
        <v>156</v>
      </c>
      <c r="D21" s="5">
        <v>18</v>
      </c>
      <c r="E21" s="396">
        <v>135</v>
      </c>
      <c r="F21" s="5">
        <v>51</v>
      </c>
      <c r="G21" s="5">
        <v>57</v>
      </c>
      <c r="H21" s="396">
        <v>48</v>
      </c>
      <c r="I21" s="396">
        <v>51</v>
      </c>
      <c r="J21" s="396">
        <v>0</v>
      </c>
      <c r="K21" s="1081">
        <v>63</v>
      </c>
      <c r="L21" s="5">
        <v>6</v>
      </c>
      <c r="M21" s="396">
        <v>57</v>
      </c>
      <c r="N21" s="1081">
        <v>63</v>
      </c>
      <c r="O21" s="5">
        <v>6</v>
      </c>
      <c r="P21" s="1038">
        <v>57</v>
      </c>
    </row>
    <row r="22" spans="1:16" ht="15" customHeight="1">
      <c r="A22" s="592" t="s">
        <v>55</v>
      </c>
      <c r="B22" s="595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</row>
    <row r="23" spans="1:16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</row>
    <row r="24" spans="1:16" ht="15" customHeight="1">
      <c r="A24" s="592" t="s">
        <v>47</v>
      </c>
      <c r="B24" s="595"/>
      <c r="C24" s="1069">
        <v>21</v>
      </c>
      <c r="D24" s="5">
        <v>6</v>
      </c>
      <c r="E24" s="396">
        <v>12</v>
      </c>
      <c r="F24" s="5">
        <v>6</v>
      </c>
      <c r="G24" s="5">
        <v>6</v>
      </c>
      <c r="H24" s="396">
        <v>9</v>
      </c>
      <c r="I24" s="258">
        <v>6</v>
      </c>
      <c r="J24" s="258">
        <v>3</v>
      </c>
      <c r="K24" s="1081">
        <v>9</v>
      </c>
      <c r="L24" s="5">
        <v>6</v>
      </c>
      <c r="M24" s="396">
        <v>3</v>
      </c>
      <c r="N24" s="1081">
        <v>3</v>
      </c>
      <c r="O24" s="5">
        <v>0</v>
      </c>
      <c r="P24" s="1038">
        <v>3</v>
      </c>
    </row>
    <row r="25" spans="1:16" ht="15" customHeight="1">
      <c r="A25" s="592" t="s">
        <v>51</v>
      </c>
      <c r="B25" s="595"/>
      <c r="C25" s="1069">
        <v>30</v>
      </c>
      <c r="D25" s="5">
        <v>6</v>
      </c>
      <c r="E25" s="396">
        <v>24</v>
      </c>
      <c r="F25" s="5">
        <v>9</v>
      </c>
      <c r="G25" s="5">
        <v>12</v>
      </c>
      <c r="H25" s="396">
        <v>9</v>
      </c>
      <c r="I25" s="396">
        <v>9</v>
      </c>
      <c r="J25" s="396">
        <v>3</v>
      </c>
      <c r="K25" s="1081">
        <v>12</v>
      </c>
      <c r="L25" s="5">
        <v>3</v>
      </c>
      <c r="M25" s="396">
        <v>9</v>
      </c>
      <c r="N25" s="1081">
        <v>6</v>
      </c>
      <c r="O25" s="5">
        <v>3</v>
      </c>
      <c r="P25" s="1038">
        <v>6</v>
      </c>
    </row>
    <row r="26" spans="1:16" ht="15" customHeight="1">
      <c r="A26" s="592" t="s">
        <v>56</v>
      </c>
      <c r="B26" s="595"/>
      <c r="C26" s="1069">
        <v>15</v>
      </c>
      <c r="D26" s="5">
        <v>3</v>
      </c>
      <c r="E26" s="396">
        <v>12</v>
      </c>
      <c r="F26" s="5">
        <v>6</v>
      </c>
      <c r="G26" s="5">
        <v>6</v>
      </c>
      <c r="H26" s="396">
        <v>3</v>
      </c>
      <c r="I26" s="396">
        <v>6</v>
      </c>
      <c r="J26" s="396">
        <v>0</v>
      </c>
      <c r="K26" s="1081">
        <v>9</v>
      </c>
      <c r="L26" s="5">
        <v>3</v>
      </c>
      <c r="M26" s="396">
        <v>6</v>
      </c>
      <c r="N26" s="1081">
        <v>9</v>
      </c>
      <c r="O26" s="5">
        <v>3</v>
      </c>
      <c r="P26" s="1038">
        <v>6</v>
      </c>
    </row>
    <row r="27" spans="1:16" s="70" customFormat="1" ht="15" customHeight="1">
      <c r="A27" s="592" t="s">
        <v>57</v>
      </c>
      <c r="B27" s="595"/>
      <c r="C27" s="1069">
        <v>15</v>
      </c>
      <c r="D27" s="5">
        <v>3</v>
      </c>
      <c r="E27" s="396">
        <v>12</v>
      </c>
      <c r="F27" s="5">
        <v>6</v>
      </c>
      <c r="G27" s="5">
        <v>3</v>
      </c>
      <c r="H27" s="396">
        <v>6</v>
      </c>
      <c r="I27" s="396">
        <v>6</v>
      </c>
      <c r="J27" s="396">
        <v>0</v>
      </c>
      <c r="K27" s="1081">
        <v>6</v>
      </c>
      <c r="L27" s="5">
        <v>0</v>
      </c>
      <c r="M27" s="396">
        <v>6</v>
      </c>
      <c r="N27" s="1081">
        <v>3</v>
      </c>
      <c r="O27" s="5">
        <v>0</v>
      </c>
      <c r="P27" s="1038">
        <v>3</v>
      </c>
    </row>
    <row r="28" spans="1:16" s="7" customFormat="1" ht="15" customHeight="1">
      <c r="A28" s="592" t="s">
        <v>59</v>
      </c>
      <c r="B28" s="595"/>
      <c r="C28" s="1069">
        <v>9</v>
      </c>
      <c r="D28" s="5">
        <v>3</v>
      </c>
      <c r="E28" s="396">
        <v>6</v>
      </c>
      <c r="F28" s="5">
        <v>0</v>
      </c>
      <c r="G28" s="5">
        <v>3</v>
      </c>
      <c r="H28" s="396">
        <v>3</v>
      </c>
      <c r="I28" s="1037">
        <v>0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16" s="7" customFormat="1" ht="4.5" customHeight="1">
      <c r="A29" s="656"/>
      <c r="B29" s="595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16" s="70" customFormat="1" ht="21" customHeight="1" thickBot="1">
      <c r="A30" s="593" t="s">
        <v>60</v>
      </c>
      <c r="B30" s="658"/>
      <c r="C30" s="1068">
        <v>492</v>
      </c>
      <c r="D30" s="580">
        <v>108</v>
      </c>
      <c r="E30" s="1065">
        <v>384</v>
      </c>
      <c r="F30" s="580">
        <v>162</v>
      </c>
      <c r="G30" s="580">
        <v>165</v>
      </c>
      <c r="H30" s="1065">
        <v>165</v>
      </c>
      <c r="I30" s="1066">
        <v>162</v>
      </c>
      <c r="J30" s="1066">
        <v>12</v>
      </c>
      <c r="K30" s="580">
        <v>177</v>
      </c>
      <c r="L30" s="580">
        <v>36</v>
      </c>
      <c r="M30" s="1065">
        <v>141</v>
      </c>
      <c r="N30" s="580">
        <v>159</v>
      </c>
      <c r="O30" s="580">
        <v>30</v>
      </c>
      <c r="P30" s="1039">
        <v>132</v>
      </c>
    </row>
    <row r="31" spans="1:16" s="70" customFormat="1" ht="3.65" customHeight="1">
      <c r="A31" s="71"/>
      <c r="B31" s="71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82"/>
      <c r="P31" s="82"/>
    </row>
    <row r="32" spans="1:16" s="70" customFormat="1" ht="10.95" customHeight="1">
      <c r="A32" s="70" t="s">
        <v>297</v>
      </c>
      <c r="C32" s="68"/>
      <c r="D32" s="68"/>
      <c r="E32" s="68"/>
      <c r="F32" s="146"/>
      <c r="G32" s="146"/>
      <c r="H32" s="146"/>
      <c r="I32" s="68"/>
      <c r="J32" s="68"/>
      <c r="K32" s="68"/>
      <c r="L32" s="68"/>
      <c r="M32" s="68"/>
      <c r="N32" s="68"/>
      <c r="O32" s="82"/>
      <c r="P32" s="82"/>
    </row>
    <row r="33" spans="1:16" s="70" customFormat="1" ht="22" customHeight="1">
      <c r="A33" s="73"/>
      <c r="B33" s="73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82"/>
      <c r="P33" s="82"/>
    </row>
    <row r="34" spans="1:16" s="70" customFormat="1" ht="15.75" customHeight="1">
      <c r="A34" s="73"/>
      <c r="B34" s="73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82"/>
      <c r="P34" s="82"/>
    </row>
    <row r="35" spans="1:16" s="70" customFormat="1" ht="15.75" customHeight="1">
      <c r="A35" s="73"/>
      <c r="B35" s="73"/>
      <c r="C35" s="962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82"/>
      <c r="P35" s="82"/>
    </row>
    <row r="36" spans="1:16" s="70" customFormat="1" ht="15.75" customHeight="1" thickBot="1">
      <c r="A36" s="593" t="s">
        <v>60</v>
      </c>
      <c r="B36" s="598"/>
      <c r="C36" s="1068">
        <v>492</v>
      </c>
      <c r="D36" s="580">
        <v>108</v>
      </c>
      <c r="E36" s="1065">
        <v>381</v>
      </c>
      <c r="F36" s="580">
        <v>159</v>
      </c>
      <c r="G36" s="580">
        <v>168</v>
      </c>
      <c r="H36" s="1065">
        <v>165</v>
      </c>
      <c r="I36" s="580">
        <v>159</v>
      </c>
      <c r="J36" s="1066">
        <v>6</v>
      </c>
      <c r="K36" s="1068">
        <v>180</v>
      </c>
      <c r="L36" s="580">
        <v>36</v>
      </c>
      <c r="M36" s="1065">
        <v>144</v>
      </c>
      <c r="N36" s="1068">
        <v>165</v>
      </c>
      <c r="O36" s="580">
        <v>27</v>
      </c>
      <c r="P36" s="1039">
        <v>138</v>
      </c>
    </row>
    <row r="37" spans="1:16" s="70" customFormat="1" ht="15.75" customHeight="1" thickBot="1">
      <c r="A37" s="593" t="s">
        <v>384</v>
      </c>
      <c r="B37" s="598"/>
      <c r="C37" s="1327">
        <f t="shared" ref="C37:P37" si="0">C30-C36</f>
        <v>0</v>
      </c>
      <c r="D37" s="1305">
        <f t="shared" si="0"/>
        <v>0</v>
      </c>
      <c r="E37" s="1298">
        <f t="shared" si="0"/>
        <v>3</v>
      </c>
      <c r="F37" s="1322">
        <f t="shared" si="0"/>
        <v>3</v>
      </c>
      <c r="G37" s="1295">
        <f t="shared" si="0"/>
        <v>-3</v>
      </c>
      <c r="H37" s="1311">
        <f t="shared" si="0"/>
        <v>0</v>
      </c>
      <c r="I37" s="1297">
        <f t="shared" si="0"/>
        <v>3</v>
      </c>
      <c r="J37" s="1337">
        <f t="shared" si="0"/>
        <v>6</v>
      </c>
      <c r="K37" s="1328">
        <f t="shared" si="0"/>
        <v>-3</v>
      </c>
      <c r="L37" s="1305">
        <f t="shared" si="0"/>
        <v>0</v>
      </c>
      <c r="M37" s="1296">
        <f t="shared" si="0"/>
        <v>-3</v>
      </c>
      <c r="N37" s="1328">
        <f t="shared" si="0"/>
        <v>-6</v>
      </c>
      <c r="O37" s="1297">
        <f t="shared" si="0"/>
        <v>3</v>
      </c>
      <c r="P37" s="1349">
        <f t="shared" si="0"/>
        <v>-6</v>
      </c>
    </row>
    <row r="38" spans="1:16">
      <c r="A38" s="8"/>
      <c r="B38" s="8"/>
      <c r="C38" s="8"/>
      <c r="D38" s="8"/>
      <c r="E38" s="8"/>
      <c r="F38" s="8"/>
      <c r="G38" s="8"/>
      <c r="H38" s="8"/>
      <c r="I38" s="190"/>
      <c r="J38" s="190"/>
      <c r="K38" s="8"/>
      <c r="L38" s="8"/>
      <c r="M38" s="9"/>
      <c r="N38" s="8"/>
      <c r="O38" s="8"/>
      <c r="P38" s="8"/>
    </row>
    <row r="39" spans="1:16">
      <c r="A39" s="8"/>
      <c r="B39" s="8"/>
      <c r="C39" s="8"/>
      <c r="D39" s="8"/>
      <c r="E39" s="8"/>
      <c r="F39" s="8"/>
      <c r="G39" s="8"/>
      <c r="H39" s="8"/>
      <c r="I39" s="190"/>
      <c r="J39" s="190"/>
      <c r="K39" s="8"/>
      <c r="L39" s="8"/>
      <c r="M39" s="9"/>
      <c r="N39" s="8"/>
      <c r="O39" s="8"/>
      <c r="P39" s="8"/>
    </row>
    <row r="40" spans="1:16">
      <c r="A40" s="8"/>
      <c r="B40" s="8"/>
      <c r="C40" s="8"/>
      <c r="D40" s="8"/>
      <c r="E40" s="8"/>
      <c r="F40" s="8"/>
      <c r="G40" s="8"/>
      <c r="H40" s="8"/>
      <c r="I40" s="190"/>
      <c r="J40" s="190"/>
      <c r="K40" s="8"/>
      <c r="L40" s="8"/>
      <c r="M40" s="9"/>
      <c r="N40" s="8"/>
      <c r="O40" s="8"/>
      <c r="P40" s="8"/>
    </row>
    <row r="41" spans="1:16">
      <c r="A41" s="8"/>
      <c r="B41" s="8"/>
      <c r="C41" s="8"/>
      <c r="D41" s="8"/>
      <c r="E41" s="8"/>
      <c r="F41" s="8"/>
      <c r="G41" s="8"/>
      <c r="H41" s="8"/>
      <c r="I41" s="190"/>
      <c r="J41" s="190"/>
      <c r="K41" s="8"/>
      <c r="L41" s="8"/>
      <c r="M41" s="9"/>
      <c r="N41" s="8"/>
      <c r="O41" s="8"/>
      <c r="P41" s="8"/>
    </row>
    <row r="42" spans="1:16">
      <c r="A42" s="8"/>
      <c r="B42" s="8"/>
      <c r="C42" s="8"/>
      <c r="D42" s="8"/>
      <c r="E42" s="8"/>
      <c r="F42" s="8"/>
      <c r="G42" s="8"/>
      <c r="H42" s="8"/>
      <c r="I42" s="190"/>
      <c r="J42" s="190"/>
      <c r="K42" s="8"/>
      <c r="L42" s="8"/>
      <c r="M42" s="9"/>
      <c r="N42" s="8"/>
      <c r="O42" s="8"/>
      <c r="P42" s="8"/>
    </row>
    <row r="43" spans="1:16">
      <c r="A43" s="8"/>
      <c r="B43" s="8"/>
      <c r="C43" s="8"/>
      <c r="D43" s="8"/>
      <c r="E43" s="8"/>
      <c r="F43" s="8"/>
      <c r="G43" s="8"/>
      <c r="H43" s="8"/>
      <c r="I43" s="190"/>
      <c r="J43" s="190"/>
      <c r="K43" s="8"/>
      <c r="L43" s="8"/>
      <c r="M43" s="9"/>
      <c r="N43" s="8"/>
      <c r="O43" s="8"/>
      <c r="P43" s="8"/>
    </row>
    <row r="44" spans="1:16">
      <c r="A44" s="8"/>
      <c r="B44" s="8"/>
      <c r="C44" s="8"/>
      <c r="D44" s="8"/>
      <c r="E44" s="8"/>
      <c r="F44" s="8"/>
      <c r="G44" s="8"/>
      <c r="H44" s="8"/>
      <c r="I44" s="190"/>
      <c r="J44" s="190"/>
      <c r="K44" s="8"/>
      <c r="L44" s="8"/>
      <c r="M44" s="9"/>
      <c r="N44" s="8"/>
      <c r="O44" s="8"/>
      <c r="P44" s="8"/>
    </row>
    <row r="45" spans="1:16">
      <c r="A45" s="8"/>
      <c r="B45" s="8"/>
      <c r="C45" s="8"/>
      <c r="D45" s="8"/>
      <c r="E45" s="8"/>
      <c r="F45" s="8"/>
      <c r="G45" s="8"/>
      <c r="H45" s="8"/>
      <c r="I45" s="190"/>
      <c r="J45" s="190"/>
      <c r="K45" s="8"/>
      <c r="L45" s="8"/>
      <c r="M45" s="9"/>
      <c r="N45" s="8"/>
      <c r="O45" s="8"/>
      <c r="P45" s="8"/>
    </row>
    <row r="46" spans="1:16">
      <c r="A46" s="8"/>
      <c r="B46" s="8"/>
      <c r="C46" s="8"/>
      <c r="D46" s="8"/>
      <c r="E46" s="8"/>
      <c r="F46" s="8"/>
      <c r="G46" s="8"/>
      <c r="H46" s="8"/>
      <c r="I46" s="190"/>
      <c r="J46" s="190"/>
      <c r="K46" s="8"/>
      <c r="L46" s="8"/>
      <c r="M46" s="9"/>
      <c r="N46" s="8"/>
      <c r="O46" s="8"/>
      <c r="P46" s="8"/>
    </row>
    <row r="47" spans="1:16">
      <c r="A47" s="8"/>
      <c r="B47" s="8"/>
      <c r="C47" s="8"/>
      <c r="D47" s="8"/>
      <c r="E47" s="8"/>
      <c r="F47" s="8"/>
      <c r="G47" s="8"/>
      <c r="H47" s="8"/>
      <c r="I47" s="190"/>
      <c r="J47" s="190"/>
      <c r="K47" s="8"/>
      <c r="L47" s="8"/>
      <c r="M47" s="9"/>
      <c r="N47" s="8"/>
      <c r="O47" s="8"/>
      <c r="P47" s="8"/>
    </row>
    <row r="48" spans="1:16">
      <c r="A48" s="8"/>
      <c r="B48" s="8"/>
      <c r="C48" s="8"/>
      <c r="D48" s="8"/>
      <c r="E48" s="8"/>
      <c r="F48" s="8"/>
      <c r="G48" s="8"/>
      <c r="H48" s="8"/>
      <c r="I48" s="190"/>
      <c r="J48" s="190"/>
      <c r="K48" s="8"/>
      <c r="L48" s="8"/>
      <c r="M48" s="9"/>
      <c r="N48" s="8"/>
      <c r="O48" s="8"/>
      <c r="P48" s="8"/>
    </row>
    <row r="49" spans="1:16">
      <c r="A49" s="8"/>
      <c r="B49" s="8"/>
      <c r="C49" s="8"/>
      <c r="D49" s="8"/>
      <c r="E49" s="8"/>
      <c r="F49" s="8"/>
      <c r="G49" s="8"/>
      <c r="H49" s="8"/>
      <c r="I49" s="190"/>
      <c r="J49" s="190"/>
      <c r="K49" s="8"/>
      <c r="L49" s="8"/>
      <c r="M49" s="9"/>
      <c r="N49" s="8"/>
      <c r="O49" s="8"/>
      <c r="P49" s="8"/>
    </row>
    <row r="50" spans="1:16">
      <c r="A50" s="8"/>
      <c r="B50" s="8"/>
      <c r="C50" s="8"/>
      <c r="D50" s="8"/>
      <c r="E50" s="8"/>
      <c r="F50" s="8"/>
      <c r="G50" s="8"/>
      <c r="H50" s="8"/>
      <c r="I50" s="190"/>
      <c r="J50" s="190"/>
      <c r="K50" s="8"/>
      <c r="L50" s="8"/>
      <c r="M50" s="9"/>
      <c r="N50" s="8"/>
      <c r="O50" s="8"/>
      <c r="P50" s="8"/>
    </row>
    <row r="51" spans="1:16">
      <c r="A51" s="8"/>
      <c r="B51" s="8"/>
      <c r="C51" s="8"/>
      <c r="D51" s="8"/>
      <c r="E51" s="8"/>
      <c r="F51" s="8"/>
      <c r="G51" s="8"/>
      <c r="H51" s="8"/>
      <c r="I51" s="190"/>
      <c r="J51" s="190"/>
      <c r="K51" s="8"/>
      <c r="L51" s="8"/>
      <c r="M51" s="9"/>
      <c r="N51" s="8"/>
      <c r="O51" s="8"/>
      <c r="P51" s="8"/>
    </row>
    <row r="52" spans="1:16">
      <c r="A52" s="8"/>
      <c r="B52" s="8"/>
      <c r="C52" s="8"/>
      <c r="D52" s="8"/>
      <c r="E52" s="8"/>
      <c r="F52" s="8"/>
      <c r="G52" s="8"/>
      <c r="H52" s="8"/>
      <c r="I52" s="190"/>
      <c r="J52" s="190"/>
      <c r="K52" s="8"/>
      <c r="L52" s="8"/>
      <c r="M52" s="9"/>
      <c r="N52" s="8"/>
      <c r="O52" s="8"/>
      <c r="P52" s="8"/>
    </row>
    <row r="53" spans="1:16">
      <c r="A53" s="8"/>
      <c r="B53" s="8"/>
      <c r="C53" s="8"/>
      <c r="D53" s="8"/>
      <c r="E53" s="8"/>
      <c r="F53" s="8"/>
      <c r="G53" s="8"/>
      <c r="H53" s="8"/>
      <c r="I53" s="190"/>
      <c r="J53" s="190"/>
      <c r="K53" s="8"/>
      <c r="L53" s="8"/>
      <c r="M53" s="9"/>
      <c r="N53" s="8"/>
      <c r="O53" s="8"/>
      <c r="P53" s="8"/>
    </row>
    <row r="54" spans="1:16">
      <c r="A54" s="8"/>
      <c r="B54" s="8"/>
      <c r="C54" s="8"/>
      <c r="D54" s="8"/>
      <c r="E54" s="8"/>
      <c r="F54" s="8"/>
      <c r="G54" s="8"/>
      <c r="H54" s="8"/>
      <c r="I54" s="190"/>
      <c r="J54" s="190"/>
      <c r="K54" s="8"/>
      <c r="L54" s="8"/>
      <c r="M54" s="9"/>
      <c r="N54" s="8"/>
      <c r="O54" s="8"/>
      <c r="P54" s="8"/>
    </row>
    <row r="55" spans="1:16">
      <c r="A55" s="8"/>
      <c r="B55" s="8"/>
      <c r="C55" s="8"/>
      <c r="D55" s="8"/>
      <c r="E55" s="8"/>
      <c r="F55" s="8"/>
      <c r="G55" s="8"/>
      <c r="H55" s="8"/>
      <c r="I55" s="190"/>
      <c r="J55" s="190"/>
      <c r="K55" s="8"/>
      <c r="L55" s="8"/>
      <c r="M55" s="9"/>
      <c r="N55" s="8"/>
      <c r="O55" s="8"/>
      <c r="P55" s="8"/>
    </row>
    <row r="56" spans="1:16">
      <c r="A56" s="8"/>
      <c r="B56" s="8"/>
      <c r="C56" s="8"/>
      <c r="D56" s="8"/>
      <c r="E56" s="8"/>
      <c r="F56" s="8"/>
      <c r="G56" s="8"/>
      <c r="H56" s="8"/>
      <c r="I56" s="190"/>
      <c r="J56" s="190"/>
      <c r="K56" s="8"/>
      <c r="L56" s="8"/>
      <c r="M56" s="9"/>
      <c r="N56" s="8"/>
      <c r="O56" s="8"/>
      <c r="P56" s="8"/>
    </row>
    <row r="57" spans="1:16">
      <c r="A57" s="8"/>
      <c r="B57" s="8"/>
      <c r="C57" s="8"/>
      <c r="D57" s="8"/>
      <c r="E57" s="8"/>
      <c r="F57" s="8"/>
      <c r="G57" s="8"/>
      <c r="H57" s="8"/>
      <c r="I57" s="190"/>
      <c r="J57" s="190"/>
      <c r="K57" s="8"/>
      <c r="L57" s="8"/>
      <c r="M57" s="9"/>
      <c r="N57" s="8"/>
      <c r="O57" s="8"/>
      <c r="P57" s="8"/>
    </row>
    <row r="58" spans="1:16">
      <c r="A58" s="8"/>
      <c r="B58" s="8"/>
      <c r="C58" s="8"/>
      <c r="D58" s="8"/>
      <c r="E58" s="8"/>
      <c r="F58" s="8"/>
      <c r="G58" s="8"/>
      <c r="H58" s="8"/>
      <c r="I58" s="190"/>
      <c r="J58" s="190"/>
      <c r="K58" s="8"/>
      <c r="L58" s="8"/>
      <c r="M58" s="9"/>
      <c r="N58" s="8"/>
      <c r="O58" s="8"/>
      <c r="P58" s="8"/>
    </row>
    <row r="59" spans="1:16">
      <c r="A59" s="8"/>
      <c r="B59" s="8"/>
      <c r="C59" s="8"/>
      <c r="D59" s="8"/>
      <c r="E59" s="8"/>
      <c r="F59" s="8"/>
      <c r="G59" s="8"/>
      <c r="H59" s="8"/>
      <c r="I59" s="190"/>
      <c r="J59" s="190"/>
      <c r="K59" s="8"/>
      <c r="L59" s="8"/>
      <c r="M59" s="9"/>
      <c r="N59" s="8"/>
      <c r="O59" s="8"/>
      <c r="P59" s="8"/>
    </row>
    <row r="60" spans="1:16">
      <c r="A60" s="8"/>
      <c r="B60" s="8"/>
      <c r="C60" s="8"/>
      <c r="D60" s="8"/>
      <c r="E60" s="8"/>
      <c r="F60" s="8"/>
      <c r="G60" s="8"/>
      <c r="H60" s="8"/>
      <c r="I60" s="190"/>
      <c r="J60" s="190"/>
      <c r="K60" s="8"/>
      <c r="L60" s="8"/>
      <c r="M60" s="9"/>
      <c r="N60" s="8"/>
      <c r="O60" s="8"/>
      <c r="P60" s="8"/>
    </row>
    <row r="61" spans="1:16">
      <c r="A61" s="8"/>
      <c r="B61" s="8"/>
      <c r="C61" s="8"/>
      <c r="D61" s="8"/>
      <c r="E61" s="8"/>
      <c r="F61" s="8"/>
      <c r="G61" s="8"/>
      <c r="H61" s="8"/>
      <c r="I61" s="190"/>
      <c r="J61" s="190"/>
      <c r="K61" s="8"/>
      <c r="L61" s="8"/>
      <c r="M61" s="9"/>
      <c r="N61" s="8"/>
      <c r="O61" s="8"/>
      <c r="P61" s="8"/>
    </row>
    <row r="62" spans="1:16">
      <c r="A62" s="8"/>
      <c r="B62" s="8"/>
      <c r="C62" s="8"/>
      <c r="D62" s="8"/>
      <c r="E62" s="8"/>
      <c r="F62" s="8"/>
      <c r="G62" s="8"/>
      <c r="H62" s="8"/>
      <c r="I62" s="190"/>
      <c r="J62" s="190"/>
      <c r="K62" s="8"/>
      <c r="L62" s="8"/>
      <c r="M62" s="9"/>
      <c r="N62" s="8"/>
      <c r="O62" s="8"/>
      <c r="P62" s="8"/>
    </row>
    <row r="63" spans="1:16">
      <c r="A63" s="8"/>
      <c r="B63" s="8"/>
      <c r="C63" s="8"/>
      <c r="D63" s="8"/>
      <c r="E63" s="8"/>
      <c r="F63" s="8"/>
      <c r="G63" s="8"/>
      <c r="H63" s="8"/>
      <c r="I63" s="190"/>
      <c r="J63" s="190"/>
      <c r="K63" s="8"/>
      <c r="L63" s="8"/>
      <c r="M63" s="9"/>
      <c r="N63" s="8"/>
      <c r="O63" s="8"/>
      <c r="P63" s="8"/>
    </row>
    <row r="64" spans="1:16">
      <c r="A64" s="8"/>
      <c r="B64" s="8"/>
      <c r="C64" s="8"/>
      <c r="D64" s="8"/>
      <c r="E64" s="8"/>
      <c r="F64" s="8"/>
      <c r="G64" s="8"/>
      <c r="H64" s="8"/>
      <c r="I64" s="190"/>
      <c r="J64" s="190"/>
      <c r="K64" s="8"/>
      <c r="L64" s="8"/>
      <c r="M64" s="9"/>
      <c r="N64" s="8"/>
      <c r="O64" s="8"/>
      <c r="P64" s="8"/>
    </row>
    <row r="65" spans="1:16">
      <c r="A65" s="8"/>
      <c r="B65" s="8"/>
      <c r="C65" s="8"/>
      <c r="D65" s="8"/>
      <c r="E65" s="8"/>
      <c r="F65" s="8"/>
      <c r="G65" s="8"/>
      <c r="H65" s="8"/>
      <c r="I65" s="190"/>
      <c r="J65" s="190"/>
      <c r="K65" s="8"/>
      <c r="L65" s="8"/>
      <c r="M65" s="9"/>
      <c r="N65" s="8"/>
      <c r="O65" s="8"/>
      <c r="P65" s="8"/>
    </row>
    <row r="66" spans="1:16">
      <c r="A66" s="8"/>
      <c r="B66" s="8"/>
      <c r="C66" s="8"/>
      <c r="D66" s="8"/>
      <c r="E66" s="8"/>
      <c r="F66" s="8"/>
      <c r="G66" s="8"/>
      <c r="H66" s="8"/>
      <c r="I66" s="190"/>
      <c r="J66" s="190"/>
      <c r="K66" s="8"/>
      <c r="L66" s="8"/>
      <c r="M66" s="9"/>
      <c r="N66" s="8"/>
      <c r="O66" s="8"/>
      <c r="P66" s="8"/>
    </row>
    <row r="67" spans="1:16">
      <c r="A67" s="8"/>
      <c r="B67" s="8"/>
      <c r="C67" s="8"/>
      <c r="D67" s="8"/>
      <c r="E67" s="8"/>
      <c r="F67" s="8"/>
      <c r="G67" s="8"/>
      <c r="H67" s="8"/>
      <c r="I67" s="190"/>
      <c r="J67" s="190"/>
      <c r="K67" s="8"/>
      <c r="L67" s="8"/>
      <c r="M67" s="9"/>
      <c r="N67" s="8"/>
      <c r="O67" s="8"/>
      <c r="P67" s="8"/>
    </row>
    <row r="68" spans="1:16">
      <c r="A68" s="8"/>
      <c r="B68" s="8"/>
      <c r="C68" s="8"/>
      <c r="D68" s="8"/>
      <c r="E68" s="8"/>
      <c r="F68" s="8"/>
      <c r="G68" s="8"/>
      <c r="H68" s="8"/>
      <c r="I68" s="190"/>
      <c r="J68" s="190"/>
      <c r="K68" s="8"/>
      <c r="L68" s="8"/>
      <c r="M68" s="9"/>
      <c r="N68" s="8"/>
      <c r="O68" s="8"/>
      <c r="P68" s="8"/>
    </row>
    <row r="69" spans="1:16">
      <c r="A69" s="8"/>
      <c r="B69" s="8"/>
      <c r="C69" s="8"/>
      <c r="D69" s="8"/>
      <c r="E69" s="8"/>
      <c r="F69" s="8"/>
      <c r="G69" s="8"/>
      <c r="H69" s="8"/>
      <c r="I69" s="190"/>
      <c r="J69" s="190"/>
      <c r="K69" s="8"/>
      <c r="L69" s="8"/>
      <c r="M69" s="9"/>
      <c r="N69" s="8"/>
      <c r="O69" s="8"/>
      <c r="P69" s="8"/>
    </row>
    <row r="70" spans="1:16">
      <c r="A70" s="8"/>
      <c r="B70" s="8"/>
      <c r="C70" s="8"/>
      <c r="D70" s="8"/>
      <c r="E70" s="8"/>
      <c r="F70" s="8"/>
      <c r="G70" s="8"/>
      <c r="H70" s="8"/>
      <c r="I70" s="190"/>
      <c r="J70" s="190"/>
      <c r="K70" s="8"/>
      <c r="L70" s="8"/>
      <c r="M70" s="9"/>
      <c r="N70" s="8"/>
      <c r="O70" s="8"/>
      <c r="P70" s="8"/>
    </row>
    <row r="71" spans="1:16">
      <c r="A71" s="8"/>
      <c r="B71" s="8"/>
      <c r="C71" s="8"/>
      <c r="D71" s="8"/>
      <c r="E71" s="8"/>
      <c r="F71" s="8"/>
      <c r="G71" s="8"/>
      <c r="H71" s="8"/>
      <c r="I71" s="190"/>
      <c r="J71" s="190"/>
      <c r="K71" s="8"/>
      <c r="L71" s="8"/>
      <c r="M71" s="9"/>
      <c r="N71" s="8"/>
      <c r="O71" s="8"/>
      <c r="P71" s="8"/>
    </row>
    <row r="72" spans="1:16">
      <c r="A72" s="8"/>
      <c r="B72" s="8"/>
      <c r="C72" s="8"/>
      <c r="D72" s="8"/>
      <c r="E72" s="8"/>
      <c r="F72" s="8"/>
      <c r="G72" s="8"/>
      <c r="H72" s="8"/>
      <c r="I72" s="190"/>
      <c r="J72" s="190"/>
      <c r="K72" s="8"/>
      <c r="L72" s="8"/>
      <c r="M72" s="9"/>
      <c r="N72" s="8"/>
      <c r="O72" s="8"/>
      <c r="P72" s="8"/>
    </row>
    <row r="73" spans="1:16">
      <c r="A73" s="8"/>
      <c r="B73" s="8"/>
      <c r="C73" s="8"/>
      <c r="D73" s="8"/>
      <c r="E73" s="8"/>
      <c r="F73" s="8"/>
      <c r="G73" s="8"/>
      <c r="H73" s="8"/>
      <c r="I73" s="190"/>
      <c r="J73" s="190"/>
      <c r="K73" s="8"/>
      <c r="L73" s="8"/>
      <c r="M73" s="9"/>
      <c r="N73" s="8"/>
      <c r="O73" s="8"/>
      <c r="P73" s="8"/>
    </row>
    <row r="74" spans="1:16">
      <c r="A74" s="8"/>
      <c r="B74" s="8"/>
      <c r="C74" s="8"/>
      <c r="D74" s="8"/>
      <c r="E74" s="8"/>
      <c r="F74" s="8"/>
      <c r="G74" s="8"/>
      <c r="H74" s="8"/>
      <c r="I74" s="190"/>
      <c r="J74" s="190"/>
      <c r="K74" s="8"/>
      <c r="L74" s="8"/>
      <c r="M74" s="9"/>
      <c r="N74" s="8"/>
      <c r="O74" s="8"/>
      <c r="P74" s="8"/>
    </row>
    <row r="75" spans="1:16">
      <c r="A75" s="8"/>
      <c r="B75" s="8"/>
      <c r="C75" s="8"/>
      <c r="D75" s="8"/>
      <c r="E75" s="8"/>
      <c r="F75" s="8"/>
      <c r="G75" s="8"/>
      <c r="H75" s="8"/>
      <c r="I75" s="190"/>
      <c r="J75" s="190"/>
      <c r="K75" s="8"/>
      <c r="L75" s="8"/>
      <c r="M75" s="9"/>
      <c r="N75" s="8"/>
      <c r="O75" s="8"/>
      <c r="P75" s="8"/>
    </row>
    <row r="76" spans="1:16">
      <c r="A76" s="8"/>
      <c r="B76" s="8"/>
      <c r="C76" s="8"/>
      <c r="D76" s="8"/>
      <c r="E76" s="8"/>
      <c r="F76" s="8"/>
      <c r="G76" s="8"/>
      <c r="H76" s="8"/>
      <c r="I76" s="190"/>
      <c r="J76" s="190"/>
      <c r="K76" s="8"/>
      <c r="L76" s="8"/>
      <c r="M76" s="9"/>
      <c r="N76" s="8"/>
      <c r="O76" s="8"/>
      <c r="P76" s="8"/>
    </row>
    <row r="77" spans="1:16">
      <c r="A77" s="8"/>
      <c r="B77" s="8"/>
      <c r="C77" s="8"/>
      <c r="D77" s="8"/>
      <c r="E77" s="8"/>
      <c r="F77" s="8"/>
      <c r="G77" s="8"/>
      <c r="H77" s="8"/>
      <c r="I77" s="190"/>
      <c r="J77" s="190"/>
      <c r="K77" s="8"/>
      <c r="L77" s="8"/>
      <c r="M77" s="9"/>
      <c r="N77" s="8"/>
      <c r="O77" s="8"/>
      <c r="P77" s="8"/>
    </row>
    <row r="78" spans="1:16">
      <c r="A78" s="8"/>
      <c r="B78" s="8"/>
      <c r="C78" s="8"/>
      <c r="D78" s="8"/>
      <c r="E78" s="8"/>
      <c r="F78" s="8"/>
      <c r="G78" s="8"/>
      <c r="H78" s="8"/>
      <c r="I78" s="190"/>
      <c r="J78" s="190"/>
      <c r="K78" s="8"/>
      <c r="L78" s="8"/>
      <c r="M78" s="9"/>
      <c r="N78" s="8"/>
      <c r="O78" s="8"/>
      <c r="P78" s="8"/>
    </row>
    <row r="79" spans="1:16">
      <c r="A79" s="8"/>
      <c r="B79" s="8"/>
      <c r="C79" s="8"/>
      <c r="D79" s="8"/>
      <c r="E79" s="8"/>
      <c r="F79" s="8"/>
      <c r="G79" s="8"/>
      <c r="H79" s="8"/>
      <c r="I79" s="190"/>
      <c r="J79" s="190"/>
      <c r="K79" s="8"/>
      <c r="L79" s="8"/>
      <c r="M79" s="9"/>
      <c r="N79" s="8"/>
      <c r="O79" s="8"/>
      <c r="P79" s="8"/>
    </row>
    <row r="80" spans="1:16">
      <c r="A80" s="8"/>
      <c r="B80" s="8"/>
      <c r="C80" s="8"/>
      <c r="D80" s="8"/>
      <c r="E80" s="8"/>
      <c r="F80" s="8"/>
      <c r="G80" s="8"/>
      <c r="H80" s="8"/>
      <c r="I80" s="190"/>
      <c r="J80" s="190"/>
      <c r="K80" s="8"/>
      <c r="L80" s="8"/>
      <c r="M80" s="9"/>
      <c r="N80" s="8"/>
      <c r="O80" s="8"/>
      <c r="P80" s="8"/>
    </row>
    <row r="81" spans="1:16">
      <c r="A81" s="8"/>
      <c r="B81" s="8"/>
      <c r="C81" s="8"/>
      <c r="D81" s="8"/>
      <c r="E81" s="8"/>
      <c r="F81" s="8"/>
      <c r="G81" s="8"/>
      <c r="H81" s="8"/>
      <c r="I81" s="190"/>
      <c r="J81" s="190"/>
      <c r="K81" s="8"/>
      <c r="L81" s="8"/>
      <c r="M81" s="9"/>
      <c r="N81" s="8"/>
      <c r="O81" s="8"/>
      <c r="P81" s="8"/>
    </row>
    <row r="82" spans="1:16">
      <c r="A82" s="8"/>
      <c r="B82" s="8"/>
      <c r="C82" s="8"/>
      <c r="D82" s="8"/>
      <c r="E82" s="8"/>
      <c r="F82" s="8"/>
      <c r="G82" s="8"/>
      <c r="H82" s="8"/>
      <c r="I82" s="190"/>
      <c r="J82" s="190"/>
      <c r="K82" s="8"/>
      <c r="L82" s="8"/>
      <c r="M82" s="9"/>
      <c r="N82" s="8"/>
      <c r="O82" s="8"/>
      <c r="P82" s="8"/>
    </row>
    <row r="83" spans="1:16">
      <c r="A83" s="8"/>
      <c r="B83" s="8"/>
      <c r="C83" s="8"/>
      <c r="D83" s="8"/>
      <c r="E83" s="8"/>
      <c r="F83" s="8"/>
      <c r="G83" s="8"/>
      <c r="H83" s="8"/>
      <c r="I83" s="190"/>
      <c r="J83" s="190"/>
      <c r="K83" s="8"/>
      <c r="L83" s="8"/>
      <c r="M83" s="9"/>
      <c r="N83" s="8"/>
      <c r="O83" s="8"/>
      <c r="P83" s="8"/>
    </row>
    <row r="84" spans="1:16">
      <c r="A84" s="8"/>
      <c r="B84" s="8"/>
      <c r="C84" s="8"/>
      <c r="D84" s="8"/>
      <c r="E84" s="8"/>
      <c r="F84" s="8"/>
      <c r="G84" s="8"/>
      <c r="H84" s="8"/>
      <c r="I84" s="190"/>
      <c r="J84" s="190"/>
      <c r="K84" s="8"/>
      <c r="L84" s="8"/>
      <c r="M84" s="9"/>
      <c r="N84" s="8"/>
      <c r="O84" s="8"/>
      <c r="P84" s="8"/>
    </row>
    <row r="85" spans="1:16">
      <c r="A85" s="8"/>
      <c r="B85" s="8"/>
      <c r="C85" s="8"/>
      <c r="D85" s="8"/>
      <c r="E85" s="8"/>
      <c r="F85" s="8"/>
      <c r="G85" s="8"/>
      <c r="H85" s="8"/>
      <c r="I85" s="190"/>
      <c r="J85" s="190"/>
      <c r="K85" s="8"/>
      <c r="L85" s="8"/>
      <c r="M85" s="9"/>
      <c r="N85" s="8"/>
      <c r="O85" s="8"/>
      <c r="P85" s="8"/>
    </row>
    <row r="86" spans="1:16">
      <c r="A86" s="8"/>
      <c r="B86" s="8"/>
      <c r="C86" s="8"/>
      <c r="D86" s="8"/>
      <c r="E86" s="8"/>
      <c r="F86" s="8"/>
      <c r="G86" s="8"/>
      <c r="H86" s="8"/>
      <c r="I86" s="190"/>
      <c r="J86" s="190"/>
      <c r="K86" s="8"/>
      <c r="L86" s="8"/>
      <c r="M86" s="9"/>
      <c r="N86" s="8"/>
      <c r="O86" s="8"/>
      <c r="P86" s="8"/>
    </row>
    <row r="87" spans="1:16">
      <c r="A87" s="8"/>
      <c r="B87" s="8"/>
      <c r="C87" s="8"/>
      <c r="D87" s="8"/>
      <c r="E87" s="8"/>
      <c r="F87" s="8"/>
      <c r="G87" s="8"/>
      <c r="H87" s="8"/>
      <c r="I87" s="190"/>
      <c r="J87" s="190"/>
      <c r="K87" s="8"/>
      <c r="L87" s="8"/>
      <c r="M87" s="9"/>
      <c r="N87" s="8"/>
      <c r="O87" s="8"/>
      <c r="P87" s="8"/>
    </row>
    <row r="88" spans="1:16">
      <c r="A88" s="8"/>
      <c r="B88" s="8"/>
      <c r="C88" s="8"/>
      <c r="D88" s="8"/>
      <c r="E88" s="8"/>
      <c r="F88" s="8"/>
      <c r="G88" s="8"/>
      <c r="H88" s="8"/>
      <c r="I88" s="190"/>
      <c r="J88" s="190"/>
      <c r="K88" s="8"/>
      <c r="L88" s="8"/>
      <c r="M88" s="9"/>
      <c r="N88" s="8"/>
      <c r="O88" s="8"/>
      <c r="P88" s="8"/>
    </row>
    <row r="89" spans="1:16">
      <c r="A89" s="8"/>
      <c r="B89" s="8"/>
      <c r="C89" s="8"/>
      <c r="D89" s="8"/>
      <c r="E89" s="8"/>
      <c r="F89" s="8"/>
      <c r="G89" s="8"/>
      <c r="H89" s="8"/>
      <c r="I89" s="190"/>
      <c r="J89" s="190"/>
      <c r="K89" s="8"/>
      <c r="L89" s="8"/>
      <c r="M89" s="9"/>
      <c r="N89" s="8"/>
      <c r="O89" s="8"/>
      <c r="P89" s="8"/>
    </row>
    <row r="90" spans="1:16">
      <c r="A90" s="8"/>
      <c r="B90" s="8"/>
      <c r="C90" s="8"/>
      <c r="D90" s="8"/>
      <c r="E90" s="8"/>
      <c r="F90" s="8"/>
      <c r="G90" s="8"/>
      <c r="H90" s="8"/>
      <c r="I90" s="190"/>
      <c r="J90" s="190"/>
      <c r="K90" s="8"/>
      <c r="L90" s="8"/>
      <c r="M90" s="9"/>
      <c r="N90" s="8"/>
      <c r="O90" s="8"/>
      <c r="P90" s="8"/>
    </row>
    <row r="91" spans="1:16">
      <c r="A91" s="8"/>
      <c r="B91" s="8"/>
      <c r="C91" s="8"/>
      <c r="D91" s="8"/>
      <c r="E91" s="8"/>
      <c r="F91" s="8"/>
      <c r="G91" s="8"/>
      <c r="H91" s="8"/>
      <c r="I91" s="190"/>
      <c r="J91" s="190"/>
      <c r="K91" s="8"/>
      <c r="L91" s="8"/>
      <c r="M91" s="9"/>
      <c r="N91" s="8"/>
      <c r="O91" s="8"/>
      <c r="P91" s="8"/>
    </row>
    <row r="92" spans="1:16">
      <c r="A92" s="8"/>
      <c r="B92" s="8"/>
      <c r="C92" s="8"/>
      <c r="D92" s="8"/>
      <c r="E92" s="8"/>
      <c r="F92" s="8"/>
      <c r="G92" s="8"/>
      <c r="H92" s="8"/>
      <c r="I92" s="190"/>
      <c r="J92" s="190"/>
      <c r="K92" s="8"/>
      <c r="L92" s="8"/>
      <c r="M92" s="9"/>
      <c r="N92" s="8"/>
      <c r="O92" s="8"/>
      <c r="P92" s="8"/>
    </row>
    <row r="93" spans="1:16">
      <c r="A93" s="8"/>
      <c r="B93" s="8"/>
      <c r="C93" s="8"/>
      <c r="D93" s="8"/>
      <c r="E93" s="8"/>
      <c r="F93" s="8"/>
      <c r="G93" s="8"/>
      <c r="H93" s="8"/>
      <c r="I93" s="190"/>
      <c r="J93" s="190"/>
      <c r="K93" s="8"/>
      <c r="L93" s="8"/>
      <c r="M93" s="9"/>
      <c r="N93" s="8"/>
      <c r="O93" s="8"/>
      <c r="P93" s="8"/>
    </row>
    <row r="94" spans="1:16">
      <c r="A94" s="8"/>
      <c r="B94" s="8"/>
      <c r="C94" s="8"/>
      <c r="D94" s="8"/>
      <c r="E94" s="8"/>
      <c r="F94" s="8"/>
      <c r="G94" s="8"/>
      <c r="H94" s="8"/>
      <c r="I94" s="190"/>
      <c r="J94" s="190"/>
      <c r="K94" s="8"/>
      <c r="L94" s="8"/>
      <c r="M94" s="9"/>
      <c r="N94" s="8"/>
      <c r="O94" s="8"/>
      <c r="P94" s="8"/>
    </row>
    <row r="95" spans="1:16">
      <c r="A95" s="8"/>
      <c r="B95" s="8"/>
      <c r="C95" s="8"/>
      <c r="D95" s="8"/>
      <c r="E95" s="8"/>
      <c r="F95" s="8"/>
      <c r="G95" s="8"/>
      <c r="H95" s="8"/>
      <c r="I95" s="190"/>
      <c r="J95" s="190"/>
      <c r="K95" s="8"/>
      <c r="L95" s="8"/>
      <c r="M95" s="9"/>
      <c r="N95" s="8"/>
      <c r="O95" s="8"/>
      <c r="P95" s="8"/>
    </row>
    <row r="96" spans="1:16">
      <c r="A96" s="8"/>
      <c r="B96" s="8"/>
      <c r="C96" s="8"/>
      <c r="D96" s="8"/>
      <c r="E96" s="8"/>
      <c r="F96" s="8"/>
      <c r="G96" s="8"/>
      <c r="H96" s="8"/>
      <c r="I96" s="190"/>
      <c r="J96" s="190"/>
      <c r="K96" s="8"/>
      <c r="L96" s="8"/>
      <c r="M96" s="9"/>
      <c r="N96" s="8"/>
      <c r="O96" s="8"/>
      <c r="P96" s="8"/>
    </row>
    <row r="97" spans="1:16">
      <c r="A97" s="8"/>
      <c r="B97" s="8"/>
      <c r="C97" s="8"/>
      <c r="D97" s="8"/>
      <c r="E97" s="8"/>
      <c r="F97" s="8"/>
      <c r="G97" s="8"/>
      <c r="H97" s="8"/>
      <c r="I97" s="190"/>
      <c r="J97" s="190"/>
      <c r="K97" s="8"/>
      <c r="L97" s="8"/>
      <c r="M97" s="9"/>
      <c r="N97" s="8"/>
      <c r="O97" s="8"/>
      <c r="P97" s="8"/>
    </row>
    <row r="98" spans="1:16">
      <c r="A98" s="8"/>
      <c r="B98" s="8"/>
      <c r="C98" s="8"/>
      <c r="D98" s="8"/>
      <c r="E98" s="8"/>
      <c r="F98" s="8"/>
      <c r="G98" s="8"/>
      <c r="H98" s="8"/>
      <c r="I98" s="190"/>
      <c r="J98" s="190"/>
      <c r="K98" s="8"/>
      <c r="L98" s="8"/>
      <c r="M98" s="9"/>
      <c r="N98" s="8"/>
      <c r="O98" s="8"/>
      <c r="P98" s="8"/>
    </row>
  </sheetData>
  <mergeCells count="6">
    <mergeCell ref="C6:H7"/>
    <mergeCell ref="N7:P7"/>
    <mergeCell ref="N8:P8"/>
    <mergeCell ref="K6:P6"/>
    <mergeCell ref="A4:P4"/>
    <mergeCell ref="A6:B12"/>
  </mergeCells>
  <printOptions horizontalCentered="1"/>
  <pageMargins left="0.19685039370078741" right="0.19685039370078741" top="0.74803149606299213" bottom="0.35433070866141736" header="0.51181102362204722" footer="0.15748031496062992"/>
  <pageSetup paperSize="9" orientation="landscape" r:id="rId1"/>
  <headerFooter alignWithMargins="0">
    <oddHeader>&amp;C&amp;"Arial,Standard"&amp;8- 22 -&amp;R&amp;8&amp;D</oddHeader>
    <oddFooter>&amp;R
&amp;12...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9">
    <tabColor theme="0" tint="-0.499984740745262"/>
  </sheetPr>
  <dimension ref="A1:AK37"/>
  <sheetViews>
    <sheetView zoomScaleNormal="100" zoomScaleSheetLayoutView="100" workbookViewId="0">
      <selection activeCell="N24" sqref="N24"/>
    </sheetView>
  </sheetViews>
  <sheetFormatPr baseColWidth="10" defaultColWidth="11.3828125" defaultRowHeight="14.15"/>
  <cols>
    <col min="1" max="1" width="5.69140625" style="37" customWidth="1"/>
    <col min="2" max="2" width="0.84375" style="37" customWidth="1"/>
    <col min="3" max="4" width="7.69140625" style="37" customWidth="1"/>
    <col min="5" max="5" width="7.69140625" style="865" customWidth="1"/>
    <col min="6" max="8" width="7.69140625" style="37" customWidth="1"/>
    <col min="9" max="10" width="10.69140625" style="37" customWidth="1"/>
    <col min="11" max="12" width="7.69140625" style="37" customWidth="1"/>
    <col min="13" max="13" width="7.69140625" style="865" customWidth="1"/>
    <col min="14" max="16" width="7.69140625" style="37" customWidth="1"/>
    <col min="17" max="16384" width="11.3828125" style="37"/>
  </cols>
  <sheetData>
    <row r="1" spans="1:27" ht="13.2" customHeight="1"/>
    <row r="2" spans="1:27" ht="13.2" customHeight="1">
      <c r="A2" s="728" t="s">
        <v>213</v>
      </c>
      <c r="B2" s="863"/>
      <c r="C2" s="863"/>
      <c r="D2" s="235"/>
      <c r="E2" s="235"/>
      <c r="F2" s="235"/>
      <c r="G2" s="235"/>
      <c r="H2" s="235"/>
      <c r="I2" s="856"/>
      <c r="K2" s="917"/>
      <c r="L2" s="917"/>
      <c r="M2" s="917"/>
      <c r="N2" s="534"/>
    </row>
    <row r="3" spans="1:27" ht="10.95" customHeight="1">
      <c r="A3" s="997"/>
      <c r="B3" s="997"/>
      <c r="C3" s="236"/>
      <c r="D3" s="236"/>
      <c r="E3" s="237"/>
      <c r="F3" s="236"/>
      <c r="G3" s="236"/>
      <c r="H3" s="236"/>
      <c r="I3" s="236"/>
      <c r="J3" s="52"/>
      <c r="K3" s="236"/>
      <c r="L3" s="236"/>
      <c r="M3" s="237"/>
      <c r="N3" s="236"/>
    </row>
    <row r="4" spans="1:27" ht="13.95" customHeight="1">
      <c r="A4" s="1612" t="s">
        <v>163</v>
      </c>
      <c r="B4" s="1612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</row>
    <row r="5" spans="1:27" ht="10.95" customHeight="1" thickBot="1">
      <c r="A5" s="920"/>
      <c r="B5" s="920"/>
      <c r="C5" s="918"/>
      <c r="D5" s="918"/>
      <c r="E5" s="919"/>
      <c r="F5" s="918"/>
      <c r="G5" s="918"/>
      <c r="H5" s="918"/>
      <c r="I5" s="920"/>
      <c r="J5" s="920"/>
      <c r="K5" s="52"/>
      <c r="L5" s="52"/>
      <c r="M5" s="242"/>
      <c r="N5" s="52"/>
    </row>
    <row r="6" spans="1:27" s="998" customFormat="1" ht="24.65" customHeight="1">
      <c r="A6" s="1603" t="s">
        <v>43</v>
      </c>
      <c r="B6" s="1532"/>
      <c r="C6" s="1604" t="s">
        <v>358</v>
      </c>
      <c r="D6" s="1604" t="s">
        <v>115</v>
      </c>
      <c r="E6" s="1604" t="s">
        <v>115</v>
      </c>
      <c r="F6" s="1604" t="s">
        <v>115</v>
      </c>
      <c r="G6" s="1604" t="s">
        <v>115</v>
      </c>
      <c r="H6" s="1605" t="s">
        <v>115</v>
      </c>
      <c r="I6" s="875" t="s">
        <v>0</v>
      </c>
      <c r="J6" s="875" t="s">
        <v>1</v>
      </c>
      <c r="K6" s="1611" t="s">
        <v>210</v>
      </c>
      <c r="L6" s="1601"/>
      <c r="M6" s="1601"/>
      <c r="N6" s="1601"/>
      <c r="O6" s="1601"/>
      <c r="P6" s="1602"/>
    </row>
    <row r="7" spans="1:27" s="998" customFormat="1" ht="12" customHeight="1">
      <c r="A7" s="1533"/>
      <c r="B7" s="1534"/>
      <c r="C7" s="1606"/>
      <c r="D7" s="1606"/>
      <c r="E7" s="1606"/>
      <c r="F7" s="1606"/>
      <c r="G7" s="1606"/>
      <c r="H7" s="1607"/>
      <c r="I7" s="876" t="s">
        <v>3</v>
      </c>
      <c r="J7" s="876" t="s">
        <v>4</v>
      </c>
      <c r="K7" s="877"/>
      <c r="L7" s="876"/>
      <c r="M7" s="878"/>
      <c r="N7" s="1608" t="s">
        <v>312</v>
      </c>
      <c r="O7" s="1609"/>
      <c r="P7" s="1610"/>
    </row>
    <row r="8" spans="1:27" s="998" customFormat="1" ht="12" customHeight="1">
      <c r="A8" s="1533"/>
      <c r="B8" s="1534"/>
      <c r="C8" s="879"/>
      <c r="D8" s="880"/>
      <c r="E8" s="880"/>
      <c r="F8" s="21" t="s">
        <v>165</v>
      </c>
      <c r="G8" s="881"/>
      <c r="H8" s="882"/>
      <c r="I8" s="876" t="s">
        <v>8</v>
      </c>
      <c r="J8" s="876" t="s">
        <v>8</v>
      </c>
      <c r="K8" s="883"/>
      <c r="L8" s="880"/>
      <c r="M8" s="884"/>
      <c r="N8" s="1522" t="s">
        <v>313</v>
      </c>
      <c r="O8" s="1523"/>
      <c r="P8" s="1525"/>
      <c r="Q8" s="999"/>
      <c r="R8" s="999"/>
      <c r="S8" s="999"/>
      <c r="T8" s="999"/>
      <c r="U8" s="999"/>
      <c r="V8" s="999"/>
      <c r="W8" s="999"/>
      <c r="X8" s="1000"/>
      <c r="Y8" s="999"/>
      <c r="Z8" s="999"/>
      <c r="AA8" s="1001"/>
    </row>
    <row r="9" spans="1:27" s="998" customFormat="1" ht="12" customHeight="1">
      <c r="A9" s="1533"/>
      <c r="B9" s="1534"/>
      <c r="C9" s="1125"/>
      <c r="D9" s="876"/>
      <c r="E9" s="876"/>
      <c r="F9" s="886" t="s">
        <v>295</v>
      </c>
      <c r="G9" s="887"/>
      <c r="H9" s="888"/>
      <c r="I9" s="876" t="s">
        <v>20</v>
      </c>
      <c r="J9" s="876" t="s">
        <v>20</v>
      </c>
      <c r="K9" s="883"/>
      <c r="L9" s="880"/>
      <c r="M9" s="889"/>
      <c r="N9" s="890"/>
      <c r="O9" s="891"/>
      <c r="P9" s="892"/>
    </row>
    <row r="10" spans="1:27" s="998" customFormat="1" ht="12" customHeight="1">
      <c r="A10" s="1533"/>
      <c r="B10" s="1534"/>
      <c r="C10" s="894" t="s">
        <v>19</v>
      </c>
      <c r="D10" s="876" t="s">
        <v>17</v>
      </c>
      <c r="E10" s="876" t="s">
        <v>18</v>
      </c>
      <c r="F10" s="893"/>
      <c r="G10" s="893"/>
      <c r="H10" s="893"/>
      <c r="I10" s="876" t="s">
        <v>33</v>
      </c>
      <c r="J10" s="876" t="s">
        <v>33</v>
      </c>
      <c r="K10" s="894" t="s">
        <v>19</v>
      </c>
      <c r="L10" s="895" t="s">
        <v>17</v>
      </c>
      <c r="M10" s="896" t="s">
        <v>18</v>
      </c>
      <c r="N10" s="897" t="s">
        <v>19</v>
      </c>
      <c r="O10" s="898" t="s">
        <v>17</v>
      </c>
      <c r="P10" s="899" t="s">
        <v>18</v>
      </c>
    </row>
    <row r="11" spans="1:27" s="998" customFormat="1" ht="12" customHeight="1">
      <c r="A11" s="1533"/>
      <c r="B11" s="1534"/>
      <c r="C11" s="894" t="s">
        <v>29</v>
      </c>
      <c r="D11" s="1126" t="s">
        <v>28</v>
      </c>
      <c r="E11" s="880" t="s">
        <v>28</v>
      </c>
      <c r="F11" s="900" t="s">
        <v>30</v>
      </c>
      <c r="G11" s="900" t="s">
        <v>31</v>
      </c>
      <c r="H11" s="901" t="s">
        <v>32</v>
      </c>
      <c r="I11" s="876" t="s">
        <v>39</v>
      </c>
      <c r="J11" s="876" t="s">
        <v>39</v>
      </c>
      <c r="K11" s="894" t="s">
        <v>29</v>
      </c>
      <c r="L11" s="895" t="s">
        <v>28</v>
      </c>
      <c r="M11" s="896" t="s">
        <v>34</v>
      </c>
      <c r="N11" s="897" t="s">
        <v>29</v>
      </c>
      <c r="O11" s="898" t="s">
        <v>28</v>
      </c>
      <c r="P11" s="899" t="s">
        <v>34</v>
      </c>
    </row>
    <row r="12" spans="1:27" s="998" customFormat="1" ht="10.95" customHeight="1">
      <c r="A12" s="1535"/>
      <c r="B12" s="1536"/>
      <c r="C12" s="885"/>
      <c r="D12" s="876"/>
      <c r="E12" s="876"/>
      <c r="F12" s="902"/>
      <c r="G12" s="902"/>
      <c r="H12" s="903"/>
      <c r="I12" s="876"/>
      <c r="J12" s="876"/>
      <c r="K12" s="904"/>
      <c r="L12" s="905"/>
      <c r="M12" s="886"/>
      <c r="N12" s="906"/>
      <c r="O12" s="905"/>
      <c r="P12" s="907"/>
    </row>
    <row r="13" spans="1:27" ht="15" customHeight="1">
      <c r="A13" s="592" t="s">
        <v>58</v>
      </c>
      <c r="B13" s="601"/>
      <c r="C13" s="1078">
        <v>24</v>
      </c>
      <c r="D13" s="1076">
        <v>0</v>
      </c>
      <c r="E13" s="1077">
        <v>24</v>
      </c>
      <c r="F13" s="1076">
        <v>3</v>
      </c>
      <c r="G13" s="1076">
        <v>9</v>
      </c>
      <c r="H13" s="1077">
        <v>12</v>
      </c>
      <c r="I13" s="1067">
        <v>12</v>
      </c>
      <c r="J13" s="1067">
        <v>3</v>
      </c>
      <c r="K13" s="1080">
        <v>18</v>
      </c>
      <c r="L13" s="1076">
        <v>0</v>
      </c>
      <c r="M13" s="1077">
        <v>18</v>
      </c>
      <c r="N13" s="1080">
        <v>18</v>
      </c>
      <c r="O13" s="1076">
        <v>0</v>
      </c>
      <c r="P13" s="1084">
        <v>18</v>
      </c>
    </row>
    <row r="14" spans="1:27" ht="15" customHeight="1">
      <c r="A14" s="592" t="s">
        <v>49</v>
      </c>
      <c r="B14" s="595"/>
      <c r="C14" s="1069">
        <v>0</v>
      </c>
      <c r="D14" s="5">
        <v>0</v>
      </c>
      <c r="E14" s="396">
        <v>0</v>
      </c>
      <c r="F14" s="5">
        <v>0</v>
      </c>
      <c r="G14" s="5">
        <v>0</v>
      </c>
      <c r="H14" s="396">
        <v>0</v>
      </c>
      <c r="I14" s="396">
        <v>0</v>
      </c>
      <c r="J14" s="396">
        <v>0</v>
      </c>
      <c r="K14" s="1081">
        <v>0</v>
      </c>
      <c r="L14" s="5">
        <v>0</v>
      </c>
      <c r="M14" s="396">
        <v>0</v>
      </c>
      <c r="N14" s="1081">
        <v>0</v>
      </c>
      <c r="O14" s="5">
        <v>0</v>
      </c>
      <c r="P14" s="1038">
        <v>0</v>
      </c>
    </row>
    <row r="15" spans="1:27" ht="15" customHeight="1">
      <c r="A15" s="592" t="s">
        <v>52</v>
      </c>
      <c r="B15" s="595"/>
      <c r="C15" s="1069">
        <v>21</v>
      </c>
      <c r="D15" s="5">
        <v>0</v>
      </c>
      <c r="E15" s="396">
        <v>21</v>
      </c>
      <c r="F15" s="5">
        <v>0</v>
      </c>
      <c r="G15" s="5">
        <v>12</v>
      </c>
      <c r="H15" s="396">
        <v>6</v>
      </c>
      <c r="I15" s="396">
        <v>9</v>
      </c>
      <c r="J15" s="396">
        <v>6</v>
      </c>
      <c r="K15" s="1081">
        <v>12</v>
      </c>
      <c r="L15" s="5">
        <v>0</v>
      </c>
      <c r="M15" s="396">
        <v>12</v>
      </c>
      <c r="N15" s="1081">
        <v>12</v>
      </c>
      <c r="O15" s="5">
        <v>0</v>
      </c>
      <c r="P15" s="1038">
        <v>12</v>
      </c>
    </row>
    <row r="16" spans="1:27" ht="15" customHeight="1">
      <c r="A16" s="592" t="s">
        <v>48</v>
      </c>
      <c r="B16" s="595"/>
      <c r="C16" s="1069">
        <v>0</v>
      </c>
      <c r="D16" s="5">
        <v>0</v>
      </c>
      <c r="E16" s="396">
        <v>0</v>
      </c>
      <c r="F16" s="5">
        <v>0</v>
      </c>
      <c r="G16" s="5">
        <v>0</v>
      </c>
      <c r="H16" s="396">
        <v>0</v>
      </c>
      <c r="I16" s="396">
        <v>0</v>
      </c>
      <c r="J16" s="396">
        <v>0</v>
      </c>
      <c r="K16" s="1081">
        <v>0</v>
      </c>
      <c r="L16" s="5">
        <v>0</v>
      </c>
      <c r="M16" s="396">
        <v>0</v>
      </c>
      <c r="N16" s="1081">
        <v>0</v>
      </c>
      <c r="O16" s="5">
        <v>0</v>
      </c>
      <c r="P16" s="1038">
        <v>0</v>
      </c>
    </row>
    <row r="17" spans="1:37" ht="15" customHeight="1">
      <c r="A17" s="592" t="s">
        <v>53</v>
      </c>
      <c r="B17" s="543"/>
      <c r="C17" s="1069">
        <v>6</v>
      </c>
      <c r="D17" s="5">
        <v>0</v>
      </c>
      <c r="E17" s="396">
        <v>6</v>
      </c>
      <c r="F17" s="5">
        <v>3</v>
      </c>
      <c r="G17" s="5">
        <v>3</v>
      </c>
      <c r="H17" s="396">
        <v>3</v>
      </c>
      <c r="I17" s="396">
        <v>3</v>
      </c>
      <c r="J17" s="396">
        <v>3</v>
      </c>
      <c r="K17" s="1081">
        <v>0</v>
      </c>
      <c r="L17" s="5">
        <v>0</v>
      </c>
      <c r="M17" s="396">
        <v>0</v>
      </c>
      <c r="N17" s="1081">
        <v>0</v>
      </c>
      <c r="O17" s="5">
        <v>0</v>
      </c>
      <c r="P17" s="1038">
        <v>0</v>
      </c>
    </row>
    <row r="18" spans="1:37" ht="15" customHeight="1">
      <c r="A18" s="592" t="s">
        <v>50</v>
      </c>
      <c r="B18" s="595"/>
      <c r="C18" s="1069">
        <v>0</v>
      </c>
      <c r="D18" s="5">
        <v>0</v>
      </c>
      <c r="E18" s="396">
        <v>0</v>
      </c>
      <c r="F18" s="5">
        <v>0</v>
      </c>
      <c r="G18" s="5">
        <v>0</v>
      </c>
      <c r="H18" s="396">
        <v>0</v>
      </c>
      <c r="I18" s="396">
        <v>0</v>
      </c>
      <c r="J18" s="396">
        <v>0</v>
      </c>
      <c r="K18" s="1081">
        <v>0</v>
      </c>
      <c r="L18" s="5">
        <v>0</v>
      </c>
      <c r="M18" s="396">
        <v>0</v>
      </c>
      <c r="N18" s="1081">
        <v>0</v>
      </c>
      <c r="O18" s="5">
        <v>0</v>
      </c>
      <c r="P18" s="1038">
        <v>0</v>
      </c>
      <c r="Q18" s="51"/>
      <c r="R18" s="239"/>
      <c r="S18" s="51"/>
      <c r="T18" s="51"/>
      <c r="U18" s="51"/>
      <c r="V18" s="240"/>
      <c r="W18" s="240"/>
      <c r="X18" s="241"/>
      <c r="Y18" s="236"/>
      <c r="Z18" s="237"/>
      <c r="AA18" s="236"/>
      <c r="AB18" s="236"/>
      <c r="AC18" s="237"/>
      <c r="AD18" s="241"/>
      <c r="AE18" s="237"/>
      <c r="AF18" s="237"/>
      <c r="AG18" s="237"/>
      <c r="AH18" s="237"/>
      <c r="AI18" s="237"/>
      <c r="AJ18" s="237"/>
      <c r="AK18" s="237"/>
    </row>
    <row r="19" spans="1:37" ht="15" customHeight="1">
      <c r="A19" s="592" t="s">
        <v>54</v>
      </c>
      <c r="B19" s="595"/>
      <c r="C19" s="1069">
        <v>9</v>
      </c>
      <c r="D19" s="5">
        <v>0</v>
      </c>
      <c r="E19" s="396">
        <v>6</v>
      </c>
      <c r="F19" s="5">
        <v>3</v>
      </c>
      <c r="G19" s="5">
        <v>3</v>
      </c>
      <c r="H19" s="396">
        <v>3</v>
      </c>
      <c r="I19" s="396">
        <v>3</v>
      </c>
      <c r="J19" s="396">
        <v>0</v>
      </c>
      <c r="K19" s="1081">
        <v>3</v>
      </c>
      <c r="L19" s="5">
        <v>0</v>
      </c>
      <c r="M19" s="396">
        <v>3</v>
      </c>
      <c r="N19" s="1081">
        <v>3</v>
      </c>
      <c r="O19" s="5">
        <v>0</v>
      </c>
      <c r="P19" s="1038">
        <v>3</v>
      </c>
      <c r="Q19" s="52"/>
      <c r="R19" s="242"/>
      <c r="S19" s="52"/>
      <c r="T19" s="52"/>
      <c r="U19" s="52"/>
      <c r="V19" s="243"/>
      <c r="W19" s="243"/>
      <c r="X19" s="52"/>
      <c r="Y19" s="236"/>
      <c r="Z19" s="237"/>
      <c r="AA19" s="244"/>
      <c r="AB19" s="245"/>
      <c r="AC19" s="241"/>
      <c r="AD19" s="52"/>
      <c r="AE19" s="236"/>
      <c r="AF19" s="237"/>
      <c r="AG19" s="246"/>
      <c r="AH19" s="244"/>
      <c r="AI19" s="245"/>
      <c r="AJ19" s="235"/>
      <c r="AK19" s="245"/>
    </row>
    <row r="20" spans="1:37" ht="15" customHeight="1">
      <c r="A20" s="592" t="s">
        <v>44</v>
      </c>
      <c r="B20" s="595"/>
      <c r="C20" s="1069">
        <v>24</v>
      </c>
      <c r="D20" s="5">
        <v>0</v>
      </c>
      <c r="E20" s="396">
        <v>24</v>
      </c>
      <c r="F20" s="5">
        <v>3</v>
      </c>
      <c r="G20" s="5">
        <v>9</v>
      </c>
      <c r="H20" s="396">
        <v>15</v>
      </c>
      <c r="I20" s="396">
        <v>6</v>
      </c>
      <c r="J20" s="396">
        <v>3</v>
      </c>
      <c r="K20" s="1081">
        <v>6</v>
      </c>
      <c r="L20" s="5">
        <v>0</v>
      </c>
      <c r="M20" s="396">
        <v>6</v>
      </c>
      <c r="N20" s="1081">
        <v>6</v>
      </c>
      <c r="O20" s="5">
        <v>0</v>
      </c>
      <c r="P20" s="1038">
        <v>6</v>
      </c>
      <c r="Q20" s="244"/>
      <c r="R20" s="247"/>
      <c r="S20" s="244"/>
      <c r="T20" s="244"/>
      <c r="U20" s="244"/>
      <c r="V20" s="243"/>
      <c r="W20" s="243"/>
      <c r="X20" s="248"/>
      <c r="Y20" s="248"/>
      <c r="Z20" s="249"/>
      <c r="AA20" s="244"/>
      <c r="AB20" s="244"/>
      <c r="AC20" s="237"/>
      <c r="AD20" s="248"/>
      <c r="AE20" s="248"/>
      <c r="AF20" s="249"/>
      <c r="AG20" s="240"/>
      <c r="AH20" s="244"/>
      <c r="AI20" s="245"/>
      <c r="AJ20" s="235"/>
      <c r="AK20" s="245"/>
    </row>
    <row r="21" spans="1:37" ht="15" customHeight="1">
      <c r="A21" s="592" t="s">
        <v>45</v>
      </c>
      <c r="B21" s="595"/>
      <c r="C21" s="1069">
        <v>57</v>
      </c>
      <c r="D21" s="5">
        <v>0</v>
      </c>
      <c r="E21" s="396">
        <v>57</v>
      </c>
      <c r="F21" s="5">
        <v>6</v>
      </c>
      <c r="G21" s="5">
        <v>18</v>
      </c>
      <c r="H21" s="396">
        <v>33</v>
      </c>
      <c r="I21" s="396">
        <v>39</v>
      </c>
      <c r="J21" s="396">
        <v>3</v>
      </c>
      <c r="K21" s="1081">
        <v>18</v>
      </c>
      <c r="L21" s="5">
        <v>0</v>
      </c>
      <c r="M21" s="396">
        <v>18</v>
      </c>
      <c r="N21" s="1081">
        <v>18</v>
      </c>
      <c r="O21" s="5">
        <v>0</v>
      </c>
      <c r="P21" s="1038">
        <v>18</v>
      </c>
      <c r="Q21" s="52"/>
      <c r="R21" s="242"/>
      <c r="S21" s="244"/>
      <c r="T21" s="236"/>
      <c r="U21" s="236"/>
      <c r="V21" s="243"/>
      <c r="W21" s="243"/>
      <c r="X21" s="52"/>
      <c r="Y21" s="52"/>
      <c r="Z21" s="242"/>
      <c r="AA21" s="52"/>
      <c r="AB21" s="52"/>
      <c r="AC21" s="242"/>
      <c r="AD21" s="52"/>
      <c r="AE21" s="52"/>
      <c r="AF21" s="242"/>
      <c r="AG21" s="240"/>
      <c r="AH21" s="248"/>
      <c r="AI21" s="248"/>
      <c r="AJ21" s="249"/>
      <c r="AK21" s="250"/>
    </row>
    <row r="22" spans="1:37" ht="15" customHeight="1">
      <c r="A22" s="592" t="s">
        <v>55</v>
      </c>
      <c r="B22" s="595"/>
      <c r="C22" s="1069">
        <v>0</v>
      </c>
      <c r="D22" s="5">
        <v>0</v>
      </c>
      <c r="E22" s="396">
        <v>0</v>
      </c>
      <c r="F22" s="5">
        <v>0</v>
      </c>
      <c r="G22" s="5">
        <v>0</v>
      </c>
      <c r="H22" s="396">
        <v>0</v>
      </c>
      <c r="I22" s="396">
        <v>0</v>
      </c>
      <c r="J22" s="396">
        <v>0</v>
      </c>
      <c r="K22" s="1081">
        <v>0</v>
      </c>
      <c r="L22" s="5">
        <v>0</v>
      </c>
      <c r="M22" s="396">
        <v>0</v>
      </c>
      <c r="N22" s="1081">
        <v>0</v>
      </c>
      <c r="O22" s="5">
        <v>0</v>
      </c>
      <c r="P22" s="1038">
        <v>0</v>
      </c>
      <c r="Q22" s="240"/>
      <c r="R22" s="251"/>
      <c r="S22" s="52"/>
      <c r="T22" s="250"/>
      <c r="U22" s="250"/>
      <c r="V22" s="243"/>
      <c r="W22" s="243"/>
      <c r="X22" s="240"/>
      <c r="Y22" s="240"/>
      <c r="Z22" s="251"/>
      <c r="AA22" s="240"/>
      <c r="AB22" s="236"/>
      <c r="AC22" s="251"/>
      <c r="AD22" s="240"/>
      <c r="AE22" s="240"/>
      <c r="AF22" s="251"/>
      <c r="AG22" s="240"/>
      <c r="AH22" s="240"/>
      <c r="AI22" s="240"/>
      <c r="AJ22" s="251"/>
      <c r="AK22" s="250"/>
    </row>
    <row r="23" spans="1:37" ht="15" customHeight="1">
      <c r="A23" s="592" t="s">
        <v>46</v>
      </c>
      <c r="B23" s="595"/>
      <c r="C23" s="1070">
        <v>0</v>
      </c>
      <c r="D23" s="1063">
        <v>0</v>
      </c>
      <c r="E23" s="1064">
        <v>0</v>
      </c>
      <c r="F23" s="1063">
        <v>0</v>
      </c>
      <c r="G23" s="1063">
        <v>0</v>
      </c>
      <c r="H23" s="1064">
        <v>0</v>
      </c>
      <c r="I23" s="396">
        <v>0</v>
      </c>
      <c r="J23" s="396">
        <v>0</v>
      </c>
      <c r="K23" s="1082">
        <v>0</v>
      </c>
      <c r="L23" s="1063">
        <v>0</v>
      </c>
      <c r="M23" s="1064">
        <v>0</v>
      </c>
      <c r="N23" s="1082">
        <v>0</v>
      </c>
      <c r="O23" s="1063">
        <v>0</v>
      </c>
      <c r="P23" s="1036">
        <v>0</v>
      </c>
      <c r="Q23" s="240"/>
      <c r="R23" s="251"/>
      <c r="S23" s="240"/>
      <c r="T23" s="240"/>
      <c r="U23" s="240"/>
      <c r="V23" s="243"/>
      <c r="W23" s="243"/>
      <c r="X23" s="240"/>
      <c r="Y23" s="240"/>
      <c r="Z23" s="251"/>
      <c r="AA23" s="240"/>
      <c r="AB23" s="240"/>
      <c r="AC23" s="251"/>
      <c r="AD23" s="240"/>
      <c r="AE23" s="240"/>
      <c r="AF23" s="251"/>
      <c r="AG23" s="240"/>
      <c r="AH23" s="240"/>
      <c r="AI23" s="240"/>
      <c r="AJ23" s="251"/>
      <c r="AK23" s="250"/>
    </row>
    <row r="24" spans="1:37" ht="15" customHeight="1">
      <c r="A24" s="592" t="s">
        <v>47</v>
      </c>
      <c r="B24" s="595"/>
      <c r="C24" s="1069">
        <v>0</v>
      </c>
      <c r="D24" s="5">
        <v>0</v>
      </c>
      <c r="E24" s="396">
        <v>0</v>
      </c>
      <c r="F24" s="5">
        <v>0</v>
      </c>
      <c r="G24" s="5">
        <v>0</v>
      </c>
      <c r="H24" s="396">
        <v>0</v>
      </c>
      <c r="I24" s="258">
        <v>0</v>
      </c>
      <c r="J24" s="258">
        <v>0</v>
      </c>
      <c r="K24" s="1081">
        <v>0</v>
      </c>
      <c r="L24" s="5">
        <v>0</v>
      </c>
      <c r="M24" s="396">
        <v>0</v>
      </c>
      <c r="N24" s="1081">
        <v>0</v>
      </c>
      <c r="O24" s="5">
        <v>0</v>
      </c>
      <c r="P24" s="1038">
        <v>0</v>
      </c>
      <c r="Q24" s="52"/>
      <c r="R24" s="242"/>
      <c r="S24" s="52"/>
      <c r="T24" s="52"/>
      <c r="U24" s="52"/>
      <c r="V24" s="252"/>
      <c r="W24" s="252"/>
      <c r="X24" s="52"/>
      <c r="Y24" s="52"/>
      <c r="Z24" s="242"/>
      <c r="AA24" s="52"/>
      <c r="AB24" s="52"/>
      <c r="AC24" s="242"/>
      <c r="AD24" s="52"/>
      <c r="AE24" s="52"/>
      <c r="AF24" s="242"/>
      <c r="AG24" s="246"/>
      <c r="AH24" s="52"/>
      <c r="AI24" s="52"/>
      <c r="AJ24" s="242"/>
      <c r="AK24" s="250"/>
    </row>
    <row r="25" spans="1:37" ht="15" customHeight="1">
      <c r="A25" s="592" t="s">
        <v>51</v>
      </c>
      <c r="B25" s="595"/>
      <c r="C25" s="1069">
        <v>0</v>
      </c>
      <c r="D25" s="5">
        <v>0</v>
      </c>
      <c r="E25" s="396">
        <v>0</v>
      </c>
      <c r="F25" s="5">
        <v>0</v>
      </c>
      <c r="G25" s="5">
        <v>0</v>
      </c>
      <c r="H25" s="396">
        <v>0</v>
      </c>
      <c r="I25" s="396">
        <v>0</v>
      </c>
      <c r="J25" s="396">
        <v>0</v>
      </c>
      <c r="K25" s="1081">
        <v>0</v>
      </c>
      <c r="L25" s="5">
        <v>0</v>
      </c>
      <c r="M25" s="396">
        <v>0</v>
      </c>
      <c r="N25" s="1081">
        <v>0</v>
      </c>
      <c r="O25" s="5">
        <v>0</v>
      </c>
      <c r="P25" s="1038">
        <v>0</v>
      </c>
    </row>
    <row r="26" spans="1:37" ht="15" customHeight="1">
      <c r="A26" s="592" t="s">
        <v>56</v>
      </c>
      <c r="B26" s="595"/>
      <c r="C26" s="1069">
        <v>0</v>
      </c>
      <c r="D26" s="5">
        <v>0</v>
      </c>
      <c r="E26" s="396">
        <v>0</v>
      </c>
      <c r="F26" s="5">
        <v>0</v>
      </c>
      <c r="G26" s="5">
        <v>0</v>
      </c>
      <c r="H26" s="396">
        <v>0</v>
      </c>
      <c r="I26" s="396">
        <v>0</v>
      </c>
      <c r="J26" s="396">
        <v>0</v>
      </c>
      <c r="K26" s="1081">
        <v>0</v>
      </c>
      <c r="L26" s="5">
        <v>0</v>
      </c>
      <c r="M26" s="396">
        <v>0</v>
      </c>
      <c r="N26" s="1081">
        <v>0</v>
      </c>
      <c r="O26" s="5">
        <v>0</v>
      </c>
      <c r="P26" s="1038">
        <v>0</v>
      </c>
    </row>
    <row r="27" spans="1:37" ht="15" customHeight="1">
      <c r="A27" s="592" t="s">
        <v>57</v>
      </c>
      <c r="B27" s="595"/>
      <c r="C27" s="1069">
        <v>0</v>
      </c>
      <c r="D27" s="5">
        <v>0</v>
      </c>
      <c r="E27" s="396">
        <v>0</v>
      </c>
      <c r="F27" s="5">
        <v>0</v>
      </c>
      <c r="G27" s="5">
        <v>0</v>
      </c>
      <c r="H27" s="396">
        <v>0</v>
      </c>
      <c r="I27" s="396">
        <v>0</v>
      </c>
      <c r="J27" s="396">
        <v>0</v>
      </c>
      <c r="K27" s="1081">
        <v>0</v>
      </c>
      <c r="L27" s="5">
        <v>0</v>
      </c>
      <c r="M27" s="396">
        <v>0</v>
      </c>
      <c r="N27" s="1081">
        <v>0</v>
      </c>
      <c r="O27" s="5">
        <v>0</v>
      </c>
      <c r="P27" s="1038">
        <v>0</v>
      </c>
    </row>
    <row r="28" spans="1:37" s="253" customFormat="1" ht="15" customHeight="1">
      <c r="A28" s="592" t="s">
        <v>59</v>
      </c>
      <c r="B28" s="595"/>
      <c r="C28" s="1069">
        <v>0</v>
      </c>
      <c r="D28" s="5">
        <v>0</v>
      </c>
      <c r="E28" s="396">
        <v>0</v>
      </c>
      <c r="F28" s="5">
        <v>0</v>
      </c>
      <c r="G28" s="5">
        <v>0</v>
      </c>
      <c r="H28" s="396">
        <v>0</v>
      </c>
      <c r="I28" s="1037">
        <v>0</v>
      </c>
      <c r="J28" s="1037">
        <v>0</v>
      </c>
      <c r="K28" s="1081">
        <v>0</v>
      </c>
      <c r="L28" s="5">
        <v>0</v>
      </c>
      <c r="M28" s="396">
        <v>0</v>
      </c>
      <c r="N28" s="1081">
        <v>0</v>
      </c>
      <c r="O28" s="5">
        <v>0</v>
      </c>
      <c r="P28" s="1038">
        <v>0</v>
      </c>
    </row>
    <row r="29" spans="1:37" s="52" customFormat="1" ht="4.2" customHeight="1">
      <c r="A29" s="656"/>
      <c r="B29" s="595"/>
      <c r="C29" s="408"/>
      <c r="D29" s="406"/>
      <c r="E29" s="407"/>
      <c r="F29" s="406"/>
      <c r="G29" s="406"/>
      <c r="H29" s="407"/>
      <c r="I29" s="1079"/>
      <c r="J29" s="1079"/>
      <c r="K29" s="1083"/>
      <c r="L29" s="406"/>
      <c r="M29" s="407"/>
      <c r="N29" s="1083"/>
      <c r="O29" s="406"/>
      <c r="P29" s="1085"/>
    </row>
    <row r="30" spans="1:37" s="254" customFormat="1" ht="21" customHeight="1" thickBot="1">
      <c r="A30" s="593" t="s">
        <v>60</v>
      </c>
      <c r="B30" s="658"/>
      <c r="C30" s="1068">
        <v>141</v>
      </c>
      <c r="D30" s="580">
        <v>3</v>
      </c>
      <c r="E30" s="1065">
        <v>138</v>
      </c>
      <c r="F30" s="580">
        <v>18</v>
      </c>
      <c r="G30" s="580">
        <v>51</v>
      </c>
      <c r="H30" s="1065">
        <v>72</v>
      </c>
      <c r="I30" s="1066">
        <v>72</v>
      </c>
      <c r="J30" s="1066">
        <v>18</v>
      </c>
      <c r="K30" s="580">
        <v>57</v>
      </c>
      <c r="L30" s="580">
        <v>0</v>
      </c>
      <c r="M30" s="1065">
        <v>57</v>
      </c>
      <c r="N30" s="580">
        <v>57</v>
      </c>
      <c r="O30" s="580">
        <v>0</v>
      </c>
      <c r="P30" s="1039">
        <v>57</v>
      </c>
    </row>
    <row r="31" spans="1:37" s="254" customFormat="1" ht="3.65" customHeight="1">
      <c r="A31" s="575"/>
      <c r="B31" s="575"/>
      <c r="C31" s="576"/>
      <c r="D31" s="576"/>
      <c r="E31" s="576"/>
      <c r="F31" s="576"/>
      <c r="G31" s="576"/>
      <c r="H31" s="576"/>
      <c r="I31" s="576"/>
      <c r="J31" s="576"/>
      <c r="K31" s="576"/>
      <c r="L31" s="576"/>
      <c r="M31" s="576"/>
      <c r="N31" s="577"/>
    </row>
    <row r="32" spans="1:37" s="254" customFormat="1" ht="10.95" customHeight="1">
      <c r="A32" s="70" t="s">
        <v>297</v>
      </c>
      <c r="B32" s="575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7"/>
    </row>
    <row r="33" spans="1:16" s="253" customFormat="1" ht="12" customHeight="1">
      <c r="A33" s="71" t="s">
        <v>380</v>
      </c>
      <c r="B33" s="71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4" spans="1:16" s="253" customFormat="1" ht="11.9" customHeight="1">
      <c r="B34" s="70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6" spans="1:16" ht="14.6" thickBot="1">
      <c r="A36" s="593" t="s">
        <v>60</v>
      </c>
      <c r="B36" s="598"/>
      <c r="C36" s="1068">
        <v>141</v>
      </c>
      <c r="D36" s="580">
        <v>0</v>
      </c>
      <c r="E36" s="1065">
        <v>138</v>
      </c>
      <c r="F36" s="580">
        <v>18</v>
      </c>
      <c r="G36" s="580">
        <v>54</v>
      </c>
      <c r="H36" s="1065">
        <v>72</v>
      </c>
      <c r="I36" s="580">
        <v>72</v>
      </c>
      <c r="J36" s="1066">
        <v>18</v>
      </c>
      <c r="K36" s="1068">
        <v>57</v>
      </c>
      <c r="L36" s="580">
        <v>0</v>
      </c>
      <c r="M36" s="1065">
        <v>57</v>
      </c>
      <c r="N36" s="1068">
        <v>57</v>
      </c>
      <c r="O36" s="580">
        <v>0</v>
      </c>
      <c r="P36" s="1039">
        <v>57</v>
      </c>
    </row>
    <row r="37" spans="1:16" ht="14.6" thickBot="1">
      <c r="A37" s="593" t="s">
        <v>384</v>
      </c>
      <c r="B37" s="598"/>
      <c r="C37" s="1327">
        <f t="shared" ref="C37:P37" si="0">C30-C36</f>
        <v>0</v>
      </c>
      <c r="D37" s="1297">
        <f t="shared" si="0"/>
        <v>3</v>
      </c>
      <c r="E37" s="1311">
        <f t="shared" si="0"/>
        <v>0</v>
      </c>
      <c r="F37" s="1323">
        <f t="shared" si="0"/>
        <v>0</v>
      </c>
      <c r="G37" s="1295">
        <f t="shared" si="0"/>
        <v>-3</v>
      </c>
      <c r="H37" s="1311">
        <f t="shared" si="0"/>
        <v>0</v>
      </c>
      <c r="I37" s="1305">
        <f t="shared" si="0"/>
        <v>0</v>
      </c>
      <c r="J37" s="1338">
        <f t="shared" si="0"/>
        <v>0</v>
      </c>
      <c r="K37" s="1327">
        <f t="shared" si="0"/>
        <v>0</v>
      </c>
      <c r="L37" s="1305">
        <f t="shared" si="0"/>
        <v>0</v>
      </c>
      <c r="M37" s="1311">
        <f t="shared" si="0"/>
        <v>0</v>
      </c>
      <c r="N37" s="1327">
        <f t="shared" si="0"/>
        <v>0</v>
      </c>
      <c r="O37" s="1305">
        <f t="shared" si="0"/>
        <v>0</v>
      </c>
      <c r="P37" s="1350">
        <f t="shared" si="0"/>
        <v>0</v>
      </c>
    </row>
  </sheetData>
  <mergeCells count="6">
    <mergeCell ref="K6:P6"/>
    <mergeCell ref="N7:P7"/>
    <mergeCell ref="N8:P8"/>
    <mergeCell ref="A4:P4"/>
    <mergeCell ref="A6:B12"/>
    <mergeCell ref="C6:H7"/>
  </mergeCells>
  <printOptions horizontalCentered="1"/>
  <pageMargins left="0.19685039370078741" right="0.19685039370078741" top="0.82677165354330717" bottom="0.70866141732283472" header="0.62992125984251968" footer="0.51181102362204722"/>
  <pageSetup paperSize="9" orientation="landscape" horizontalDpi="4294967295" verticalDpi="4294967295" r:id="rId1"/>
  <headerFooter alignWithMargins="0">
    <oddHeader>&amp;C&amp;"Arial,Standard"&amp;8- 23 -&amp;"Times New Roman,Standard"&amp;11
&amp;R&amp;8&amp;D</oddHeader>
    <oddFooter>&amp;R&amp;14...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40">
    <tabColor theme="0" tint="-0.499984740745262"/>
  </sheetPr>
  <dimension ref="A1:GJ1436"/>
  <sheetViews>
    <sheetView topLeftCell="A202" zoomScaleNormal="100" zoomScaleSheetLayoutView="100" workbookViewId="0">
      <selection activeCell="F105" sqref="F105"/>
    </sheetView>
  </sheetViews>
  <sheetFormatPr baseColWidth="10" defaultColWidth="11.3828125" defaultRowHeight="14.15"/>
  <cols>
    <col min="1" max="1" width="18" style="141" customWidth="1"/>
    <col min="2" max="2" width="7.69140625" style="10" customWidth="1"/>
    <col min="3" max="6" width="13.69140625" style="55" customWidth="1"/>
    <col min="7" max="7" width="13.69140625" style="83" customWidth="1"/>
    <col min="8" max="16384" width="11.3828125" style="10"/>
  </cols>
  <sheetData>
    <row r="1" spans="1:192" ht="11.6">
      <c r="A1" s="1613"/>
      <c r="B1" s="1613"/>
      <c r="C1" s="1613"/>
      <c r="D1" s="528" t="s">
        <v>205</v>
      </c>
      <c r="G1" s="534"/>
    </row>
    <row r="2" spans="1:192">
      <c r="A2" s="36"/>
      <c r="B2" s="1"/>
      <c r="C2" s="2"/>
      <c r="D2" s="2"/>
      <c r="E2" s="2"/>
      <c r="G2" s="984"/>
      <c r="H2" s="3"/>
      <c r="I2" s="3"/>
      <c r="J2" s="3"/>
      <c r="K2" s="56"/>
      <c r="L2" s="56"/>
      <c r="M2" s="3"/>
      <c r="N2" s="3"/>
      <c r="O2" s="57"/>
      <c r="P2" s="58" t="s">
        <v>108</v>
      </c>
      <c r="Q2" s="3" t="s">
        <v>107</v>
      </c>
      <c r="R2" s="4"/>
      <c r="S2" s="4"/>
      <c r="T2" s="4"/>
      <c r="U2" s="4"/>
      <c r="V2" s="4"/>
      <c r="W2" s="3"/>
      <c r="X2" s="3"/>
      <c r="Y2" s="3"/>
      <c r="Z2" s="3"/>
      <c r="AA2" s="56"/>
      <c r="AB2" s="56"/>
      <c r="AC2" s="3"/>
      <c r="AD2" s="3"/>
      <c r="AE2" s="57"/>
      <c r="AF2" s="58" t="s">
        <v>108</v>
      </c>
      <c r="AG2" s="3" t="s">
        <v>107</v>
      </c>
      <c r="AH2" s="4"/>
      <c r="AI2" s="4"/>
      <c r="AJ2" s="4"/>
      <c r="AK2" s="4"/>
      <c r="AL2" s="4"/>
      <c r="AM2" s="3"/>
      <c r="AN2" s="3"/>
      <c r="AO2" s="3"/>
      <c r="AP2" s="3"/>
      <c r="AQ2" s="56"/>
      <c r="AR2" s="56"/>
      <c r="AS2" s="3"/>
      <c r="AT2" s="3"/>
      <c r="AU2" s="57"/>
      <c r="AV2" s="58" t="s">
        <v>108</v>
      </c>
      <c r="AW2" s="3" t="s">
        <v>107</v>
      </c>
      <c r="AX2" s="4"/>
      <c r="AY2" s="4"/>
      <c r="AZ2" s="4"/>
      <c r="BA2" s="4"/>
      <c r="BB2" s="4"/>
      <c r="BC2" s="3"/>
      <c r="BD2" s="3"/>
      <c r="BE2" s="3"/>
      <c r="BF2" s="3"/>
      <c r="BG2" s="56"/>
      <c r="BH2" s="56"/>
      <c r="BI2" s="3"/>
      <c r="BJ2" s="3"/>
      <c r="BK2" s="57"/>
      <c r="BL2" s="58" t="s">
        <v>108</v>
      </c>
      <c r="BM2" s="3" t="s">
        <v>107</v>
      </c>
      <c r="BN2" s="4"/>
      <c r="BO2" s="4"/>
      <c r="BP2" s="4"/>
      <c r="BQ2" s="4"/>
      <c r="BR2" s="4"/>
      <c r="BS2" s="3"/>
      <c r="BT2" s="3"/>
      <c r="BU2" s="3"/>
      <c r="BV2" s="3"/>
      <c r="BW2" s="56"/>
      <c r="BX2" s="56"/>
      <c r="BY2" s="3"/>
      <c r="BZ2" s="3"/>
      <c r="CA2" s="57"/>
      <c r="CB2" s="58" t="s">
        <v>108</v>
      </c>
      <c r="CC2" s="3" t="s">
        <v>107</v>
      </c>
      <c r="CD2" s="4"/>
      <c r="CE2" s="4"/>
      <c r="CF2" s="4"/>
      <c r="CG2" s="4"/>
      <c r="CH2" s="4"/>
      <c r="CI2" s="3"/>
      <c r="CJ2" s="3"/>
      <c r="CK2" s="3"/>
      <c r="CL2" s="3"/>
      <c r="CM2" s="56"/>
      <c r="CN2" s="56"/>
      <c r="CO2" s="3"/>
      <c r="CP2" s="3"/>
      <c r="CQ2" s="57"/>
      <c r="CR2" s="58" t="s">
        <v>108</v>
      </c>
      <c r="CS2" s="3" t="s">
        <v>107</v>
      </c>
      <c r="CT2" s="4"/>
      <c r="CU2" s="4"/>
      <c r="CV2" s="4"/>
      <c r="CW2" s="4"/>
      <c r="CX2" s="4"/>
      <c r="CY2" s="3"/>
      <c r="CZ2" s="3"/>
      <c r="DA2" s="3"/>
      <c r="DB2" s="3"/>
      <c r="DC2" s="56"/>
      <c r="DD2" s="56"/>
      <c r="DE2" s="3"/>
      <c r="DF2" s="3"/>
      <c r="DG2" s="57"/>
      <c r="DH2" s="58" t="s">
        <v>108</v>
      </c>
      <c r="DI2" s="3" t="s">
        <v>107</v>
      </c>
      <c r="DJ2" s="4"/>
      <c r="DK2" s="4"/>
      <c r="DL2" s="4"/>
      <c r="DM2" s="4"/>
      <c r="DN2" s="4"/>
      <c r="DO2" s="3"/>
      <c r="DP2" s="3"/>
      <c r="DQ2" s="3"/>
      <c r="DR2" s="3"/>
      <c r="DS2" s="56"/>
      <c r="DT2" s="56"/>
      <c r="DU2" s="3"/>
      <c r="DV2" s="3"/>
      <c r="DW2" s="57"/>
      <c r="DX2" s="58" t="s">
        <v>108</v>
      </c>
      <c r="DY2" s="3" t="s">
        <v>107</v>
      </c>
      <c r="DZ2" s="4"/>
      <c r="EA2" s="4"/>
      <c r="EB2" s="4"/>
      <c r="EC2" s="4"/>
      <c r="ED2" s="4"/>
      <c r="EE2" s="3"/>
      <c r="EF2" s="3"/>
      <c r="EG2" s="3"/>
      <c r="EH2" s="3"/>
      <c r="EI2" s="56"/>
      <c r="EJ2" s="56"/>
      <c r="EK2" s="3"/>
      <c r="EL2" s="3"/>
      <c r="EM2" s="57"/>
      <c r="EN2" s="58" t="s">
        <v>108</v>
      </c>
      <c r="EO2" s="3" t="s">
        <v>107</v>
      </c>
      <c r="EP2" s="4"/>
      <c r="EQ2" s="4"/>
      <c r="ER2" s="4"/>
      <c r="ES2" s="4"/>
      <c r="ET2" s="4"/>
      <c r="EU2" s="3"/>
      <c r="EV2" s="3"/>
      <c r="EW2" s="3"/>
      <c r="EX2" s="3"/>
      <c r="EY2" s="56"/>
      <c r="EZ2" s="56"/>
      <c r="FA2" s="3"/>
      <c r="FB2" s="3"/>
      <c r="FC2" s="57"/>
      <c r="FD2" s="58" t="s">
        <v>108</v>
      </c>
      <c r="FE2" s="3" t="s">
        <v>107</v>
      </c>
      <c r="FF2" s="4"/>
      <c r="FG2" s="4"/>
      <c r="FH2" s="4"/>
      <c r="FI2" s="4"/>
      <c r="FJ2" s="4"/>
      <c r="FK2" s="3"/>
      <c r="FL2" s="3"/>
      <c r="FM2" s="3"/>
      <c r="FN2" s="3"/>
      <c r="FO2" s="56"/>
      <c r="FP2" s="56"/>
      <c r="FQ2" s="3"/>
      <c r="FR2" s="3"/>
      <c r="FS2" s="57"/>
      <c r="FT2" s="58" t="s">
        <v>108</v>
      </c>
      <c r="FU2" s="3" t="s">
        <v>107</v>
      </c>
      <c r="FV2" s="4"/>
      <c r="FW2" s="4"/>
      <c r="FX2" s="4"/>
      <c r="FY2" s="4"/>
      <c r="FZ2" s="4"/>
      <c r="GA2" s="3"/>
      <c r="GB2" s="3"/>
      <c r="GC2" s="3"/>
      <c r="GD2" s="3"/>
      <c r="GE2" s="56"/>
      <c r="GF2" s="56"/>
      <c r="GG2" s="3"/>
      <c r="GH2" s="3"/>
      <c r="GI2" s="57"/>
      <c r="GJ2" s="58" t="s">
        <v>108</v>
      </c>
    </row>
    <row r="3" spans="1:192" s="38" customFormat="1" ht="12.45">
      <c r="A3" s="1614" t="s">
        <v>102</v>
      </c>
      <c r="B3" s="1614"/>
      <c r="C3" s="1614"/>
      <c r="D3" s="1614"/>
      <c r="E3" s="1614"/>
      <c r="F3" s="1614"/>
      <c r="G3" s="1614"/>
    </row>
    <row r="4" spans="1:192" ht="9" customHeight="1" thickBot="1">
      <c r="A4" s="142"/>
      <c r="B4" s="12"/>
      <c r="C4" s="61"/>
      <c r="D4" s="61"/>
      <c r="E4" s="61"/>
      <c r="F4" s="61"/>
      <c r="G4" s="62"/>
    </row>
    <row r="5" spans="1:192" ht="11.25" customHeight="1">
      <c r="A5" s="1624" t="s">
        <v>72</v>
      </c>
      <c r="B5" s="1618" t="s">
        <v>118</v>
      </c>
      <c r="C5" s="1636" t="s">
        <v>219</v>
      </c>
      <c r="D5" s="1637"/>
      <c r="E5" s="1638"/>
      <c r="F5" s="221" t="s">
        <v>330</v>
      </c>
      <c r="G5" s="291"/>
    </row>
    <row r="6" spans="1:192" ht="9.75" customHeight="1">
      <c r="A6" s="1625"/>
      <c r="B6" s="1619"/>
      <c r="C6" s="222" t="s">
        <v>122</v>
      </c>
      <c r="D6" s="223"/>
      <c r="E6" s="59" t="s">
        <v>119</v>
      </c>
      <c r="F6" s="1640" t="s">
        <v>323</v>
      </c>
      <c r="G6" s="1643" t="s">
        <v>324</v>
      </c>
    </row>
    <row r="7" spans="1:192" ht="13.5" customHeight="1">
      <c r="A7" s="1625"/>
      <c r="B7" s="1619"/>
      <c r="C7" s="1616" t="s">
        <v>94</v>
      </c>
      <c r="D7" s="219" t="s">
        <v>5</v>
      </c>
      <c r="E7" s="60" t="s">
        <v>120</v>
      </c>
      <c r="F7" s="1641"/>
      <c r="G7" s="1644"/>
      <c r="I7" s="970"/>
    </row>
    <row r="8" spans="1:192" ht="13.5" customHeight="1">
      <c r="A8" s="1626"/>
      <c r="B8" s="1620"/>
      <c r="C8" s="1617"/>
      <c r="D8" s="220" t="s">
        <v>93</v>
      </c>
      <c r="E8" s="69" t="s">
        <v>121</v>
      </c>
      <c r="F8" s="1642"/>
      <c r="G8" s="1645"/>
    </row>
    <row r="9" spans="1:192" ht="3" customHeight="1">
      <c r="A9" s="204"/>
      <c r="B9" s="143"/>
      <c r="C9" s="224"/>
      <c r="D9" s="144"/>
      <c r="E9" s="206"/>
      <c r="F9" s="144"/>
      <c r="G9" s="985"/>
    </row>
    <row r="10" spans="1:192" s="70" customFormat="1" ht="11.5" customHeight="1">
      <c r="A10" s="1148" t="s">
        <v>73</v>
      </c>
      <c r="B10" s="280">
        <v>2001</v>
      </c>
      <c r="C10" s="205">
        <v>7867</v>
      </c>
      <c r="D10" s="62">
        <v>732</v>
      </c>
      <c r="E10" s="258">
        <v>3217</v>
      </c>
      <c r="F10" s="62">
        <v>3663</v>
      </c>
      <c r="G10" s="279">
        <v>631</v>
      </c>
    </row>
    <row r="11" spans="1:192" s="70" customFormat="1" ht="11.5" customHeight="1">
      <c r="A11" s="238"/>
      <c r="B11" s="278">
        <v>2002</v>
      </c>
      <c r="C11" s="205">
        <v>7954</v>
      </c>
      <c r="D11" s="62">
        <v>743</v>
      </c>
      <c r="E11" s="258">
        <v>3269</v>
      </c>
      <c r="F11" s="62">
        <v>3509</v>
      </c>
      <c r="G11" s="279">
        <v>720</v>
      </c>
    </row>
    <row r="12" spans="1:192" s="70" customFormat="1" ht="11.5" customHeight="1">
      <c r="A12" s="238"/>
      <c r="B12" s="280">
        <v>2003</v>
      </c>
      <c r="C12" s="205">
        <v>8416</v>
      </c>
      <c r="D12" s="62">
        <v>766</v>
      </c>
      <c r="E12" s="258">
        <v>3601</v>
      </c>
      <c r="F12" s="62">
        <v>3260</v>
      </c>
      <c r="G12" s="279">
        <v>633</v>
      </c>
    </row>
    <row r="13" spans="1:192" s="70" customFormat="1" ht="11.5" customHeight="1">
      <c r="A13" s="259"/>
      <c r="B13" s="278">
        <v>2004</v>
      </c>
      <c r="C13" s="205">
        <v>9196</v>
      </c>
      <c r="D13" s="62">
        <v>835</v>
      </c>
      <c r="E13" s="258">
        <v>3838</v>
      </c>
      <c r="F13" s="62">
        <v>3164</v>
      </c>
      <c r="G13" s="279">
        <v>716</v>
      </c>
    </row>
    <row r="14" spans="1:192" s="70" customFormat="1" ht="11.5" customHeight="1">
      <c r="A14" s="259"/>
      <c r="B14" s="280">
        <v>2005</v>
      </c>
      <c r="C14" s="205">
        <v>9470</v>
      </c>
      <c r="D14" s="62">
        <v>813</v>
      </c>
      <c r="E14" s="258">
        <v>3825</v>
      </c>
      <c r="F14" s="62">
        <v>3483</v>
      </c>
      <c r="G14" s="279">
        <v>605</v>
      </c>
    </row>
    <row r="15" spans="1:192" s="70" customFormat="1" ht="11.5" customHeight="1">
      <c r="A15" s="259"/>
      <c r="B15" s="280">
        <v>2006</v>
      </c>
      <c r="C15" s="205">
        <v>9451</v>
      </c>
      <c r="D15" s="62">
        <v>897</v>
      </c>
      <c r="E15" s="258">
        <v>3831</v>
      </c>
      <c r="F15" s="62">
        <v>3726</v>
      </c>
      <c r="G15" s="279">
        <v>592</v>
      </c>
    </row>
    <row r="16" spans="1:192" s="70" customFormat="1" ht="11.5" customHeight="1">
      <c r="A16" s="259"/>
      <c r="B16" s="280">
        <v>2007</v>
      </c>
      <c r="C16" s="205">
        <v>9709</v>
      </c>
      <c r="D16" s="62">
        <v>989</v>
      </c>
      <c r="E16" s="258">
        <v>4804</v>
      </c>
      <c r="F16" s="1150" t="s">
        <v>193</v>
      </c>
      <c r="G16" s="527" t="s">
        <v>193</v>
      </c>
    </row>
    <row r="17" spans="1:9" s="70" customFormat="1" ht="11.5" customHeight="1">
      <c r="A17" s="259"/>
      <c r="B17" s="280">
        <v>2008</v>
      </c>
      <c r="C17" s="205">
        <v>9413</v>
      </c>
      <c r="D17" s="62">
        <v>1030</v>
      </c>
      <c r="E17" s="258">
        <v>4435</v>
      </c>
      <c r="F17" s="62">
        <v>3267</v>
      </c>
      <c r="G17" s="527" t="s">
        <v>193</v>
      </c>
    </row>
    <row r="18" spans="1:9" s="70" customFormat="1" ht="11.5" customHeight="1">
      <c r="A18" s="259"/>
      <c r="B18" s="280">
        <v>2009</v>
      </c>
      <c r="C18" s="205">
        <v>9217</v>
      </c>
      <c r="D18" s="62">
        <v>1061</v>
      </c>
      <c r="E18" s="258">
        <v>3814</v>
      </c>
      <c r="F18" s="62">
        <v>3384</v>
      </c>
      <c r="G18" s="279">
        <v>413</v>
      </c>
      <c r="I18" s="669"/>
    </row>
    <row r="19" spans="1:9" s="70" customFormat="1" ht="11.5" customHeight="1">
      <c r="A19" s="262"/>
      <c r="B19" s="280">
        <v>2010</v>
      </c>
      <c r="C19" s="205">
        <v>8871</v>
      </c>
      <c r="D19" s="62">
        <v>957</v>
      </c>
      <c r="E19" s="258">
        <v>3741</v>
      </c>
      <c r="F19" s="62">
        <v>3306</v>
      </c>
      <c r="G19" s="279">
        <v>528</v>
      </c>
    </row>
    <row r="20" spans="1:9" s="70" customFormat="1" ht="11.5" customHeight="1">
      <c r="A20" s="262"/>
      <c r="B20" s="280">
        <v>2011</v>
      </c>
      <c r="C20" s="205">
        <v>8532</v>
      </c>
      <c r="D20" s="62">
        <v>921</v>
      </c>
      <c r="E20" s="258">
        <v>3642</v>
      </c>
      <c r="F20" s="62">
        <v>3216</v>
      </c>
      <c r="G20" s="279">
        <v>486</v>
      </c>
    </row>
    <row r="21" spans="1:9" s="70" customFormat="1" ht="11.5" customHeight="1">
      <c r="A21" s="262"/>
      <c r="B21" s="280">
        <v>2012</v>
      </c>
      <c r="C21" s="205">
        <v>8496</v>
      </c>
      <c r="D21" s="62">
        <v>948</v>
      </c>
      <c r="E21" s="258">
        <v>3735</v>
      </c>
      <c r="F21" s="62">
        <v>3105</v>
      </c>
      <c r="G21" s="279">
        <v>660</v>
      </c>
    </row>
    <row r="22" spans="1:9" s="70" customFormat="1" ht="11.5" customHeight="1">
      <c r="A22" s="262"/>
      <c r="B22" s="280">
        <v>2013</v>
      </c>
      <c r="C22" s="205">
        <v>8730</v>
      </c>
      <c r="D22" s="62">
        <v>1026</v>
      </c>
      <c r="E22" s="258">
        <v>4065</v>
      </c>
      <c r="F22" s="62">
        <v>3060</v>
      </c>
      <c r="G22" s="279">
        <v>669</v>
      </c>
    </row>
    <row r="23" spans="1:9" s="70" customFormat="1" ht="11.5" customHeight="1">
      <c r="A23" s="1018"/>
      <c r="B23" s="280">
        <v>2014</v>
      </c>
      <c r="C23" s="205">
        <v>9126</v>
      </c>
      <c r="D23" s="62">
        <v>1119</v>
      </c>
      <c r="E23" s="258">
        <v>4074</v>
      </c>
      <c r="F23" s="62">
        <v>3000</v>
      </c>
      <c r="G23" s="279">
        <v>645</v>
      </c>
    </row>
    <row r="24" spans="1:9" s="70" customFormat="1" ht="11.5" customHeight="1">
      <c r="A24" s="1271"/>
      <c r="B24" s="1285">
        <v>2015</v>
      </c>
      <c r="C24" s="1286">
        <v>9453</v>
      </c>
      <c r="D24" s="1287">
        <v>1224</v>
      </c>
      <c r="E24" s="1288">
        <v>4239</v>
      </c>
      <c r="F24" s="1287">
        <v>3255</v>
      </c>
      <c r="G24" s="1289">
        <v>687</v>
      </c>
    </row>
    <row r="25" spans="1:9" s="70" customFormat="1" ht="3.65" customHeight="1">
      <c r="A25" s="1356"/>
      <c r="B25" s="1363"/>
      <c r="C25" s="1357"/>
      <c r="D25" s="1358"/>
      <c r="E25" s="1359"/>
      <c r="F25" s="1358"/>
      <c r="G25" s="1360"/>
    </row>
    <row r="26" spans="1:9" s="70" customFormat="1" ht="11.5" customHeight="1">
      <c r="A26" s="1149" t="s">
        <v>383</v>
      </c>
      <c r="B26" s="278">
        <v>2009</v>
      </c>
      <c r="C26" s="205">
        <v>523</v>
      </c>
      <c r="D26" s="62">
        <v>10</v>
      </c>
      <c r="E26" s="258">
        <v>210</v>
      </c>
      <c r="F26" s="62">
        <v>81</v>
      </c>
      <c r="G26" s="527" t="s">
        <v>193</v>
      </c>
    </row>
    <row r="27" spans="1:9" s="70" customFormat="1" ht="11.5" customHeight="1">
      <c r="A27" s="1149" t="s">
        <v>160</v>
      </c>
      <c r="B27" s="278">
        <v>2010</v>
      </c>
      <c r="C27" s="205">
        <v>561</v>
      </c>
      <c r="D27" s="62">
        <v>12</v>
      </c>
      <c r="E27" s="258">
        <v>225</v>
      </c>
      <c r="F27" s="62">
        <v>150</v>
      </c>
      <c r="G27" s="527" t="s">
        <v>193</v>
      </c>
    </row>
    <row r="28" spans="1:9" s="70" customFormat="1" ht="11.5" customHeight="1">
      <c r="A28" s="314"/>
      <c r="B28" s="278">
        <v>2011</v>
      </c>
      <c r="C28" s="205">
        <v>585</v>
      </c>
      <c r="D28" s="62">
        <v>12</v>
      </c>
      <c r="E28" s="258">
        <v>237</v>
      </c>
      <c r="F28" s="62">
        <v>150</v>
      </c>
      <c r="G28" s="279">
        <v>36</v>
      </c>
    </row>
    <row r="29" spans="1:9" s="70" customFormat="1" ht="11.5" customHeight="1">
      <c r="A29" s="314"/>
      <c r="B29" s="278">
        <v>2012</v>
      </c>
      <c r="C29" s="205">
        <v>588</v>
      </c>
      <c r="D29" s="62">
        <v>9</v>
      </c>
      <c r="E29" s="258">
        <v>219</v>
      </c>
      <c r="F29" s="62">
        <v>186</v>
      </c>
      <c r="G29" s="279">
        <v>33</v>
      </c>
    </row>
    <row r="30" spans="1:9" s="70" customFormat="1" ht="11.5" customHeight="1">
      <c r="A30" s="314"/>
      <c r="B30" s="278">
        <v>2013</v>
      </c>
      <c r="C30" s="205">
        <v>603</v>
      </c>
      <c r="D30" s="62">
        <v>12</v>
      </c>
      <c r="E30" s="258">
        <v>249</v>
      </c>
      <c r="F30" s="62">
        <v>195</v>
      </c>
      <c r="G30" s="279">
        <v>15</v>
      </c>
    </row>
    <row r="31" spans="1:9" s="70" customFormat="1" ht="11.5" customHeight="1">
      <c r="A31" s="314"/>
      <c r="B31" s="278">
        <v>2014</v>
      </c>
      <c r="C31" s="205">
        <v>645</v>
      </c>
      <c r="D31" s="62">
        <v>12</v>
      </c>
      <c r="E31" s="258">
        <v>282</v>
      </c>
      <c r="F31" s="62">
        <v>207</v>
      </c>
      <c r="G31" s="279">
        <v>30</v>
      </c>
    </row>
    <row r="32" spans="1:9" s="70" customFormat="1" ht="11.5" customHeight="1">
      <c r="A32" s="314"/>
      <c r="B32" s="1290">
        <v>2015</v>
      </c>
      <c r="C32" s="1286">
        <v>705</v>
      </c>
      <c r="D32" s="1287">
        <v>12</v>
      </c>
      <c r="E32" s="1288">
        <v>291</v>
      </c>
      <c r="F32" s="1287">
        <v>192</v>
      </c>
      <c r="G32" s="1289">
        <v>39</v>
      </c>
    </row>
    <row r="33" spans="1:7" s="70" customFormat="1" ht="3.65" customHeight="1">
      <c r="A33" s="1362"/>
      <c r="B33" s="1361"/>
      <c r="C33" s="1357"/>
      <c r="D33" s="1358"/>
      <c r="E33" s="1359"/>
      <c r="F33" s="1358"/>
      <c r="G33" s="1360"/>
    </row>
    <row r="34" spans="1:7" s="70" customFormat="1" ht="11.5" customHeight="1">
      <c r="A34" s="1148" t="s">
        <v>77</v>
      </c>
      <c r="B34" s="278">
        <v>2001</v>
      </c>
      <c r="C34" s="205">
        <v>616</v>
      </c>
      <c r="D34" s="62">
        <v>102</v>
      </c>
      <c r="E34" s="258">
        <v>227</v>
      </c>
      <c r="F34" s="62">
        <v>266</v>
      </c>
      <c r="G34" s="279">
        <v>34</v>
      </c>
    </row>
    <row r="35" spans="1:7" s="70" customFormat="1" ht="11.5" customHeight="1">
      <c r="A35" s="262"/>
      <c r="B35" s="278">
        <v>2002</v>
      </c>
      <c r="C35" s="205">
        <v>595</v>
      </c>
      <c r="D35" s="62">
        <v>95</v>
      </c>
      <c r="E35" s="258">
        <v>234</v>
      </c>
      <c r="F35" s="62">
        <v>239</v>
      </c>
      <c r="G35" s="279">
        <v>42</v>
      </c>
    </row>
    <row r="36" spans="1:7" s="70" customFormat="1" ht="11.5" customHeight="1">
      <c r="A36" s="262"/>
      <c r="B36" s="278">
        <v>2003</v>
      </c>
      <c r="C36" s="205">
        <v>657</v>
      </c>
      <c r="D36" s="62">
        <v>100</v>
      </c>
      <c r="E36" s="258">
        <v>305</v>
      </c>
      <c r="F36" s="62">
        <v>237</v>
      </c>
      <c r="G36" s="279">
        <v>35</v>
      </c>
    </row>
    <row r="37" spans="1:7" s="70" customFormat="1" ht="11.5" customHeight="1">
      <c r="A37" s="259"/>
      <c r="B37" s="278">
        <v>2004</v>
      </c>
      <c r="C37" s="205">
        <v>747</v>
      </c>
      <c r="D37" s="62">
        <v>114</v>
      </c>
      <c r="E37" s="258">
        <v>314</v>
      </c>
      <c r="F37" s="62">
        <v>187</v>
      </c>
      <c r="G37" s="279">
        <v>17</v>
      </c>
    </row>
    <row r="38" spans="1:7" s="70" customFormat="1" ht="11.5" customHeight="1">
      <c r="A38" s="259"/>
      <c r="B38" s="278">
        <v>2005</v>
      </c>
      <c r="C38" s="205">
        <v>815</v>
      </c>
      <c r="D38" s="62">
        <v>136</v>
      </c>
      <c r="E38" s="258">
        <v>338</v>
      </c>
      <c r="F38" s="62">
        <v>254</v>
      </c>
      <c r="G38" s="279">
        <v>58</v>
      </c>
    </row>
    <row r="39" spans="1:7" s="70" customFormat="1" ht="11.5" customHeight="1">
      <c r="A39" s="259"/>
      <c r="B39" s="278">
        <v>2006</v>
      </c>
      <c r="C39" s="205">
        <v>858</v>
      </c>
      <c r="D39" s="62">
        <v>135</v>
      </c>
      <c r="E39" s="258">
        <v>320</v>
      </c>
      <c r="F39" s="62">
        <v>273</v>
      </c>
      <c r="G39" s="279">
        <v>32</v>
      </c>
    </row>
    <row r="40" spans="1:7" s="70" customFormat="1" ht="11.5" customHeight="1">
      <c r="A40" s="259"/>
      <c r="B40" s="278">
        <v>2007</v>
      </c>
      <c r="C40" s="205">
        <v>818</v>
      </c>
      <c r="D40" s="62">
        <v>142</v>
      </c>
      <c r="E40" s="258">
        <v>334</v>
      </c>
      <c r="F40" s="1150" t="s">
        <v>193</v>
      </c>
      <c r="G40" s="527" t="s">
        <v>193</v>
      </c>
    </row>
    <row r="41" spans="1:7" s="70" customFormat="1" ht="11.5" customHeight="1">
      <c r="A41" s="262"/>
      <c r="B41" s="278">
        <v>2008</v>
      </c>
      <c r="C41" s="205">
        <v>850</v>
      </c>
      <c r="D41" s="62">
        <v>138</v>
      </c>
      <c r="E41" s="258">
        <v>345</v>
      </c>
      <c r="F41" s="62">
        <v>283</v>
      </c>
      <c r="G41" s="527" t="s">
        <v>193</v>
      </c>
    </row>
    <row r="42" spans="1:7" s="70" customFormat="1" ht="11.5" customHeight="1">
      <c r="A42" s="262"/>
      <c r="B42" s="278">
        <v>2009</v>
      </c>
      <c r="C42" s="205">
        <v>899</v>
      </c>
      <c r="D42" s="62">
        <v>150</v>
      </c>
      <c r="E42" s="258">
        <v>372</v>
      </c>
      <c r="F42" s="62">
        <v>190</v>
      </c>
      <c r="G42" s="279">
        <v>15</v>
      </c>
    </row>
    <row r="43" spans="1:7" s="70" customFormat="1" ht="11.5" customHeight="1">
      <c r="A43" s="262"/>
      <c r="B43" s="278">
        <v>2010</v>
      </c>
      <c r="C43" s="205">
        <v>912</v>
      </c>
      <c r="D43" s="62">
        <v>156</v>
      </c>
      <c r="E43" s="258">
        <v>369</v>
      </c>
      <c r="F43" s="62">
        <v>237</v>
      </c>
      <c r="G43" s="279">
        <v>30</v>
      </c>
    </row>
    <row r="44" spans="1:7" s="70" customFormat="1" ht="11.5" customHeight="1">
      <c r="A44" s="262"/>
      <c r="B44" s="278">
        <v>2011</v>
      </c>
      <c r="C44" s="205">
        <v>876</v>
      </c>
      <c r="D44" s="62">
        <v>186</v>
      </c>
      <c r="E44" s="258">
        <v>315</v>
      </c>
      <c r="F44" s="62">
        <v>234</v>
      </c>
      <c r="G44" s="279">
        <v>48</v>
      </c>
    </row>
    <row r="45" spans="1:7" s="70" customFormat="1" ht="11.5" customHeight="1">
      <c r="A45" s="262"/>
      <c r="B45" s="278">
        <v>2012</v>
      </c>
      <c r="C45" s="205">
        <v>882</v>
      </c>
      <c r="D45" s="62">
        <v>201</v>
      </c>
      <c r="E45" s="258">
        <v>342</v>
      </c>
      <c r="F45" s="62">
        <v>288</v>
      </c>
      <c r="G45" s="279">
        <v>21</v>
      </c>
    </row>
    <row r="46" spans="1:7" s="70" customFormat="1" ht="11.5" customHeight="1">
      <c r="A46" s="262"/>
      <c r="B46" s="278">
        <v>2013</v>
      </c>
      <c r="C46" s="205">
        <v>858</v>
      </c>
      <c r="D46" s="62">
        <v>201</v>
      </c>
      <c r="E46" s="258">
        <v>333</v>
      </c>
      <c r="F46" s="62">
        <v>309</v>
      </c>
      <c r="G46" s="279">
        <v>27</v>
      </c>
    </row>
    <row r="47" spans="1:7" s="70" customFormat="1" ht="11.5" customHeight="1">
      <c r="A47" s="1018"/>
      <c r="B47" s="278">
        <v>2014</v>
      </c>
      <c r="C47" s="205">
        <v>879</v>
      </c>
      <c r="D47" s="62">
        <v>195</v>
      </c>
      <c r="E47" s="258">
        <v>357</v>
      </c>
      <c r="F47" s="62">
        <v>264</v>
      </c>
      <c r="G47" s="279">
        <v>27</v>
      </c>
    </row>
    <row r="48" spans="1:7" s="70" customFormat="1" ht="11.5" customHeight="1">
      <c r="A48" s="1271"/>
      <c r="B48" s="1290">
        <v>2015</v>
      </c>
      <c r="C48" s="1286">
        <v>909</v>
      </c>
      <c r="D48" s="1287">
        <v>198</v>
      </c>
      <c r="E48" s="1288">
        <v>363</v>
      </c>
      <c r="F48" s="1287">
        <v>285</v>
      </c>
      <c r="G48" s="1289">
        <v>24</v>
      </c>
    </row>
    <row r="49" spans="1:7" s="70" customFormat="1" ht="3.65" customHeight="1">
      <c r="A49" s="1356"/>
      <c r="B49" s="1361"/>
      <c r="C49" s="1357"/>
      <c r="D49" s="1358"/>
      <c r="E49" s="1359"/>
      <c r="F49" s="1358"/>
      <c r="G49" s="1360"/>
    </row>
    <row r="50" spans="1:7" s="70" customFormat="1" ht="11.5" customHeight="1">
      <c r="A50" s="1148" t="s">
        <v>88</v>
      </c>
      <c r="B50" s="278">
        <v>2001</v>
      </c>
      <c r="C50" s="205">
        <v>176</v>
      </c>
      <c r="D50" s="62">
        <v>35</v>
      </c>
      <c r="E50" s="258">
        <v>78</v>
      </c>
      <c r="F50" s="62">
        <v>30</v>
      </c>
      <c r="G50" s="279">
        <v>0</v>
      </c>
    </row>
    <row r="51" spans="1:7" s="70" customFormat="1" ht="11.5" customHeight="1">
      <c r="A51" s="1148" t="s">
        <v>331</v>
      </c>
      <c r="B51" s="278">
        <v>2002</v>
      </c>
      <c r="C51" s="205">
        <v>191</v>
      </c>
      <c r="D51" s="62">
        <v>29</v>
      </c>
      <c r="E51" s="258">
        <v>69</v>
      </c>
      <c r="F51" s="62">
        <v>37</v>
      </c>
      <c r="G51" s="279">
        <v>0</v>
      </c>
    </row>
    <row r="52" spans="1:7" s="70" customFormat="1" ht="11.5" customHeight="1">
      <c r="A52" s="259"/>
      <c r="B52" s="278">
        <v>2003</v>
      </c>
      <c r="C52" s="205">
        <v>250</v>
      </c>
      <c r="D52" s="62">
        <v>41</v>
      </c>
      <c r="E52" s="258">
        <v>104</v>
      </c>
      <c r="F52" s="62">
        <v>48</v>
      </c>
      <c r="G52" s="279">
        <v>0</v>
      </c>
    </row>
    <row r="53" spans="1:7" s="70" customFormat="1" ht="11.5" customHeight="1">
      <c r="A53" s="259"/>
      <c r="B53" s="278">
        <v>2004</v>
      </c>
      <c r="C53" s="205">
        <v>292</v>
      </c>
      <c r="D53" s="62">
        <v>31</v>
      </c>
      <c r="E53" s="258">
        <v>128</v>
      </c>
      <c r="F53" s="62">
        <v>68</v>
      </c>
      <c r="G53" s="279">
        <v>0</v>
      </c>
    </row>
    <row r="54" spans="1:7" s="70" customFormat="1" ht="11.5" customHeight="1">
      <c r="A54" s="259"/>
      <c r="B54" s="278">
        <v>2005</v>
      </c>
      <c r="C54" s="205">
        <v>353</v>
      </c>
      <c r="D54" s="62">
        <v>38</v>
      </c>
      <c r="E54" s="258">
        <v>151</v>
      </c>
      <c r="F54" s="62">
        <v>67</v>
      </c>
      <c r="G54" s="279">
        <v>0</v>
      </c>
    </row>
    <row r="55" spans="1:7" s="70" customFormat="1" ht="11.5" customHeight="1">
      <c r="A55" s="259"/>
      <c r="B55" s="278">
        <v>2006</v>
      </c>
      <c r="C55" s="205">
        <v>415</v>
      </c>
      <c r="D55" s="62">
        <v>31</v>
      </c>
      <c r="E55" s="258">
        <v>173</v>
      </c>
      <c r="F55" s="62">
        <v>91</v>
      </c>
      <c r="G55" s="279">
        <v>0</v>
      </c>
    </row>
    <row r="56" spans="1:7" s="70" customFormat="1" ht="11.5" customHeight="1">
      <c r="A56" s="262"/>
      <c r="B56" s="278">
        <v>2007</v>
      </c>
      <c r="C56" s="205">
        <v>459</v>
      </c>
      <c r="D56" s="62">
        <v>40</v>
      </c>
      <c r="E56" s="258">
        <v>175</v>
      </c>
      <c r="F56" s="1150" t="s">
        <v>193</v>
      </c>
      <c r="G56" s="279">
        <v>0</v>
      </c>
    </row>
    <row r="57" spans="1:7" s="70" customFormat="1" ht="11.5" customHeight="1">
      <c r="A57" s="262"/>
      <c r="B57" s="278">
        <v>2008</v>
      </c>
      <c r="C57" s="205">
        <v>435</v>
      </c>
      <c r="D57" s="62">
        <v>49</v>
      </c>
      <c r="E57" s="258">
        <v>149</v>
      </c>
      <c r="F57" s="62">
        <v>113</v>
      </c>
      <c r="G57" s="279">
        <v>0</v>
      </c>
    </row>
    <row r="58" spans="1:7" s="70" customFormat="1" ht="11.5" customHeight="1">
      <c r="A58" s="262"/>
      <c r="B58" s="278">
        <v>2009</v>
      </c>
      <c r="C58" s="205">
        <v>441</v>
      </c>
      <c r="D58" s="62">
        <v>47</v>
      </c>
      <c r="E58" s="258">
        <v>170</v>
      </c>
      <c r="F58" s="62">
        <v>98</v>
      </c>
      <c r="G58" s="279">
        <v>0</v>
      </c>
    </row>
    <row r="59" spans="1:7" s="70" customFormat="1" ht="11.5" customHeight="1">
      <c r="A59" s="262"/>
      <c r="B59" s="278">
        <v>2010</v>
      </c>
      <c r="C59" s="205">
        <v>408</v>
      </c>
      <c r="D59" s="62">
        <v>45</v>
      </c>
      <c r="E59" s="258">
        <v>135</v>
      </c>
      <c r="F59" s="62">
        <v>129</v>
      </c>
      <c r="G59" s="279">
        <v>0</v>
      </c>
    </row>
    <row r="60" spans="1:7" s="70" customFormat="1" ht="11.5" customHeight="1">
      <c r="A60" s="262"/>
      <c r="B60" s="278">
        <v>2011</v>
      </c>
      <c r="C60" s="205">
        <v>423</v>
      </c>
      <c r="D60" s="62">
        <v>33</v>
      </c>
      <c r="E60" s="258">
        <v>162</v>
      </c>
      <c r="F60" s="62">
        <v>111</v>
      </c>
      <c r="G60" s="279">
        <v>0</v>
      </c>
    </row>
    <row r="61" spans="1:7" s="70" customFormat="1" ht="11.5" customHeight="1">
      <c r="A61" s="262"/>
      <c r="B61" s="278">
        <v>2012</v>
      </c>
      <c r="C61" s="205">
        <v>399</v>
      </c>
      <c r="D61" s="62">
        <v>27</v>
      </c>
      <c r="E61" s="258">
        <v>147</v>
      </c>
      <c r="F61" s="62">
        <v>120</v>
      </c>
      <c r="G61" s="279">
        <v>0</v>
      </c>
    </row>
    <row r="62" spans="1:7" s="70" customFormat="1" ht="11.5" customHeight="1">
      <c r="A62" s="262"/>
      <c r="B62" s="278">
        <v>2013</v>
      </c>
      <c r="C62" s="205">
        <v>423</v>
      </c>
      <c r="D62" s="62">
        <v>33</v>
      </c>
      <c r="E62" s="258">
        <v>168</v>
      </c>
      <c r="F62" s="62">
        <v>111</v>
      </c>
      <c r="G62" s="279">
        <v>0</v>
      </c>
    </row>
    <row r="63" spans="1:7" s="70" customFormat="1" ht="11.5" customHeight="1">
      <c r="A63" s="1018"/>
      <c r="B63" s="278">
        <v>2014</v>
      </c>
      <c r="C63" s="205">
        <v>426</v>
      </c>
      <c r="D63" s="62">
        <v>42</v>
      </c>
      <c r="E63" s="258">
        <v>162</v>
      </c>
      <c r="F63" s="62">
        <v>111</v>
      </c>
      <c r="G63" s="279">
        <v>0</v>
      </c>
    </row>
    <row r="64" spans="1:7" s="70" customFormat="1" ht="11.5" customHeight="1">
      <c r="A64" s="1284"/>
      <c r="B64" s="1290">
        <v>2015</v>
      </c>
      <c r="C64" s="1286">
        <v>438</v>
      </c>
      <c r="D64" s="1287">
        <v>51</v>
      </c>
      <c r="E64" s="1288">
        <v>168</v>
      </c>
      <c r="F64" s="1287">
        <v>129</v>
      </c>
      <c r="G64" s="1289">
        <v>0</v>
      </c>
    </row>
    <row r="65" spans="1:7" s="70" customFormat="1" ht="3.65" customHeight="1">
      <c r="A65" s="1356"/>
      <c r="B65" s="1361"/>
      <c r="C65" s="1357"/>
      <c r="D65" s="1358"/>
      <c r="E65" s="1359"/>
      <c r="F65" s="1358"/>
      <c r="G65" s="1360"/>
    </row>
    <row r="66" spans="1:7" s="70" customFormat="1" ht="11.5" customHeight="1">
      <c r="A66" s="1148" t="s">
        <v>76</v>
      </c>
      <c r="B66" s="278">
        <v>2001</v>
      </c>
      <c r="C66" s="205">
        <v>1289</v>
      </c>
      <c r="D66" s="62">
        <v>664</v>
      </c>
      <c r="E66" s="258">
        <v>469</v>
      </c>
      <c r="F66" s="62">
        <v>369</v>
      </c>
      <c r="G66" s="279">
        <v>31</v>
      </c>
    </row>
    <row r="67" spans="1:7" s="70" customFormat="1" ht="11.5" customHeight="1">
      <c r="A67" s="262"/>
      <c r="B67" s="278">
        <v>2002</v>
      </c>
      <c r="C67" s="205">
        <v>1355</v>
      </c>
      <c r="D67" s="62">
        <v>655</v>
      </c>
      <c r="E67" s="258">
        <v>525</v>
      </c>
      <c r="F67" s="62">
        <v>318</v>
      </c>
      <c r="G67" s="279">
        <v>70</v>
      </c>
    </row>
    <row r="68" spans="1:7" s="70" customFormat="1" ht="11.5" customHeight="1">
      <c r="A68" s="262"/>
      <c r="B68" s="278">
        <v>2003</v>
      </c>
      <c r="C68" s="205">
        <v>1422</v>
      </c>
      <c r="D68" s="62">
        <v>676</v>
      </c>
      <c r="E68" s="258">
        <v>582</v>
      </c>
      <c r="F68" s="62">
        <v>437</v>
      </c>
      <c r="G68" s="279">
        <v>34</v>
      </c>
    </row>
    <row r="69" spans="1:7" s="70" customFormat="1" ht="11.5" customHeight="1">
      <c r="A69" s="259"/>
      <c r="B69" s="278">
        <v>2004</v>
      </c>
      <c r="C69" s="205">
        <v>1590</v>
      </c>
      <c r="D69" s="62">
        <v>722</v>
      </c>
      <c r="E69" s="258">
        <v>585</v>
      </c>
      <c r="F69" s="62">
        <v>291</v>
      </c>
      <c r="G69" s="279">
        <v>52</v>
      </c>
    </row>
    <row r="70" spans="1:7" s="70" customFormat="1" ht="11.5" customHeight="1">
      <c r="A70" s="259"/>
      <c r="B70" s="278">
        <v>2005</v>
      </c>
      <c r="C70" s="205">
        <v>1616</v>
      </c>
      <c r="D70" s="62">
        <v>739</v>
      </c>
      <c r="E70" s="258">
        <v>575</v>
      </c>
      <c r="F70" s="62">
        <v>431</v>
      </c>
      <c r="G70" s="279">
        <v>7</v>
      </c>
    </row>
    <row r="71" spans="1:7" s="70" customFormat="1" ht="11.5" customHeight="1">
      <c r="A71" s="259"/>
      <c r="B71" s="278">
        <v>2006</v>
      </c>
      <c r="C71" s="205">
        <v>1716</v>
      </c>
      <c r="D71" s="62">
        <v>746</v>
      </c>
      <c r="E71" s="258">
        <v>673</v>
      </c>
      <c r="F71" s="62">
        <v>459</v>
      </c>
      <c r="G71" s="279">
        <v>23</v>
      </c>
    </row>
    <row r="72" spans="1:7" s="70" customFormat="1" ht="11.5" customHeight="1">
      <c r="A72" s="259"/>
      <c r="B72" s="315">
        <v>2007</v>
      </c>
      <c r="C72" s="257">
        <v>1759</v>
      </c>
      <c r="D72" s="256">
        <v>820</v>
      </c>
      <c r="E72" s="1151">
        <v>627</v>
      </c>
      <c r="F72" s="1150" t="s">
        <v>193</v>
      </c>
      <c r="G72" s="527" t="s">
        <v>193</v>
      </c>
    </row>
    <row r="73" spans="1:7" s="70" customFormat="1" ht="11.5" customHeight="1">
      <c r="A73" s="262"/>
      <c r="B73" s="316">
        <v>2008</v>
      </c>
      <c r="C73" s="257">
        <v>1718</v>
      </c>
      <c r="D73" s="256">
        <v>809</v>
      </c>
      <c r="E73" s="1151">
        <v>598</v>
      </c>
      <c r="F73" s="62">
        <v>444</v>
      </c>
      <c r="G73" s="527" t="s">
        <v>193</v>
      </c>
    </row>
    <row r="74" spans="1:7" s="70" customFormat="1" ht="11.5" customHeight="1">
      <c r="A74" s="262"/>
      <c r="B74" s="316">
        <v>2009</v>
      </c>
      <c r="C74" s="257">
        <v>1522</v>
      </c>
      <c r="D74" s="256">
        <v>745</v>
      </c>
      <c r="E74" s="1151">
        <v>508</v>
      </c>
      <c r="F74" s="62">
        <v>389</v>
      </c>
      <c r="G74" s="527" t="s">
        <v>193</v>
      </c>
    </row>
    <row r="75" spans="1:7" s="70" customFormat="1" ht="11.5" customHeight="1">
      <c r="A75" s="262"/>
      <c r="B75" s="316">
        <v>2010</v>
      </c>
      <c r="C75" s="257">
        <v>1359</v>
      </c>
      <c r="D75" s="256">
        <v>681</v>
      </c>
      <c r="E75" s="1151">
        <v>456</v>
      </c>
      <c r="F75" s="62">
        <v>456</v>
      </c>
      <c r="G75" s="279">
        <v>45</v>
      </c>
    </row>
    <row r="76" spans="1:7" s="70" customFormat="1" ht="11.5" customHeight="1">
      <c r="A76" s="262"/>
      <c r="B76" s="316">
        <v>2011</v>
      </c>
      <c r="C76" s="257">
        <v>1125</v>
      </c>
      <c r="D76" s="256">
        <v>576</v>
      </c>
      <c r="E76" s="1151">
        <v>393</v>
      </c>
      <c r="F76" s="62">
        <v>453</v>
      </c>
      <c r="G76" s="279">
        <v>12</v>
      </c>
    </row>
    <row r="77" spans="1:7" s="70" customFormat="1" ht="11.5" customHeight="1">
      <c r="A77" s="1034"/>
      <c r="B77" s="316">
        <v>2012</v>
      </c>
      <c r="C77" s="257">
        <v>987</v>
      </c>
      <c r="D77" s="256">
        <v>489</v>
      </c>
      <c r="E77" s="1151">
        <v>399</v>
      </c>
      <c r="F77" s="62">
        <v>366</v>
      </c>
      <c r="G77" s="279">
        <v>3</v>
      </c>
    </row>
    <row r="78" spans="1:7" s="70" customFormat="1" ht="11.5" customHeight="1">
      <c r="A78" s="1034"/>
      <c r="B78" s="316">
        <v>2013</v>
      </c>
      <c r="C78" s="257">
        <v>930</v>
      </c>
      <c r="D78" s="256">
        <v>435</v>
      </c>
      <c r="E78" s="1151">
        <v>393</v>
      </c>
      <c r="F78" s="62">
        <v>285</v>
      </c>
      <c r="G78" s="279">
        <v>18</v>
      </c>
    </row>
    <row r="79" spans="1:7" s="70" customFormat="1" ht="11.5" customHeight="1">
      <c r="A79" s="1034"/>
      <c r="B79" s="316">
        <v>2014</v>
      </c>
      <c r="C79" s="257">
        <v>930</v>
      </c>
      <c r="D79" s="256">
        <v>447</v>
      </c>
      <c r="E79" s="1151">
        <v>393</v>
      </c>
      <c r="F79" s="62">
        <v>249</v>
      </c>
      <c r="G79" s="279">
        <v>18</v>
      </c>
    </row>
    <row r="80" spans="1:7" s="70" customFormat="1" ht="11.5" customHeight="1">
      <c r="A80" s="1291"/>
      <c r="B80" s="1312">
        <v>2015</v>
      </c>
      <c r="C80" s="1309">
        <v>930</v>
      </c>
      <c r="D80" s="1310">
        <v>492</v>
      </c>
      <c r="E80" s="1313">
        <v>402</v>
      </c>
      <c r="F80" s="1287">
        <v>243</v>
      </c>
      <c r="G80" s="1289">
        <v>42</v>
      </c>
    </row>
    <row r="81" spans="1:7" s="70" customFormat="1" ht="3.75" customHeight="1" thickBot="1">
      <c r="A81" s="281"/>
      <c r="B81" s="282"/>
      <c r="C81" s="283"/>
      <c r="D81" s="284"/>
      <c r="E81" s="1152"/>
      <c r="F81" s="284"/>
      <c r="G81" s="285"/>
    </row>
    <row r="82" spans="1:7" s="70" customFormat="1" ht="11.6">
      <c r="A82" s="1639" t="s">
        <v>206</v>
      </c>
      <c r="B82" s="1639"/>
      <c r="C82" s="1639"/>
      <c r="D82" s="1639"/>
      <c r="E82" s="1639"/>
      <c r="F82" s="1639"/>
      <c r="G82" s="1639"/>
    </row>
    <row r="83" spans="1:7" s="70" customFormat="1" ht="5.25" customHeight="1">
      <c r="A83" s="179"/>
      <c r="B83" s="179"/>
      <c r="C83" s="225"/>
      <c r="D83" s="225"/>
      <c r="E83" s="225"/>
      <c r="F83" s="225"/>
      <c r="G83" s="225"/>
    </row>
    <row r="84" spans="1:7" s="70" customFormat="1" ht="11.6">
      <c r="A84" s="1615" t="s">
        <v>113</v>
      </c>
      <c r="B84" s="1615"/>
      <c r="C84" s="1615"/>
      <c r="D84" s="1615"/>
      <c r="E84" s="1615"/>
      <c r="F84" s="1615"/>
      <c r="G84" s="1615"/>
    </row>
    <row r="85" spans="1:7" s="70" customFormat="1" ht="5.25" customHeight="1" thickBot="1">
      <c r="A85" s="179"/>
      <c r="B85" s="179"/>
      <c r="C85" s="225"/>
      <c r="D85" s="225"/>
      <c r="E85" s="225"/>
      <c r="F85" s="225"/>
      <c r="G85" s="225"/>
    </row>
    <row r="86" spans="1:7" s="70" customFormat="1" ht="14.25" customHeight="1">
      <c r="A86" s="1633" t="s">
        <v>72</v>
      </c>
      <c r="B86" s="1627" t="s">
        <v>118</v>
      </c>
      <c r="C86" s="1621" t="s">
        <v>219</v>
      </c>
      <c r="D86" s="1622"/>
      <c r="E86" s="1623"/>
      <c r="F86" s="703" t="s">
        <v>220</v>
      </c>
      <c r="G86" s="291"/>
    </row>
    <row r="87" spans="1:7" s="70" customFormat="1" ht="10.3">
      <c r="A87" s="1634"/>
      <c r="B87" s="1628"/>
      <c r="C87" s="292" t="s">
        <v>122</v>
      </c>
      <c r="D87" s="293"/>
      <c r="E87" s="264" t="s">
        <v>119</v>
      </c>
      <c r="F87" s="1640" t="s">
        <v>323</v>
      </c>
      <c r="G87" s="1643" t="s">
        <v>324</v>
      </c>
    </row>
    <row r="88" spans="1:7" s="70" customFormat="1" ht="13.5" customHeight="1">
      <c r="A88" s="1634"/>
      <c r="B88" s="1628"/>
      <c r="C88" s="1630" t="s">
        <v>94</v>
      </c>
      <c r="D88" s="294" t="s">
        <v>5</v>
      </c>
      <c r="E88" s="213" t="s">
        <v>120</v>
      </c>
      <c r="F88" s="1641"/>
      <c r="G88" s="1644"/>
    </row>
    <row r="89" spans="1:7" s="70" customFormat="1" ht="10.3">
      <c r="A89" s="1635"/>
      <c r="B89" s="1629"/>
      <c r="C89" s="1631"/>
      <c r="D89" s="295" t="s">
        <v>93</v>
      </c>
      <c r="E89" s="214" t="s">
        <v>121</v>
      </c>
      <c r="F89" s="1642"/>
      <c r="G89" s="1645"/>
    </row>
    <row r="90" spans="1:7" s="70" customFormat="1" ht="3.65" customHeight="1">
      <c r="A90" s="317"/>
      <c r="B90" s="318"/>
      <c r="C90" s="319"/>
      <c r="D90" s="225"/>
      <c r="E90" s="320"/>
      <c r="F90" s="225"/>
      <c r="G90" s="321"/>
    </row>
    <row r="91" spans="1:7" s="70" customFormat="1" ht="11.5" customHeight="1">
      <c r="A91" s="1148" t="s">
        <v>79</v>
      </c>
      <c r="B91" s="278">
        <v>2001</v>
      </c>
      <c r="C91" s="205">
        <v>286</v>
      </c>
      <c r="D91" s="62">
        <v>8</v>
      </c>
      <c r="E91" s="258">
        <v>108</v>
      </c>
      <c r="F91" s="62">
        <v>84</v>
      </c>
      <c r="G91" s="279">
        <v>9</v>
      </c>
    </row>
    <row r="92" spans="1:7" s="70" customFormat="1" ht="11.5" customHeight="1">
      <c r="A92" s="1062"/>
      <c r="B92" s="278">
        <v>2002</v>
      </c>
      <c r="C92" s="205">
        <v>287</v>
      </c>
      <c r="D92" s="62">
        <v>10</v>
      </c>
      <c r="E92" s="258">
        <v>115</v>
      </c>
      <c r="F92" s="62">
        <v>90</v>
      </c>
      <c r="G92" s="279">
        <v>0</v>
      </c>
    </row>
    <row r="93" spans="1:7" s="70" customFormat="1" ht="11.5" customHeight="1">
      <c r="A93" s="1062"/>
      <c r="B93" s="278">
        <v>2003</v>
      </c>
      <c r="C93" s="205">
        <v>288</v>
      </c>
      <c r="D93" s="62">
        <v>12</v>
      </c>
      <c r="E93" s="258">
        <v>117</v>
      </c>
      <c r="F93" s="62">
        <v>80</v>
      </c>
      <c r="G93" s="279">
        <v>31</v>
      </c>
    </row>
    <row r="94" spans="1:7" s="70" customFormat="1" ht="11.5" customHeight="1">
      <c r="A94" s="259"/>
      <c r="B94" s="278">
        <v>2004</v>
      </c>
      <c r="C94" s="205">
        <v>314</v>
      </c>
      <c r="D94" s="62">
        <v>9</v>
      </c>
      <c r="E94" s="258">
        <v>123</v>
      </c>
      <c r="F94" s="62">
        <v>103</v>
      </c>
      <c r="G94" s="279">
        <v>25</v>
      </c>
    </row>
    <row r="95" spans="1:7" s="70" customFormat="1" ht="11.5" customHeight="1">
      <c r="A95" s="259"/>
      <c r="B95" s="278">
        <v>2005</v>
      </c>
      <c r="C95" s="205">
        <v>302</v>
      </c>
      <c r="D95" s="62">
        <v>9</v>
      </c>
      <c r="E95" s="258">
        <v>114</v>
      </c>
      <c r="F95" s="62">
        <v>110</v>
      </c>
      <c r="G95" s="279">
        <v>8</v>
      </c>
    </row>
    <row r="96" spans="1:7" s="70" customFormat="1" ht="11.5" customHeight="1">
      <c r="A96" s="259"/>
      <c r="B96" s="278">
        <v>2006</v>
      </c>
      <c r="C96" s="205">
        <v>329</v>
      </c>
      <c r="D96" s="62">
        <v>11</v>
      </c>
      <c r="E96" s="258">
        <v>123</v>
      </c>
      <c r="F96" s="62">
        <v>88</v>
      </c>
      <c r="G96" s="279">
        <v>23</v>
      </c>
    </row>
    <row r="97" spans="1:7" s="70" customFormat="1" ht="11.5" customHeight="1">
      <c r="A97" s="259"/>
      <c r="B97" s="278">
        <v>2007</v>
      </c>
      <c r="C97" s="205">
        <v>286</v>
      </c>
      <c r="D97" s="62">
        <v>13</v>
      </c>
      <c r="E97" s="258">
        <v>99</v>
      </c>
      <c r="F97" s="1150" t="s">
        <v>193</v>
      </c>
      <c r="G97" s="527" t="s">
        <v>193</v>
      </c>
    </row>
    <row r="98" spans="1:7" s="70" customFormat="1" ht="11.5" customHeight="1">
      <c r="A98" s="259"/>
      <c r="B98" s="278">
        <v>2008</v>
      </c>
      <c r="C98" s="205">
        <v>260</v>
      </c>
      <c r="D98" s="62">
        <v>7</v>
      </c>
      <c r="E98" s="258">
        <v>89</v>
      </c>
      <c r="F98" s="62">
        <v>103</v>
      </c>
      <c r="G98" s="527" t="s">
        <v>193</v>
      </c>
    </row>
    <row r="99" spans="1:7" s="70" customFormat="1" ht="11.5" customHeight="1">
      <c r="A99" s="259"/>
      <c r="B99" s="278">
        <v>2009</v>
      </c>
      <c r="C99" s="205">
        <v>245</v>
      </c>
      <c r="D99" s="62">
        <v>7</v>
      </c>
      <c r="E99" s="258">
        <v>103</v>
      </c>
      <c r="F99" s="62">
        <v>35</v>
      </c>
      <c r="G99" s="527" t="s">
        <v>193</v>
      </c>
    </row>
    <row r="100" spans="1:7" s="70" customFormat="1" ht="11.5" customHeight="1">
      <c r="A100" s="259"/>
      <c r="B100" s="278">
        <v>2010</v>
      </c>
      <c r="C100" s="205">
        <v>237</v>
      </c>
      <c r="D100" s="62">
        <v>6</v>
      </c>
      <c r="E100" s="258">
        <v>81</v>
      </c>
      <c r="F100" s="62">
        <v>87</v>
      </c>
      <c r="G100" s="279">
        <v>9</v>
      </c>
    </row>
    <row r="101" spans="1:7" s="70" customFormat="1" ht="11.5" customHeight="1">
      <c r="A101" s="259"/>
      <c r="B101" s="278">
        <v>2011</v>
      </c>
      <c r="C101" s="205">
        <v>240</v>
      </c>
      <c r="D101" s="62">
        <v>6</v>
      </c>
      <c r="E101" s="258">
        <v>99</v>
      </c>
      <c r="F101" s="62">
        <v>63</v>
      </c>
      <c r="G101" s="279">
        <v>18</v>
      </c>
    </row>
    <row r="102" spans="1:7" s="70" customFormat="1" ht="11.5" customHeight="1">
      <c r="A102" s="259"/>
      <c r="B102" s="278">
        <v>2012</v>
      </c>
      <c r="C102" s="205">
        <v>213</v>
      </c>
      <c r="D102" s="62">
        <v>3</v>
      </c>
      <c r="E102" s="258">
        <v>78</v>
      </c>
      <c r="F102" s="62">
        <v>69</v>
      </c>
      <c r="G102" s="279">
        <v>18</v>
      </c>
    </row>
    <row r="103" spans="1:7" s="70" customFormat="1" ht="11.5" customHeight="1">
      <c r="A103" s="259"/>
      <c r="B103" s="278">
        <v>2013</v>
      </c>
      <c r="C103" s="205">
        <v>228</v>
      </c>
      <c r="D103" s="62">
        <v>6</v>
      </c>
      <c r="E103" s="258">
        <v>96</v>
      </c>
      <c r="F103" s="62">
        <v>54</v>
      </c>
      <c r="G103" s="279">
        <v>12</v>
      </c>
    </row>
    <row r="104" spans="1:7" s="70" customFormat="1" ht="11.5" customHeight="1">
      <c r="A104" s="259"/>
      <c r="B104" s="278">
        <v>2014</v>
      </c>
      <c r="C104" s="205">
        <v>219</v>
      </c>
      <c r="D104" s="62">
        <v>3</v>
      </c>
      <c r="E104" s="258">
        <v>90</v>
      </c>
      <c r="F104" s="62">
        <v>72</v>
      </c>
      <c r="G104" s="279">
        <v>12</v>
      </c>
    </row>
    <row r="105" spans="1:7" s="70" customFormat="1" ht="11.5" customHeight="1">
      <c r="A105" s="259"/>
      <c r="B105" s="1290">
        <v>2015</v>
      </c>
      <c r="C105" s="1286">
        <v>213</v>
      </c>
      <c r="D105" s="1287">
        <v>6</v>
      </c>
      <c r="E105" s="1288">
        <v>78</v>
      </c>
      <c r="F105" s="1287">
        <v>57</v>
      </c>
      <c r="G105" s="1289">
        <v>15</v>
      </c>
    </row>
    <row r="106" spans="1:7" s="70" customFormat="1" ht="3.65" customHeight="1">
      <c r="A106" s="1354"/>
      <c r="B106" s="278"/>
      <c r="C106" s="205"/>
      <c r="D106" s="62"/>
      <c r="E106" s="258"/>
      <c r="F106" s="62"/>
      <c r="G106" s="279"/>
    </row>
    <row r="107" spans="1:7" s="70" customFormat="1" ht="3.65" customHeight="1">
      <c r="A107" s="1379"/>
      <c r="B107" s="1387"/>
      <c r="C107" s="1381"/>
      <c r="D107" s="1382"/>
      <c r="E107" s="1383"/>
      <c r="F107" s="1382"/>
      <c r="G107" s="1384"/>
    </row>
    <row r="108" spans="1:7" s="70" customFormat="1" ht="11.5" customHeight="1">
      <c r="A108" s="1148" t="s">
        <v>332</v>
      </c>
      <c r="B108" s="278">
        <v>2001</v>
      </c>
      <c r="C108" s="205">
        <v>2046</v>
      </c>
      <c r="D108" s="62">
        <v>1627</v>
      </c>
      <c r="E108" s="258">
        <v>839</v>
      </c>
      <c r="F108" s="62">
        <v>645</v>
      </c>
      <c r="G108" s="279">
        <v>140</v>
      </c>
    </row>
    <row r="109" spans="1:7" s="70" customFormat="1" ht="11.5" customHeight="1">
      <c r="A109" s="262"/>
      <c r="B109" s="278">
        <v>2002</v>
      </c>
      <c r="C109" s="205">
        <v>2134</v>
      </c>
      <c r="D109" s="62">
        <v>1718</v>
      </c>
      <c r="E109" s="258">
        <v>890</v>
      </c>
      <c r="F109" s="62">
        <v>675</v>
      </c>
      <c r="G109" s="279">
        <v>144</v>
      </c>
    </row>
    <row r="110" spans="1:7" s="70" customFormat="1" ht="11.5" customHeight="1">
      <c r="A110" s="262"/>
      <c r="B110" s="278">
        <v>2003</v>
      </c>
      <c r="C110" s="205">
        <v>2083</v>
      </c>
      <c r="D110" s="62">
        <v>1702</v>
      </c>
      <c r="E110" s="258">
        <v>830</v>
      </c>
      <c r="F110" s="62">
        <v>666</v>
      </c>
      <c r="G110" s="279">
        <v>169</v>
      </c>
    </row>
    <row r="111" spans="1:7" s="70" customFormat="1" ht="11.5" customHeight="1">
      <c r="A111" s="262"/>
      <c r="B111" s="278">
        <v>2004</v>
      </c>
      <c r="C111" s="205">
        <v>2099</v>
      </c>
      <c r="D111" s="62">
        <v>1709</v>
      </c>
      <c r="E111" s="258">
        <v>873</v>
      </c>
      <c r="F111" s="62">
        <v>687</v>
      </c>
      <c r="G111" s="279">
        <v>115</v>
      </c>
    </row>
    <row r="112" spans="1:7" s="70" customFormat="1" ht="11.5" customHeight="1">
      <c r="A112" s="262"/>
      <c r="B112" s="278">
        <v>2005</v>
      </c>
      <c r="C112" s="205">
        <v>2143</v>
      </c>
      <c r="D112" s="62">
        <v>1714</v>
      </c>
      <c r="E112" s="258">
        <v>901</v>
      </c>
      <c r="F112" s="62">
        <v>702</v>
      </c>
      <c r="G112" s="279">
        <v>129</v>
      </c>
    </row>
    <row r="113" spans="1:8" s="70" customFormat="1" ht="11.5" customHeight="1">
      <c r="A113" s="262"/>
      <c r="B113" s="278">
        <v>2006</v>
      </c>
      <c r="C113" s="205">
        <v>2119</v>
      </c>
      <c r="D113" s="62">
        <v>1692</v>
      </c>
      <c r="E113" s="258">
        <v>882</v>
      </c>
      <c r="F113" s="62">
        <v>683</v>
      </c>
      <c r="G113" s="279">
        <v>96</v>
      </c>
    </row>
    <row r="114" spans="1:8" s="70" customFormat="1" ht="11.5" customHeight="1">
      <c r="A114" s="262"/>
      <c r="B114" s="278">
        <v>2007</v>
      </c>
      <c r="C114" s="205">
        <v>2194</v>
      </c>
      <c r="D114" s="62">
        <v>1767</v>
      </c>
      <c r="E114" s="258">
        <v>1005</v>
      </c>
      <c r="F114" s="1150" t="s">
        <v>193</v>
      </c>
      <c r="G114" s="527" t="s">
        <v>193</v>
      </c>
    </row>
    <row r="115" spans="1:8" s="70" customFormat="1" ht="11.5" customHeight="1">
      <c r="A115" s="262"/>
      <c r="B115" s="278">
        <v>2008</v>
      </c>
      <c r="C115" s="205">
        <v>2198</v>
      </c>
      <c r="D115" s="62">
        <v>1808</v>
      </c>
      <c r="E115" s="258">
        <v>968</v>
      </c>
      <c r="F115" s="62">
        <v>597</v>
      </c>
      <c r="G115" s="527" t="s">
        <v>193</v>
      </c>
    </row>
    <row r="116" spans="1:8" s="70" customFormat="1" ht="11.5" customHeight="1">
      <c r="A116" s="262"/>
      <c r="B116" s="278">
        <v>2009</v>
      </c>
      <c r="C116" s="205">
        <v>2154</v>
      </c>
      <c r="D116" s="62">
        <v>1773</v>
      </c>
      <c r="E116" s="258">
        <v>902</v>
      </c>
      <c r="F116" s="62">
        <v>271</v>
      </c>
      <c r="G116" s="279">
        <v>80</v>
      </c>
    </row>
    <row r="117" spans="1:8" s="70" customFormat="1" ht="11.5" customHeight="1">
      <c r="A117" s="262"/>
      <c r="B117" s="278">
        <v>2010</v>
      </c>
      <c r="C117" s="205">
        <v>1932</v>
      </c>
      <c r="D117" s="62">
        <v>1626</v>
      </c>
      <c r="E117" s="258">
        <v>780</v>
      </c>
      <c r="F117" s="62">
        <v>627</v>
      </c>
      <c r="G117" s="279">
        <v>108</v>
      </c>
      <c r="H117" s="669"/>
    </row>
    <row r="118" spans="1:8" s="70" customFormat="1" ht="11.5" customHeight="1">
      <c r="A118" s="262"/>
      <c r="B118" s="278">
        <v>2011</v>
      </c>
      <c r="C118" s="205">
        <v>1875</v>
      </c>
      <c r="D118" s="62">
        <v>1575</v>
      </c>
      <c r="E118" s="258">
        <v>867</v>
      </c>
      <c r="F118" s="62">
        <v>618</v>
      </c>
      <c r="G118" s="279">
        <v>117</v>
      </c>
    </row>
    <row r="119" spans="1:8" s="70" customFormat="1" ht="11.5" customHeight="1">
      <c r="A119" s="262"/>
      <c r="B119" s="278">
        <v>2012</v>
      </c>
      <c r="C119" s="205">
        <v>1689</v>
      </c>
      <c r="D119" s="62">
        <v>1446</v>
      </c>
      <c r="E119" s="258">
        <v>807</v>
      </c>
      <c r="F119" s="62">
        <v>540</v>
      </c>
      <c r="G119" s="279">
        <v>63</v>
      </c>
    </row>
    <row r="120" spans="1:8" s="70" customFormat="1" ht="11.5" customHeight="1">
      <c r="A120" s="262"/>
      <c r="B120" s="278">
        <v>2013</v>
      </c>
      <c r="C120" s="205">
        <v>1728</v>
      </c>
      <c r="D120" s="62">
        <v>1461</v>
      </c>
      <c r="E120" s="258">
        <v>759</v>
      </c>
      <c r="F120" s="62">
        <v>519</v>
      </c>
      <c r="G120" s="279">
        <v>96</v>
      </c>
    </row>
    <row r="121" spans="1:8" s="70" customFormat="1" ht="11.5" customHeight="1">
      <c r="A121" s="1019"/>
      <c r="B121" s="278">
        <v>2014</v>
      </c>
      <c r="C121" s="205">
        <v>1686</v>
      </c>
      <c r="D121" s="62">
        <v>1422</v>
      </c>
      <c r="E121" s="258">
        <v>768</v>
      </c>
      <c r="F121" s="62">
        <v>528</v>
      </c>
      <c r="G121" s="279">
        <v>102</v>
      </c>
    </row>
    <row r="122" spans="1:8" s="70" customFormat="1" ht="11.5" customHeight="1">
      <c r="A122" s="1291"/>
      <c r="B122" s="1290">
        <v>2015</v>
      </c>
      <c r="C122" s="1286">
        <f>108+1560</f>
        <v>1668</v>
      </c>
      <c r="D122" s="1287">
        <f>93+1323</f>
        <v>1416</v>
      </c>
      <c r="E122" s="1288">
        <f>30+747</f>
        <v>777</v>
      </c>
      <c r="F122" s="1287">
        <f>39+477</f>
        <v>516</v>
      </c>
      <c r="G122" s="1289">
        <f>42+36+3</f>
        <v>81</v>
      </c>
    </row>
    <row r="123" spans="1:8" s="70" customFormat="1" ht="3.65" customHeight="1">
      <c r="A123" s="1354"/>
      <c r="B123" s="278"/>
      <c r="C123" s="205"/>
      <c r="D123" s="286"/>
      <c r="E123" s="287"/>
      <c r="F123" s="62"/>
      <c r="G123" s="279"/>
    </row>
    <row r="124" spans="1:8" s="70" customFormat="1" ht="3.65" customHeight="1">
      <c r="A124" s="1379"/>
      <c r="B124" s="1387"/>
      <c r="C124" s="1381"/>
      <c r="D124" s="1389"/>
      <c r="E124" s="1390"/>
      <c r="F124" s="1382"/>
      <c r="G124" s="1384"/>
    </row>
    <row r="125" spans="1:8" s="70" customFormat="1" ht="11.5" customHeight="1">
      <c r="A125" s="1148" t="s">
        <v>78</v>
      </c>
      <c r="B125" s="278">
        <v>2001</v>
      </c>
      <c r="C125" s="205">
        <v>17523</v>
      </c>
      <c r="D125" s="62">
        <v>4941</v>
      </c>
      <c r="E125" s="258">
        <v>6225</v>
      </c>
      <c r="F125" s="62">
        <v>5278</v>
      </c>
      <c r="G125" s="279">
        <v>557</v>
      </c>
    </row>
    <row r="126" spans="1:8" s="70" customFormat="1" ht="11.5" customHeight="1">
      <c r="A126" s="262"/>
      <c r="B126" s="278">
        <v>2002</v>
      </c>
      <c r="C126" s="205">
        <v>16610</v>
      </c>
      <c r="D126" s="62">
        <v>4419</v>
      </c>
      <c r="E126" s="258">
        <v>6632</v>
      </c>
      <c r="F126" s="62">
        <v>5063</v>
      </c>
      <c r="G126" s="279">
        <v>574</v>
      </c>
    </row>
    <row r="127" spans="1:8" s="70" customFormat="1" ht="11.5" customHeight="1">
      <c r="A127" s="262"/>
      <c r="B127" s="278">
        <v>2003</v>
      </c>
      <c r="C127" s="205">
        <v>16719</v>
      </c>
      <c r="D127" s="62">
        <v>4197</v>
      </c>
      <c r="E127" s="258">
        <v>6298</v>
      </c>
      <c r="F127" s="62">
        <v>4610</v>
      </c>
      <c r="G127" s="279">
        <v>593</v>
      </c>
    </row>
    <row r="128" spans="1:8" s="70" customFormat="1" ht="11.5" customHeight="1">
      <c r="A128" s="259"/>
      <c r="B128" s="278">
        <v>2004</v>
      </c>
      <c r="C128" s="205">
        <v>17417</v>
      </c>
      <c r="D128" s="62">
        <v>4116</v>
      </c>
      <c r="E128" s="258">
        <v>6624</v>
      </c>
      <c r="F128" s="62">
        <v>4462</v>
      </c>
      <c r="G128" s="279">
        <v>608</v>
      </c>
    </row>
    <row r="129" spans="1:7" s="70" customFormat="1" ht="11.5" customHeight="1">
      <c r="A129" s="259"/>
      <c r="B129" s="278">
        <v>2005</v>
      </c>
      <c r="C129" s="205">
        <v>17521</v>
      </c>
      <c r="D129" s="62">
        <v>3928</v>
      </c>
      <c r="E129" s="258">
        <v>6251</v>
      </c>
      <c r="F129" s="62">
        <v>4631</v>
      </c>
      <c r="G129" s="279">
        <v>483</v>
      </c>
    </row>
    <row r="130" spans="1:7" s="70" customFormat="1" ht="11.5" customHeight="1">
      <c r="A130" s="259"/>
      <c r="B130" s="278">
        <v>2006</v>
      </c>
      <c r="C130" s="205">
        <v>17750</v>
      </c>
      <c r="D130" s="62">
        <v>3737</v>
      </c>
      <c r="E130" s="258">
        <v>6566</v>
      </c>
      <c r="F130" s="62">
        <v>4738</v>
      </c>
      <c r="G130" s="279">
        <v>476</v>
      </c>
    </row>
    <row r="131" spans="1:7" s="70" customFormat="1" ht="11.5" customHeight="1">
      <c r="A131" s="262" t="s">
        <v>40</v>
      </c>
      <c r="B131" s="278">
        <v>2007</v>
      </c>
      <c r="C131" s="205">
        <v>18366</v>
      </c>
      <c r="D131" s="62">
        <v>3778</v>
      </c>
      <c r="E131" s="258">
        <v>7109</v>
      </c>
      <c r="F131" s="1150" t="s">
        <v>193</v>
      </c>
      <c r="G131" s="527" t="s">
        <v>193</v>
      </c>
    </row>
    <row r="132" spans="1:7" s="70" customFormat="1" ht="11.5" customHeight="1">
      <c r="A132" s="259"/>
      <c r="B132" s="278">
        <v>2008</v>
      </c>
      <c r="C132" s="205">
        <v>18022</v>
      </c>
      <c r="D132" s="62">
        <v>3755</v>
      </c>
      <c r="E132" s="258">
        <v>6243</v>
      </c>
      <c r="F132" s="62">
        <v>4536</v>
      </c>
      <c r="G132" s="527" t="s">
        <v>193</v>
      </c>
    </row>
    <row r="133" spans="1:7" s="70" customFormat="1" ht="11.5" customHeight="1">
      <c r="A133" s="259"/>
      <c r="B133" s="278">
        <v>2009</v>
      </c>
      <c r="C133" s="205">
        <v>17201</v>
      </c>
      <c r="D133" s="62">
        <v>3579</v>
      </c>
      <c r="E133" s="258">
        <v>5886</v>
      </c>
      <c r="F133" s="62">
        <v>4406</v>
      </c>
      <c r="G133" s="279">
        <v>297</v>
      </c>
    </row>
    <row r="134" spans="1:7" s="70" customFormat="1" ht="11.5" customHeight="1">
      <c r="A134" s="259"/>
      <c r="B134" s="278">
        <v>2010</v>
      </c>
      <c r="C134" s="205">
        <v>16239</v>
      </c>
      <c r="D134" s="62">
        <v>3372</v>
      </c>
      <c r="E134" s="258">
        <v>5715</v>
      </c>
      <c r="F134" s="62">
        <v>5097</v>
      </c>
      <c r="G134" s="279">
        <v>480</v>
      </c>
    </row>
    <row r="135" spans="1:7" s="70" customFormat="1" ht="11.5" customHeight="1">
      <c r="A135" s="259"/>
      <c r="B135" s="278">
        <v>2011</v>
      </c>
      <c r="C135" s="205">
        <v>15273</v>
      </c>
      <c r="D135" s="62">
        <v>3054</v>
      </c>
      <c r="E135" s="258">
        <v>5259</v>
      </c>
      <c r="F135" s="62">
        <v>4593</v>
      </c>
      <c r="G135" s="279">
        <v>474</v>
      </c>
    </row>
    <row r="136" spans="1:7" s="70" customFormat="1" ht="11.5" customHeight="1">
      <c r="A136" s="259"/>
      <c r="B136" s="278">
        <v>2012</v>
      </c>
      <c r="C136" s="205">
        <v>14217</v>
      </c>
      <c r="D136" s="62">
        <v>2778</v>
      </c>
      <c r="E136" s="258">
        <v>5046</v>
      </c>
      <c r="F136" s="62">
        <v>4128</v>
      </c>
      <c r="G136" s="279">
        <v>648</v>
      </c>
    </row>
    <row r="137" spans="1:7" s="70" customFormat="1" ht="11.5" customHeight="1">
      <c r="A137" s="259"/>
      <c r="B137" s="278">
        <v>2013</v>
      </c>
      <c r="C137" s="205">
        <v>13149</v>
      </c>
      <c r="D137" s="62">
        <v>2631</v>
      </c>
      <c r="E137" s="258">
        <v>4740</v>
      </c>
      <c r="F137" s="62">
        <v>4002</v>
      </c>
      <c r="G137" s="279">
        <v>555</v>
      </c>
    </row>
    <row r="138" spans="1:7" s="70" customFormat="1" ht="11.5" customHeight="1">
      <c r="A138" s="259"/>
      <c r="B138" s="278">
        <v>2014</v>
      </c>
      <c r="C138" s="205">
        <v>12804</v>
      </c>
      <c r="D138" s="62">
        <v>2586</v>
      </c>
      <c r="E138" s="258">
        <v>4812</v>
      </c>
      <c r="F138" s="62">
        <v>3879</v>
      </c>
      <c r="G138" s="279">
        <v>636</v>
      </c>
    </row>
    <row r="139" spans="1:7" s="70" customFormat="1" ht="11.5" customHeight="1">
      <c r="A139" s="259"/>
      <c r="B139" s="1290">
        <v>2015</v>
      </c>
      <c r="C139" s="1286">
        <v>12561</v>
      </c>
      <c r="D139" s="1287">
        <v>2475</v>
      </c>
      <c r="E139" s="1288">
        <v>4758</v>
      </c>
      <c r="F139" s="1287">
        <v>3696</v>
      </c>
      <c r="G139" s="1289">
        <f>84+6+48+21+387+36+18</f>
        <v>600</v>
      </c>
    </row>
    <row r="140" spans="1:7" s="70" customFormat="1" ht="3.65" customHeight="1">
      <c r="A140" s="1354"/>
      <c r="B140" s="278"/>
      <c r="C140" s="205" t="s">
        <v>40</v>
      </c>
      <c r="D140" s="62"/>
      <c r="E140" s="258"/>
      <c r="F140" s="62"/>
      <c r="G140" s="279"/>
    </row>
    <row r="141" spans="1:7" s="70" customFormat="1" ht="3.65" customHeight="1">
      <c r="A141" s="1379"/>
      <c r="B141" s="1387"/>
      <c r="C141" s="1381"/>
      <c r="D141" s="1382"/>
      <c r="E141" s="1383"/>
      <c r="F141" s="1382"/>
      <c r="G141" s="1384"/>
    </row>
    <row r="142" spans="1:7" s="70" customFormat="1" ht="11.5" customHeight="1">
      <c r="A142" s="1148" t="s">
        <v>89</v>
      </c>
      <c r="B142" s="278">
        <v>2001</v>
      </c>
      <c r="C142" s="205">
        <v>4095</v>
      </c>
      <c r="D142" s="62">
        <v>1055</v>
      </c>
      <c r="E142" s="258">
        <v>1546</v>
      </c>
      <c r="F142" s="62">
        <v>1067</v>
      </c>
      <c r="G142" s="279">
        <v>0</v>
      </c>
    </row>
    <row r="143" spans="1:7" s="70" customFormat="1" ht="11.5" customHeight="1">
      <c r="A143" s="1148" t="s">
        <v>331</v>
      </c>
      <c r="B143" s="228">
        <v>2002</v>
      </c>
      <c r="C143" s="205">
        <v>4315</v>
      </c>
      <c r="D143" s="62">
        <v>1149</v>
      </c>
      <c r="E143" s="258">
        <v>1556</v>
      </c>
      <c r="F143" s="62">
        <v>1169</v>
      </c>
      <c r="G143" s="279">
        <v>0</v>
      </c>
    </row>
    <row r="144" spans="1:7" s="70" customFormat="1" ht="11.5" customHeight="1">
      <c r="A144" s="289"/>
      <c r="B144" s="278">
        <v>2003</v>
      </c>
      <c r="C144" s="205">
        <v>4674</v>
      </c>
      <c r="D144" s="62">
        <v>1147</v>
      </c>
      <c r="E144" s="258">
        <v>1787</v>
      </c>
      <c r="F144" s="62">
        <v>1070</v>
      </c>
      <c r="G144" s="279">
        <v>0</v>
      </c>
    </row>
    <row r="145" spans="1:7" s="70" customFormat="1" ht="11.5" customHeight="1">
      <c r="A145" s="289" t="s">
        <v>40</v>
      </c>
      <c r="B145" s="278">
        <v>2004</v>
      </c>
      <c r="C145" s="205">
        <v>5025</v>
      </c>
      <c r="D145" s="62">
        <v>1231</v>
      </c>
      <c r="E145" s="258">
        <v>1866</v>
      </c>
      <c r="F145" s="62">
        <v>1227</v>
      </c>
      <c r="G145" s="279">
        <v>0</v>
      </c>
    </row>
    <row r="146" spans="1:7" s="70" customFormat="1" ht="11.5" customHeight="1">
      <c r="A146" s="259"/>
      <c r="B146" s="278">
        <v>2005</v>
      </c>
      <c r="C146" s="205">
        <v>5201</v>
      </c>
      <c r="D146" s="62">
        <v>1210</v>
      </c>
      <c r="E146" s="258">
        <v>1769</v>
      </c>
      <c r="F146" s="62">
        <v>1289</v>
      </c>
      <c r="G146" s="279">
        <v>0</v>
      </c>
    </row>
    <row r="147" spans="1:7" s="70" customFormat="1" ht="11.5" customHeight="1">
      <c r="A147" s="259"/>
      <c r="B147" s="278">
        <v>2006</v>
      </c>
      <c r="C147" s="205">
        <v>5207</v>
      </c>
      <c r="D147" s="62">
        <v>1182</v>
      </c>
      <c r="E147" s="258">
        <v>1811</v>
      </c>
      <c r="F147" s="62">
        <v>1463</v>
      </c>
      <c r="G147" s="279">
        <v>0</v>
      </c>
    </row>
    <row r="148" spans="1:7" s="70" customFormat="1" ht="11.5" customHeight="1">
      <c r="A148" s="262" t="s">
        <v>40</v>
      </c>
      <c r="B148" s="278">
        <v>2007</v>
      </c>
      <c r="C148" s="205">
        <v>5371</v>
      </c>
      <c r="D148" s="62">
        <v>1201</v>
      </c>
      <c r="E148" s="258">
        <v>2046</v>
      </c>
      <c r="F148" s="1150" t="s">
        <v>193</v>
      </c>
      <c r="G148" s="279">
        <v>0</v>
      </c>
    </row>
    <row r="149" spans="1:7" s="70" customFormat="1" ht="11.5" customHeight="1">
      <c r="A149" s="259"/>
      <c r="B149" s="278">
        <v>2008</v>
      </c>
      <c r="C149" s="205">
        <v>5170</v>
      </c>
      <c r="D149" s="62">
        <v>1143</v>
      </c>
      <c r="E149" s="258">
        <v>1801</v>
      </c>
      <c r="F149" s="62">
        <v>1415</v>
      </c>
      <c r="G149" s="279">
        <v>0</v>
      </c>
    </row>
    <row r="150" spans="1:7" s="70" customFormat="1" ht="11.5" customHeight="1">
      <c r="A150" s="259"/>
      <c r="B150" s="278">
        <v>2009</v>
      </c>
      <c r="C150" s="205">
        <v>5198</v>
      </c>
      <c r="D150" s="62">
        <v>1095</v>
      </c>
      <c r="E150" s="258">
        <v>1781</v>
      </c>
      <c r="F150" s="62">
        <v>1343</v>
      </c>
      <c r="G150" s="279">
        <v>0</v>
      </c>
    </row>
    <row r="151" spans="1:7" s="70" customFormat="1" ht="11.5" customHeight="1">
      <c r="A151" s="259"/>
      <c r="B151" s="278">
        <v>2010</v>
      </c>
      <c r="C151" s="205">
        <v>4812</v>
      </c>
      <c r="D151" s="62">
        <v>1038</v>
      </c>
      <c r="E151" s="258">
        <v>1557</v>
      </c>
      <c r="F151" s="62">
        <v>1443</v>
      </c>
      <c r="G151" s="279">
        <v>0</v>
      </c>
    </row>
    <row r="152" spans="1:7" s="70" customFormat="1" ht="11.5" customHeight="1">
      <c r="A152" s="259"/>
      <c r="B152" s="278">
        <v>2011</v>
      </c>
      <c r="C152" s="205">
        <v>4422</v>
      </c>
      <c r="D152" s="62">
        <v>924</v>
      </c>
      <c r="E152" s="258">
        <v>1467</v>
      </c>
      <c r="F152" s="62">
        <v>1326</v>
      </c>
      <c r="G152" s="279">
        <v>0</v>
      </c>
    </row>
    <row r="153" spans="1:7" s="70" customFormat="1" ht="11.5" customHeight="1">
      <c r="A153" s="259"/>
      <c r="B153" s="278">
        <v>2012</v>
      </c>
      <c r="C153" s="205">
        <v>3987</v>
      </c>
      <c r="D153" s="62">
        <v>801</v>
      </c>
      <c r="E153" s="258">
        <v>1335</v>
      </c>
      <c r="F153" s="62">
        <v>1296</v>
      </c>
      <c r="G153" s="279">
        <v>0</v>
      </c>
    </row>
    <row r="154" spans="1:7" s="70" customFormat="1" ht="11.5" customHeight="1">
      <c r="A154" s="259"/>
      <c r="B154" s="278">
        <v>2013</v>
      </c>
      <c r="C154" s="205">
        <v>3753</v>
      </c>
      <c r="D154" s="62">
        <v>729</v>
      </c>
      <c r="E154" s="258">
        <v>1320</v>
      </c>
      <c r="F154" s="62">
        <v>1158</v>
      </c>
      <c r="G154" s="279">
        <v>0</v>
      </c>
    </row>
    <row r="155" spans="1:7" s="70" customFormat="1" ht="11.5" customHeight="1">
      <c r="A155" s="259"/>
      <c r="B155" s="278">
        <v>2014</v>
      </c>
      <c r="C155" s="205">
        <v>3537</v>
      </c>
      <c r="D155" s="62">
        <v>693</v>
      </c>
      <c r="E155" s="258">
        <v>1254</v>
      </c>
      <c r="F155" s="62">
        <v>1101</v>
      </c>
      <c r="G155" s="279">
        <v>0</v>
      </c>
    </row>
    <row r="156" spans="1:7" s="70" customFormat="1" ht="11.5" customHeight="1">
      <c r="A156" s="259"/>
      <c r="B156" s="1290">
        <v>2015</v>
      </c>
      <c r="C156" s="1286">
        <v>3435</v>
      </c>
      <c r="D156" s="1287">
        <v>678</v>
      </c>
      <c r="E156" s="1288">
        <v>1209</v>
      </c>
      <c r="F156" s="1287">
        <v>996</v>
      </c>
      <c r="G156" s="1289">
        <v>0</v>
      </c>
    </row>
    <row r="157" spans="1:7" s="70" customFormat="1" ht="3.65" customHeight="1" thickBot="1">
      <c r="A157" s="261"/>
      <c r="B157" s="290"/>
      <c r="C157" s="231"/>
      <c r="D157" s="232"/>
      <c r="E157" s="1153"/>
      <c r="F157" s="232"/>
      <c r="G157" s="233"/>
    </row>
    <row r="158" spans="1:7" s="70" customFormat="1" ht="11.6">
      <c r="A158" s="1639" t="s">
        <v>199</v>
      </c>
      <c r="B158" s="1639"/>
      <c r="C158" s="1639"/>
      <c r="D158" s="1639"/>
      <c r="E158" s="1639"/>
      <c r="F158" s="1639"/>
      <c r="G158" s="1639"/>
    </row>
    <row r="159" spans="1:7" s="70" customFormat="1" ht="5.25" customHeight="1">
      <c r="A159" s="162"/>
      <c r="B159" s="226"/>
      <c r="C159" s="225"/>
      <c r="D159" s="225"/>
      <c r="E159" s="225"/>
      <c r="F159" s="225"/>
      <c r="G159" s="225"/>
    </row>
    <row r="160" spans="1:7" s="70" customFormat="1" ht="11.6">
      <c r="A160" s="1632" t="s">
        <v>113</v>
      </c>
      <c r="B160" s="1632"/>
      <c r="C160" s="1632"/>
      <c r="D160" s="1632"/>
      <c r="E160" s="1632"/>
      <c r="F160" s="1632"/>
      <c r="G160" s="1632"/>
    </row>
    <row r="161" spans="1:7" s="70" customFormat="1" ht="5.25" customHeight="1" thickBot="1">
      <c r="A161" s="179"/>
      <c r="B161" s="226"/>
      <c r="C161" s="225"/>
      <c r="D161" s="225"/>
      <c r="E161" s="225"/>
      <c r="F161" s="225"/>
      <c r="G161" s="225"/>
    </row>
    <row r="162" spans="1:7" s="70" customFormat="1" ht="12.75" customHeight="1">
      <c r="A162" s="1633" t="s">
        <v>72</v>
      </c>
      <c r="B162" s="1627" t="s">
        <v>118</v>
      </c>
      <c r="C162" s="1621" t="s">
        <v>219</v>
      </c>
      <c r="D162" s="1622"/>
      <c r="E162" s="1623"/>
      <c r="F162" s="703" t="s">
        <v>220</v>
      </c>
      <c r="G162" s="291"/>
    </row>
    <row r="163" spans="1:7" s="70" customFormat="1" ht="10.3">
      <c r="A163" s="1634"/>
      <c r="B163" s="1628"/>
      <c r="C163" s="292" t="s">
        <v>122</v>
      </c>
      <c r="D163" s="293"/>
      <c r="E163" s="264" t="s">
        <v>119</v>
      </c>
      <c r="F163" s="1640" t="s">
        <v>323</v>
      </c>
      <c r="G163" s="1643" t="s">
        <v>324</v>
      </c>
    </row>
    <row r="164" spans="1:7" s="70" customFormat="1" ht="13.5" customHeight="1">
      <c r="A164" s="1634"/>
      <c r="B164" s="1628"/>
      <c r="C164" s="1630" t="s">
        <v>94</v>
      </c>
      <c r="D164" s="294" t="s">
        <v>5</v>
      </c>
      <c r="E164" s="213" t="s">
        <v>120</v>
      </c>
      <c r="F164" s="1641"/>
      <c r="G164" s="1644"/>
    </row>
    <row r="165" spans="1:7" s="70" customFormat="1" ht="10.3">
      <c r="A165" s="1635"/>
      <c r="B165" s="1629"/>
      <c r="C165" s="1631"/>
      <c r="D165" s="295" t="s">
        <v>93</v>
      </c>
      <c r="E165" s="214" t="s">
        <v>121</v>
      </c>
      <c r="F165" s="1642"/>
      <c r="G165" s="1645"/>
    </row>
    <row r="166" spans="1:7" s="70" customFormat="1" ht="3.65" customHeight="1">
      <c r="A166" s="296"/>
      <c r="B166" s="297"/>
      <c r="C166" s="298"/>
      <c r="D166" s="62"/>
      <c r="E166" s="299"/>
      <c r="F166" s="62"/>
      <c r="G166" s="300"/>
    </row>
    <row r="167" spans="1:7" s="70" customFormat="1" ht="11.5" customHeight="1">
      <c r="A167" s="1148" t="s">
        <v>82</v>
      </c>
      <c r="B167" s="278">
        <v>2001</v>
      </c>
      <c r="C167" s="205">
        <v>47</v>
      </c>
      <c r="D167" s="62">
        <v>3</v>
      </c>
      <c r="E167" s="258">
        <v>26</v>
      </c>
      <c r="F167" s="62">
        <v>12</v>
      </c>
      <c r="G167" s="279">
        <v>29</v>
      </c>
    </row>
    <row r="168" spans="1:7" s="70" customFormat="1" ht="11.5" customHeight="1">
      <c r="A168" s="1148" t="s">
        <v>83</v>
      </c>
      <c r="B168" s="278">
        <v>2002</v>
      </c>
      <c r="C168" s="205">
        <v>46</v>
      </c>
      <c r="D168" s="62">
        <v>0</v>
      </c>
      <c r="E168" s="258">
        <v>22</v>
      </c>
      <c r="F168" s="62">
        <v>14</v>
      </c>
      <c r="G168" s="279">
        <v>0</v>
      </c>
    </row>
    <row r="169" spans="1:7" s="70" customFormat="1" ht="11.5" customHeight="1">
      <c r="A169" s="259"/>
      <c r="B169" s="278">
        <v>2003</v>
      </c>
      <c r="C169" s="205">
        <v>52</v>
      </c>
      <c r="D169" s="62">
        <v>3</v>
      </c>
      <c r="E169" s="258">
        <v>24</v>
      </c>
      <c r="F169" s="62">
        <v>13</v>
      </c>
      <c r="G169" s="279">
        <v>0</v>
      </c>
    </row>
    <row r="170" spans="1:7" s="70" customFormat="1" ht="11.5" customHeight="1">
      <c r="A170" s="259"/>
      <c r="B170" s="278">
        <v>2004</v>
      </c>
      <c r="C170" s="205">
        <v>52</v>
      </c>
      <c r="D170" s="62">
        <v>3</v>
      </c>
      <c r="E170" s="258">
        <v>29</v>
      </c>
      <c r="F170" s="62">
        <v>18</v>
      </c>
      <c r="G170" s="279">
        <v>11</v>
      </c>
    </row>
    <row r="171" spans="1:7" s="70" customFormat="1" ht="11.5" customHeight="1">
      <c r="A171" s="259"/>
      <c r="B171" s="278">
        <v>2005</v>
      </c>
      <c r="C171" s="205">
        <v>47</v>
      </c>
      <c r="D171" s="62">
        <v>3</v>
      </c>
      <c r="E171" s="258">
        <v>22</v>
      </c>
      <c r="F171" s="62">
        <v>11</v>
      </c>
      <c r="G171" s="279">
        <v>4</v>
      </c>
    </row>
    <row r="172" spans="1:7" s="70" customFormat="1" ht="11.5" customHeight="1">
      <c r="A172" s="259"/>
      <c r="B172" s="278">
        <v>2006</v>
      </c>
      <c r="C172" s="205">
        <v>54</v>
      </c>
      <c r="D172" s="62">
        <v>3</v>
      </c>
      <c r="E172" s="258">
        <v>23</v>
      </c>
      <c r="F172" s="62">
        <v>24</v>
      </c>
      <c r="G172" s="279">
        <v>3</v>
      </c>
    </row>
    <row r="173" spans="1:7" s="70" customFormat="1" ht="11.5" customHeight="1">
      <c r="A173" s="259"/>
      <c r="B173" s="278">
        <v>2007</v>
      </c>
      <c r="C173" s="205">
        <v>60</v>
      </c>
      <c r="D173" s="62">
        <v>0</v>
      </c>
      <c r="E173" s="258">
        <v>17</v>
      </c>
      <c r="F173" s="1150" t="s">
        <v>193</v>
      </c>
      <c r="G173" s="527" t="s">
        <v>193</v>
      </c>
    </row>
    <row r="174" spans="1:7" s="70" customFormat="1" ht="11.5" customHeight="1">
      <c r="A174" s="259"/>
      <c r="B174" s="228">
        <v>2008</v>
      </c>
      <c r="C174" s="205">
        <v>44</v>
      </c>
      <c r="D174" s="62">
        <v>3</v>
      </c>
      <c r="E174" s="258">
        <v>23</v>
      </c>
      <c r="F174" s="62">
        <v>0</v>
      </c>
      <c r="G174" s="527" t="s">
        <v>193</v>
      </c>
    </row>
    <row r="175" spans="1:7" s="70" customFormat="1" ht="11.5" customHeight="1">
      <c r="A175" s="259"/>
      <c r="B175" s="228">
        <v>2009</v>
      </c>
      <c r="C175" s="205">
        <v>47</v>
      </c>
      <c r="D175" s="62">
        <v>3</v>
      </c>
      <c r="E175" s="258">
        <v>21</v>
      </c>
      <c r="F175" s="62">
        <v>0</v>
      </c>
      <c r="G175" s="279">
        <v>13</v>
      </c>
    </row>
    <row r="176" spans="1:7" s="70" customFormat="1" ht="11.5" customHeight="1">
      <c r="A176" s="259"/>
      <c r="B176" s="228">
        <v>2010</v>
      </c>
      <c r="C176" s="205">
        <v>48</v>
      </c>
      <c r="D176" s="62">
        <v>3</v>
      </c>
      <c r="E176" s="258">
        <v>30</v>
      </c>
      <c r="F176" s="62">
        <v>18</v>
      </c>
      <c r="G176" s="279">
        <v>9</v>
      </c>
    </row>
    <row r="177" spans="1:7" s="70" customFormat="1" ht="11.5" customHeight="1">
      <c r="A177" s="259"/>
      <c r="B177" s="228">
        <v>2011</v>
      </c>
      <c r="C177" s="205">
        <v>48</v>
      </c>
      <c r="D177" s="62">
        <v>3</v>
      </c>
      <c r="E177" s="258">
        <v>18</v>
      </c>
      <c r="F177" s="62">
        <v>12</v>
      </c>
      <c r="G177" s="279">
        <v>0</v>
      </c>
    </row>
    <row r="178" spans="1:7" s="70" customFormat="1" ht="11.5" customHeight="1">
      <c r="A178" s="259"/>
      <c r="B178" s="228">
        <v>2012</v>
      </c>
      <c r="C178" s="205">
        <v>42</v>
      </c>
      <c r="D178" s="62">
        <v>6</v>
      </c>
      <c r="E178" s="258">
        <v>21</v>
      </c>
      <c r="F178" s="62">
        <v>24</v>
      </c>
      <c r="G178" s="279">
        <v>15</v>
      </c>
    </row>
    <row r="179" spans="1:7" s="70" customFormat="1" ht="11.5" customHeight="1">
      <c r="A179" s="259"/>
      <c r="B179" s="228">
        <v>2013</v>
      </c>
      <c r="C179" s="205">
        <v>66</v>
      </c>
      <c r="D179" s="62">
        <v>3</v>
      </c>
      <c r="E179" s="258">
        <v>21</v>
      </c>
      <c r="F179" s="62">
        <v>9</v>
      </c>
      <c r="G179" s="279">
        <v>9</v>
      </c>
    </row>
    <row r="180" spans="1:7" s="70" customFormat="1" ht="11.5" customHeight="1">
      <c r="A180" s="259"/>
      <c r="B180" s="228">
        <v>2014</v>
      </c>
      <c r="C180" s="205">
        <v>63</v>
      </c>
      <c r="D180" s="86">
        <v>0</v>
      </c>
      <c r="E180" s="258">
        <v>39</v>
      </c>
      <c r="F180" s="62">
        <v>27</v>
      </c>
      <c r="G180" s="279">
        <v>18</v>
      </c>
    </row>
    <row r="181" spans="1:7" s="70" customFormat="1" ht="11.5" customHeight="1">
      <c r="A181" s="259"/>
      <c r="B181" s="1324">
        <v>2015</v>
      </c>
      <c r="C181" s="1286">
        <v>66</v>
      </c>
      <c r="D181" s="1325">
        <v>0</v>
      </c>
      <c r="E181" s="1288">
        <v>30</v>
      </c>
      <c r="F181" s="1287">
        <v>15</v>
      </c>
      <c r="G181" s="1289">
        <v>0</v>
      </c>
    </row>
    <row r="182" spans="1:7" s="70" customFormat="1" ht="3.65" customHeight="1">
      <c r="A182" s="1354"/>
      <c r="B182" s="82"/>
      <c r="C182" s="205"/>
      <c r="D182" s="86"/>
      <c r="E182" s="258"/>
      <c r="F182" s="62"/>
      <c r="G182" s="279"/>
    </row>
    <row r="183" spans="1:7" s="70" customFormat="1" ht="3.65" customHeight="1">
      <c r="A183" s="1379"/>
      <c r="B183" s="1388"/>
      <c r="C183" s="1381"/>
      <c r="D183" s="1382"/>
      <c r="E183" s="1383"/>
      <c r="F183" s="1382"/>
      <c r="G183" s="1384"/>
    </row>
    <row r="184" spans="1:7" s="70" customFormat="1" ht="11.5" customHeight="1">
      <c r="A184" s="1148" t="s">
        <v>333</v>
      </c>
      <c r="B184" s="278">
        <v>2001</v>
      </c>
      <c r="C184" s="205">
        <v>1979</v>
      </c>
      <c r="D184" s="62">
        <v>124</v>
      </c>
      <c r="E184" s="258">
        <v>667</v>
      </c>
      <c r="F184" s="62">
        <v>711</v>
      </c>
      <c r="G184" s="279">
        <v>73</v>
      </c>
    </row>
    <row r="185" spans="1:7" s="70" customFormat="1" ht="11.5" customHeight="1">
      <c r="A185" s="1148" t="s">
        <v>80</v>
      </c>
      <c r="B185" s="278">
        <v>2002</v>
      </c>
      <c r="C185" s="205">
        <v>1842</v>
      </c>
      <c r="D185" s="62">
        <v>112</v>
      </c>
      <c r="E185" s="258">
        <v>640</v>
      </c>
      <c r="F185" s="62">
        <v>611</v>
      </c>
      <c r="G185" s="279">
        <v>60</v>
      </c>
    </row>
    <row r="186" spans="1:7" s="70" customFormat="1" ht="11.5" customHeight="1">
      <c r="A186" s="1148" t="s">
        <v>81</v>
      </c>
      <c r="B186" s="278">
        <v>2003</v>
      </c>
      <c r="C186" s="205">
        <v>1679</v>
      </c>
      <c r="D186" s="62">
        <v>77</v>
      </c>
      <c r="E186" s="258">
        <v>618</v>
      </c>
      <c r="F186" s="62">
        <v>561</v>
      </c>
      <c r="G186" s="279">
        <v>16</v>
      </c>
    </row>
    <row r="187" spans="1:7" s="70" customFormat="1" ht="11.5" customHeight="1">
      <c r="A187" s="259"/>
      <c r="B187" s="278">
        <v>2004</v>
      </c>
      <c r="C187" s="205">
        <v>1912</v>
      </c>
      <c r="D187" s="62">
        <v>95</v>
      </c>
      <c r="E187" s="258">
        <v>641</v>
      </c>
      <c r="F187" s="62">
        <v>605</v>
      </c>
      <c r="G187" s="279">
        <v>20</v>
      </c>
    </row>
    <row r="188" spans="1:7" s="70" customFormat="1" ht="11.5" customHeight="1">
      <c r="A188" s="259"/>
      <c r="B188" s="278">
        <v>2005</v>
      </c>
      <c r="C188" s="205">
        <v>1911</v>
      </c>
      <c r="D188" s="62">
        <v>87</v>
      </c>
      <c r="E188" s="258">
        <v>675</v>
      </c>
      <c r="F188" s="62">
        <v>639</v>
      </c>
      <c r="G188" s="279">
        <v>24</v>
      </c>
    </row>
    <row r="189" spans="1:7" s="70" customFormat="1" ht="11.5" customHeight="1">
      <c r="A189" s="259"/>
      <c r="B189" s="278">
        <v>2006</v>
      </c>
      <c r="C189" s="205">
        <v>2184</v>
      </c>
      <c r="D189" s="62">
        <v>111</v>
      </c>
      <c r="E189" s="258">
        <v>664</v>
      </c>
      <c r="F189" s="62">
        <v>641</v>
      </c>
      <c r="G189" s="279">
        <v>72</v>
      </c>
    </row>
    <row r="190" spans="1:7" s="70" customFormat="1" ht="11.5" customHeight="1">
      <c r="A190" s="259"/>
      <c r="B190" s="278">
        <v>2007</v>
      </c>
      <c r="C190" s="205">
        <v>1951</v>
      </c>
      <c r="D190" s="62">
        <v>91</v>
      </c>
      <c r="E190" s="258">
        <v>651</v>
      </c>
      <c r="F190" s="1150" t="s">
        <v>193</v>
      </c>
      <c r="G190" s="527" t="s">
        <v>193</v>
      </c>
    </row>
    <row r="191" spans="1:7" s="70" customFormat="1" ht="11.25" customHeight="1">
      <c r="A191" s="259"/>
      <c r="B191" s="278">
        <v>2008</v>
      </c>
      <c r="C191" s="205">
        <v>1912</v>
      </c>
      <c r="D191" s="62">
        <v>90</v>
      </c>
      <c r="E191" s="258">
        <v>644</v>
      </c>
      <c r="F191" s="62">
        <v>549</v>
      </c>
      <c r="G191" s="527" t="s">
        <v>193</v>
      </c>
    </row>
    <row r="192" spans="1:7" s="70" customFormat="1" ht="11.5" customHeight="1">
      <c r="A192" s="259"/>
      <c r="B192" s="278">
        <v>2009</v>
      </c>
      <c r="C192" s="205">
        <v>1911</v>
      </c>
      <c r="D192" s="62">
        <v>93</v>
      </c>
      <c r="E192" s="258">
        <v>657</v>
      </c>
      <c r="F192" s="62">
        <v>381</v>
      </c>
      <c r="G192" s="279">
        <v>15</v>
      </c>
    </row>
    <row r="193" spans="1:7" s="70" customFormat="1" ht="11.5" customHeight="1">
      <c r="A193" s="259"/>
      <c r="B193" s="278">
        <v>2010</v>
      </c>
      <c r="C193" s="205">
        <v>1809</v>
      </c>
      <c r="D193" s="62">
        <v>87</v>
      </c>
      <c r="E193" s="258">
        <v>621</v>
      </c>
      <c r="F193" s="62">
        <v>600</v>
      </c>
      <c r="G193" s="279">
        <v>72</v>
      </c>
    </row>
    <row r="194" spans="1:7" s="70" customFormat="1" ht="11.5" customHeight="1">
      <c r="A194" s="259"/>
      <c r="B194" s="278">
        <v>2011</v>
      </c>
      <c r="C194" s="205">
        <v>1779</v>
      </c>
      <c r="D194" s="62">
        <v>81</v>
      </c>
      <c r="E194" s="258">
        <v>603</v>
      </c>
      <c r="F194" s="62">
        <v>621</v>
      </c>
      <c r="G194" s="279">
        <v>27</v>
      </c>
    </row>
    <row r="195" spans="1:7" s="70" customFormat="1" ht="11.5" customHeight="1">
      <c r="A195" s="259"/>
      <c r="B195" s="278">
        <v>2012</v>
      </c>
      <c r="C195" s="205">
        <v>1755</v>
      </c>
      <c r="D195" s="62">
        <v>78</v>
      </c>
      <c r="E195" s="258">
        <v>612</v>
      </c>
      <c r="F195" s="62">
        <v>582</v>
      </c>
      <c r="G195" s="279">
        <v>24</v>
      </c>
    </row>
    <row r="196" spans="1:7" s="70" customFormat="1" ht="11.5" customHeight="1">
      <c r="A196" s="259"/>
      <c r="B196" s="278">
        <v>2013</v>
      </c>
      <c r="C196" s="205">
        <v>1731</v>
      </c>
      <c r="D196" s="62">
        <v>96</v>
      </c>
      <c r="E196" s="258">
        <v>615</v>
      </c>
      <c r="F196" s="62">
        <v>576</v>
      </c>
      <c r="G196" s="279">
        <v>63</v>
      </c>
    </row>
    <row r="197" spans="1:7" s="70" customFormat="1" ht="11.5" customHeight="1">
      <c r="A197" s="259"/>
      <c r="B197" s="278">
        <v>2014</v>
      </c>
      <c r="C197" s="205">
        <v>1677</v>
      </c>
      <c r="D197" s="62">
        <v>102</v>
      </c>
      <c r="E197" s="258">
        <v>594</v>
      </c>
      <c r="F197" s="62">
        <v>573</v>
      </c>
      <c r="G197" s="279">
        <v>75</v>
      </c>
    </row>
    <row r="198" spans="1:7" s="70" customFormat="1" ht="11.5" customHeight="1">
      <c r="A198" s="259"/>
      <c r="B198" s="1290">
        <v>2015</v>
      </c>
      <c r="C198" s="1286">
        <v>1656</v>
      </c>
      <c r="D198" s="1287">
        <v>111</v>
      </c>
      <c r="E198" s="1288">
        <v>582</v>
      </c>
      <c r="F198" s="1287">
        <v>534</v>
      </c>
      <c r="G198" s="1289">
        <v>60</v>
      </c>
    </row>
    <row r="199" spans="1:7" s="70" customFormat="1" ht="3.65" customHeight="1">
      <c r="A199" s="259"/>
      <c r="B199" s="278"/>
      <c r="C199" s="205"/>
      <c r="D199" s="62"/>
      <c r="E199" s="258"/>
      <c r="F199" s="62"/>
      <c r="G199" s="279"/>
    </row>
    <row r="200" spans="1:7" s="70" customFormat="1" ht="3.65" customHeight="1">
      <c r="A200" s="1385"/>
      <c r="B200" s="1387"/>
      <c r="C200" s="1381"/>
      <c r="D200" s="1382"/>
      <c r="E200" s="1383"/>
      <c r="F200" s="1382"/>
      <c r="G200" s="1384"/>
    </row>
    <row r="201" spans="1:7" s="70" customFormat="1" ht="11.5" customHeight="1">
      <c r="A201" s="1156" t="s">
        <v>328</v>
      </c>
      <c r="B201" s="278">
        <v>2008</v>
      </c>
      <c r="C201" s="205">
        <v>30</v>
      </c>
      <c r="D201" s="62">
        <v>3</v>
      </c>
      <c r="E201" s="258">
        <v>14</v>
      </c>
      <c r="F201" s="1150" t="s">
        <v>193</v>
      </c>
      <c r="G201" s="279">
        <v>0</v>
      </c>
    </row>
    <row r="202" spans="1:7" s="70" customFormat="1" ht="11.25" customHeight="1">
      <c r="A202" s="1157" t="s">
        <v>327</v>
      </c>
      <c r="B202" s="278">
        <v>2009</v>
      </c>
      <c r="C202" s="205">
        <v>32</v>
      </c>
      <c r="D202" s="62">
        <v>3</v>
      </c>
      <c r="E202" s="258">
        <v>13</v>
      </c>
      <c r="F202" s="1150" t="s">
        <v>193</v>
      </c>
      <c r="G202" s="279">
        <v>0</v>
      </c>
    </row>
    <row r="203" spans="1:7" s="70" customFormat="1" ht="11.25" customHeight="1">
      <c r="A203" s="1157" t="s">
        <v>329</v>
      </c>
      <c r="B203" s="278">
        <v>2010</v>
      </c>
      <c r="C203" s="205">
        <v>30</v>
      </c>
      <c r="D203" s="62">
        <v>3</v>
      </c>
      <c r="E203" s="258">
        <v>6</v>
      </c>
      <c r="F203" s="62">
        <v>6</v>
      </c>
      <c r="G203" s="279">
        <v>0</v>
      </c>
    </row>
    <row r="204" spans="1:7" s="70" customFormat="1" ht="11.25" customHeight="1">
      <c r="A204" s="259"/>
      <c r="B204" s="278">
        <v>2011</v>
      </c>
      <c r="C204" s="205">
        <v>33</v>
      </c>
      <c r="D204" s="62">
        <v>0</v>
      </c>
      <c r="E204" s="258">
        <v>15</v>
      </c>
      <c r="F204" s="62">
        <v>12</v>
      </c>
      <c r="G204" s="279">
        <v>0</v>
      </c>
    </row>
    <row r="205" spans="1:7" s="70" customFormat="1" ht="11.25" customHeight="1">
      <c r="A205" s="259"/>
      <c r="B205" s="278">
        <v>2012</v>
      </c>
      <c r="C205" s="205">
        <v>24</v>
      </c>
      <c r="D205" s="62">
        <v>0</v>
      </c>
      <c r="E205" s="258">
        <v>6</v>
      </c>
      <c r="F205" s="62">
        <v>12</v>
      </c>
      <c r="G205" s="279">
        <v>0</v>
      </c>
    </row>
    <row r="206" spans="1:7" s="70" customFormat="1" ht="11.25" customHeight="1">
      <c r="A206" s="259"/>
      <c r="B206" s="278">
        <v>2013</v>
      </c>
      <c r="C206" s="205">
        <v>18</v>
      </c>
      <c r="D206" s="62">
        <v>0</v>
      </c>
      <c r="E206" s="258">
        <v>0</v>
      </c>
      <c r="F206" s="62">
        <v>6</v>
      </c>
      <c r="G206" s="279">
        <v>0</v>
      </c>
    </row>
    <row r="207" spans="1:7" s="70" customFormat="1" ht="11.25" customHeight="1">
      <c r="A207" s="259"/>
      <c r="B207" s="278">
        <v>2014</v>
      </c>
      <c r="C207" s="205">
        <v>9</v>
      </c>
      <c r="D207" s="62">
        <v>0</v>
      </c>
      <c r="E207" s="258">
        <v>3</v>
      </c>
      <c r="F207" s="62">
        <v>12</v>
      </c>
      <c r="G207" s="279">
        <v>0</v>
      </c>
    </row>
    <row r="208" spans="1:7" s="70" customFormat="1" ht="11.25" customHeight="1">
      <c r="A208" s="259"/>
      <c r="B208" s="1290">
        <v>2015</v>
      </c>
      <c r="C208" s="1286">
        <v>12</v>
      </c>
      <c r="D208" s="1287">
        <v>0</v>
      </c>
      <c r="E208" s="1288">
        <v>6</v>
      </c>
      <c r="F208" s="1287">
        <v>6</v>
      </c>
      <c r="G208" s="1289">
        <v>0</v>
      </c>
    </row>
    <row r="209" spans="1:7" s="70" customFormat="1" ht="3.65" customHeight="1">
      <c r="A209" s="259"/>
      <c r="B209" s="278"/>
      <c r="C209" s="205"/>
      <c r="D209" s="62"/>
      <c r="E209" s="258"/>
      <c r="F209" s="62"/>
      <c r="G209" s="279"/>
    </row>
    <row r="210" spans="1:7" s="70" customFormat="1" ht="3.65" customHeight="1">
      <c r="A210" s="1385"/>
      <c r="B210" s="1387"/>
      <c r="C210" s="1381"/>
      <c r="D210" s="1382"/>
      <c r="E210" s="1383"/>
      <c r="F210" s="1382"/>
      <c r="G210" s="1384"/>
    </row>
    <row r="211" spans="1:7" s="70" customFormat="1" ht="11.5" customHeight="1">
      <c r="A211" s="1148" t="s">
        <v>84</v>
      </c>
      <c r="B211" s="278">
        <v>2001</v>
      </c>
      <c r="C211" s="205">
        <v>714</v>
      </c>
      <c r="D211" s="62">
        <v>117</v>
      </c>
      <c r="E211" s="258">
        <v>266</v>
      </c>
      <c r="F211" s="62">
        <v>231</v>
      </c>
      <c r="G211" s="279">
        <v>32</v>
      </c>
    </row>
    <row r="212" spans="1:7" s="70" customFormat="1" ht="11.5" customHeight="1">
      <c r="A212" s="1148" t="s">
        <v>85</v>
      </c>
      <c r="B212" s="278">
        <v>2002</v>
      </c>
      <c r="C212" s="205">
        <v>765</v>
      </c>
      <c r="D212" s="62">
        <v>116</v>
      </c>
      <c r="E212" s="258">
        <v>294</v>
      </c>
      <c r="F212" s="62">
        <v>213</v>
      </c>
      <c r="G212" s="279">
        <v>40</v>
      </c>
    </row>
    <row r="213" spans="1:7" s="70" customFormat="1" ht="11.5" customHeight="1">
      <c r="A213" s="259"/>
      <c r="B213" s="278">
        <v>2003</v>
      </c>
      <c r="C213" s="205">
        <v>856</v>
      </c>
      <c r="D213" s="62">
        <v>127</v>
      </c>
      <c r="E213" s="258">
        <v>310</v>
      </c>
      <c r="F213" s="62">
        <v>204</v>
      </c>
      <c r="G213" s="279">
        <v>51</v>
      </c>
    </row>
    <row r="214" spans="1:7" s="70" customFormat="1" ht="9" customHeight="1">
      <c r="A214" s="259"/>
      <c r="B214" s="278">
        <v>2004</v>
      </c>
      <c r="C214" s="205">
        <v>838</v>
      </c>
      <c r="D214" s="62">
        <v>115</v>
      </c>
      <c r="E214" s="258">
        <v>276</v>
      </c>
      <c r="F214" s="62">
        <v>238</v>
      </c>
      <c r="G214" s="279">
        <v>42</v>
      </c>
    </row>
    <row r="215" spans="1:7" s="70" customFormat="1" ht="11.5" customHeight="1">
      <c r="A215" s="259"/>
      <c r="B215" s="278">
        <v>2005</v>
      </c>
      <c r="C215" s="205">
        <v>856</v>
      </c>
      <c r="D215" s="62">
        <v>110</v>
      </c>
      <c r="E215" s="258">
        <v>296</v>
      </c>
      <c r="F215" s="62">
        <v>264</v>
      </c>
      <c r="G215" s="279">
        <v>27</v>
      </c>
    </row>
    <row r="216" spans="1:7" s="70" customFormat="1" ht="11.5" customHeight="1">
      <c r="A216" s="259"/>
      <c r="B216" s="278">
        <v>2006</v>
      </c>
      <c r="C216" s="205">
        <v>845</v>
      </c>
      <c r="D216" s="62">
        <v>127</v>
      </c>
      <c r="E216" s="258">
        <v>284</v>
      </c>
      <c r="F216" s="62">
        <v>270</v>
      </c>
      <c r="G216" s="279">
        <v>41</v>
      </c>
    </row>
    <row r="217" spans="1:7" s="70" customFormat="1" ht="11.5" customHeight="1">
      <c r="A217" s="259"/>
      <c r="B217" s="278">
        <v>2007</v>
      </c>
      <c r="C217" s="205">
        <v>785</v>
      </c>
      <c r="D217" s="62">
        <v>145</v>
      </c>
      <c r="E217" s="258">
        <v>263</v>
      </c>
      <c r="F217" s="1150" t="s">
        <v>193</v>
      </c>
      <c r="G217" s="527" t="s">
        <v>193</v>
      </c>
    </row>
    <row r="218" spans="1:7" s="70" customFormat="1" ht="11.5" customHeight="1">
      <c r="A218" s="259"/>
      <c r="B218" s="228">
        <v>2008</v>
      </c>
      <c r="C218" s="205">
        <v>862</v>
      </c>
      <c r="D218" s="62">
        <v>163</v>
      </c>
      <c r="E218" s="258">
        <v>279</v>
      </c>
      <c r="F218" s="62">
        <v>193</v>
      </c>
      <c r="G218" s="527" t="s">
        <v>193</v>
      </c>
    </row>
    <row r="219" spans="1:7" s="70" customFormat="1" ht="11.5" customHeight="1">
      <c r="A219" s="259"/>
      <c r="B219" s="228">
        <v>2009</v>
      </c>
      <c r="C219" s="205">
        <v>826</v>
      </c>
      <c r="D219" s="62">
        <v>154</v>
      </c>
      <c r="E219" s="258">
        <v>270</v>
      </c>
      <c r="F219" s="62">
        <v>193</v>
      </c>
      <c r="G219" s="527" t="s">
        <v>193</v>
      </c>
    </row>
    <row r="220" spans="1:7" s="70" customFormat="1" ht="11.5" customHeight="1">
      <c r="A220" s="259"/>
      <c r="B220" s="228">
        <v>2010</v>
      </c>
      <c r="C220" s="205">
        <v>516</v>
      </c>
      <c r="D220" s="62">
        <v>105</v>
      </c>
      <c r="E220" s="258">
        <v>42</v>
      </c>
      <c r="F220" s="62">
        <v>255</v>
      </c>
      <c r="G220" s="279">
        <v>39</v>
      </c>
    </row>
    <row r="221" spans="1:7" s="70" customFormat="1" ht="11.5" customHeight="1">
      <c r="A221" s="259"/>
      <c r="B221" s="228">
        <v>2011</v>
      </c>
      <c r="C221" s="205">
        <v>240</v>
      </c>
      <c r="D221" s="62">
        <v>57</v>
      </c>
      <c r="E221" s="258">
        <v>0</v>
      </c>
      <c r="F221" s="62">
        <v>195</v>
      </c>
      <c r="G221" s="279">
        <v>36</v>
      </c>
    </row>
    <row r="222" spans="1:7" s="70" customFormat="1" ht="11.5" customHeight="1">
      <c r="A222" s="259"/>
      <c r="B222" s="228">
        <v>2012</v>
      </c>
      <c r="C222" s="205">
        <v>18</v>
      </c>
      <c r="D222" s="62">
        <v>6</v>
      </c>
      <c r="E222" s="258">
        <v>0</v>
      </c>
      <c r="F222" s="62">
        <v>180</v>
      </c>
      <c r="G222" s="279">
        <v>21</v>
      </c>
    </row>
    <row r="223" spans="1:7" s="70" customFormat="1" ht="11.5" customHeight="1">
      <c r="A223" s="259"/>
      <c r="B223" s="228">
        <v>2013</v>
      </c>
      <c r="C223" s="205">
        <v>18</v>
      </c>
      <c r="D223" s="62">
        <v>3</v>
      </c>
      <c r="E223" s="258">
        <v>3</v>
      </c>
      <c r="F223" s="62">
        <v>18</v>
      </c>
      <c r="G223" s="279">
        <v>51</v>
      </c>
    </row>
    <row r="224" spans="1:7" s="70" customFormat="1" ht="11.5" customHeight="1">
      <c r="A224" s="259"/>
      <c r="B224" s="228">
        <v>2014</v>
      </c>
      <c r="C224" s="205">
        <v>12</v>
      </c>
      <c r="D224" s="62">
        <v>0</v>
      </c>
      <c r="E224" s="258">
        <v>0</v>
      </c>
      <c r="F224" s="62">
        <v>3</v>
      </c>
      <c r="G224" s="279">
        <v>60</v>
      </c>
    </row>
    <row r="225" spans="1:7" s="70" customFormat="1" ht="11.5" customHeight="1">
      <c r="A225" s="259"/>
      <c r="B225" s="1324">
        <v>2015</v>
      </c>
      <c r="C225" s="1286">
        <v>9</v>
      </c>
      <c r="D225" s="1287">
        <v>3</v>
      </c>
      <c r="E225" s="1288">
        <v>0</v>
      </c>
      <c r="F225" s="1287">
        <v>9</v>
      </c>
      <c r="G225" s="1289">
        <v>45</v>
      </c>
    </row>
    <row r="226" spans="1:7" s="70" customFormat="1" ht="2.5" customHeight="1">
      <c r="A226" s="259"/>
      <c r="B226" s="228"/>
      <c r="C226" s="205"/>
      <c r="D226" s="62"/>
      <c r="E226" s="258"/>
      <c r="F226" s="62"/>
      <c r="G226" s="279"/>
    </row>
    <row r="227" spans="1:7" s="70" customFormat="1" ht="2.5" customHeight="1">
      <c r="A227" s="1385"/>
      <c r="B227" s="1386"/>
      <c r="C227" s="1381"/>
      <c r="D227" s="1382"/>
      <c r="E227" s="1383"/>
      <c r="F227" s="1382"/>
      <c r="G227" s="1384"/>
    </row>
    <row r="228" spans="1:7" s="70" customFormat="1" ht="11.5" customHeight="1">
      <c r="A228" s="1149" t="s">
        <v>325</v>
      </c>
      <c r="B228" s="228">
        <v>2013</v>
      </c>
      <c r="C228" s="302">
        <v>15</v>
      </c>
      <c r="D228" s="303">
        <v>10</v>
      </c>
      <c r="E228" s="258">
        <v>18</v>
      </c>
      <c r="F228" s="1150">
        <v>0</v>
      </c>
      <c r="G228" s="527">
        <v>0</v>
      </c>
    </row>
    <row r="229" spans="1:7" s="70" customFormat="1" ht="11.5" customHeight="1">
      <c r="A229" s="1149" t="s">
        <v>326</v>
      </c>
      <c r="B229" s="228">
        <v>2014</v>
      </c>
      <c r="C229" s="302">
        <v>48</v>
      </c>
      <c r="D229" s="303">
        <v>30</v>
      </c>
      <c r="E229" s="732">
        <v>30</v>
      </c>
      <c r="F229" s="1150">
        <v>0</v>
      </c>
      <c r="G229" s="527">
        <v>0</v>
      </c>
    </row>
    <row r="230" spans="1:7" s="70" customFormat="1" ht="11.5" customHeight="1">
      <c r="A230" s="1149"/>
      <c r="B230" s="1324">
        <v>2015</v>
      </c>
      <c r="C230" s="1364">
        <v>81</v>
      </c>
      <c r="D230" s="1365">
        <v>51</v>
      </c>
      <c r="E230" s="1366">
        <v>36</v>
      </c>
      <c r="F230" s="1150">
        <v>3</v>
      </c>
      <c r="G230" s="527">
        <v>0</v>
      </c>
    </row>
    <row r="231" spans="1:7" s="70" customFormat="1" ht="3.65" customHeight="1" thickBot="1">
      <c r="A231" s="281"/>
      <c r="B231" s="301"/>
      <c r="C231" s="231"/>
      <c r="D231" s="232"/>
      <c r="E231" s="1155"/>
      <c r="F231" s="232"/>
      <c r="G231" s="233"/>
    </row>
    <row r="232" spans="1:7" s="70" customFormat="1" ht="6" customHeight="1">
      <c r="A232" s="179"/>
      <c r="B232" s="226"/>
      <c r="C232" s="225"/>
      <c r="D232" s="225"/>
      <c r="E232" s="62"/>
      <c r="F232" s="225"/>
      <c r="G232" s="225"/>
    </row>
    <row r="233" spans="1:7" s="70" customFormat="1" ht="11.6">
      <c r="A233" s="1639" t="s">
        <v>207</v>
      </c>
      <c r="B233" s="1639"/>
      <c r="C233" s="1639"/>
      <c r="D233" s="1639"/>
      <c r="E233" s="1639"/>
      <c r="F233" s="1639"/>
      <c r="G233" s="1639"/>
    </row>
    <row r="234" spans="1:7" s="70" customFormat="1" ht="5.25" customHeight="1">
      <c r="A234" s="162"/>
      <c r="B234" s="226"/>
      <c r="C234" s="225"/>
      <c r="D234" s="225"/>
      <c r="E234" s="225"/>
      <c r="F234" s="225"/>
      <c r="G234" s="225"/>
    </row>
    <row r="235" spans="1:7" s="70" customFormat="1" ht="11.6">
      <c r="A235" s="1632" t="s">
        <v>113</v>
      </c>
      <c r="B235" s="1632"/>
      <c r="C235" s="1632"/>
      <c r="D235" s="1632"/>
      <c r="E235" s="1632"/>
      <c r="F235" s="1632"/>
      <c r="G235" s="1632"/>
    </row>
    <row r="236" spans="1:7" s="70" customFormat="1" ht="3.65" customHeight="1" thickBot="1">
      <c r="A236" s="322"/>
      <c r="B236" s="323"/>
      <c r="C236" s="324"/>
      <c r="D236" s="324"/>
      <c r="E236" s="324"/>
      <c r="F236" s="324"/>
      <c r="G236" s="324"/>
    </row>
    <row r="237" spans="1:7" s="70" customFormat="1" ht="13.5" customHeight="1">
      <c r="A237" s="1634" t="s">
        <v>72</v>
      </c>
      <c r="B237" s="1628" t="s">
        <v>118</v>
      </c>
      <c r="C237" s="1621" t="s">
        <v>219</v>
      </c>
      <c r="D237" s="1622"/>
      <c r="E237" s="1623"/>
      <c r="F237" s="703" t="s">
        <v>220</v>
      </c>
      <c r="G237" s="291"/>
    </row>
    <row r="238" spans="1:7" s="70" customFormat="1" ht="10.3">
      <c r="A238" s="1634"/>
      <c r="B238" s="1628"/>
      <c r="C238" s="292" t="s">
        <v>122</v>
      </c>
      <c r="D238" s="293"/>
      <c r="E238" s="264" t="s">
        <v>119</v>
      </c>
      <c r="F238" s="1640" t="s">
        <v>323</v>
      </c>
      <c r="G238" s="1643" t="s">
        <v>324</v>
      </c>
    </row>
    <row r="239" spans="1:7" s="70" customFormat="1" ht="13.5" customHeight="1">
      <c r="A239" s="1634"/>
      <c r="B239" s="1628"/>
      <c r="C239" s="1630" t="s">
        <v>94</v>
      </c>
      <c r="D239" s="294" t="s">
        <v>5</v>
      </c>
      <c r="E239" s="213" t="s">
        <v>120</v>
      </c>
      <c r="F239" s="1641"/>
      <c r="G239" s="1644"/>
    </row>
    <row r="240" spans="1:7" s="70" customFormat="1" ht="10.3">
      <c r="A240" s="1635"/>
      <c r="B240" s="1629"/>
      <c r="C240" s="1631"/>
      <c r="D240" s="295" t="s">
        <v>93</v>
      </c>
      <c r="E240" s="214" t="s">
        <v>121</v>
      </c>
      <c r="F240" s="1642"/>
      <c r="G240" s="1645"/>
    </row>
    <row r="241" spans="1:7" s="70" customFormat="1" ht="3.65" customHeight="1">
      <c r="A241" s="296"/>
      <c r="B241" s="278"/>
      <c r="C241" s="298"/>
      <c r="D241" s="62"/>
      <c r="E241" s="299"/>
      <c r="F241" s="62"/>
      <c r="G241" s="279"/>
    </row>
    <row r="242" spans="1:7" s="70" customFormat="1" ht="11.5" customHeight="1">
      <c r="A242" s="1148" t="s">
        <v>128</v>
      </c>
      <c r="B242" s="278">
        <v>2001</v>
      </c>
      <c r="C242" s="205">
        <v>40</v>
      </c>
      <c r="D242" s="62">
        <v>26</v>
      </c>
      <c r="E242" s="258">
        <v>12</v>
      </c>
      <c r="F242" s="62">
        <v>10</v>
      </c>
      <c r="G242" s="279">
        <v>0</v>
      </c>
    </row>
    <row r="243" spans="1:7" s="70" customFormat="1" ht="11.5" customHeight="1">
      <c r="A243" s="1148" t="s">
        <v>129</v>
      </c>
      <c r="B243" s="278">
        <v>2002</v>
      </c>
      <c r="C243" s="205">
        <v>34</v>
      </c>
      <c r="D243" s="62">
        <v>20</v>
      </c>
      <c r="E243" s="258">
        <v>14</v>
      </c>
      <c r="F243" s="62">
        <v>13</v>
      </c>
      <c r="G243" s="279">
        <v>0</v>
      </c>
    </row>
    <row r="244" spans="1:7" s="70" customFormat="1" ht="11.5" customHeight="1">
      <c r="A244" s="1148" t="s">
        <v>86</v>
      </c>
      <c r="B244" s="278">
        <v>2003</v>
      </c>
      <c r="C244" s="205">
        <v>33</v>
      </c>
      <c r="D244" s="62">
        <v>22</v>
      </c>
      <c r="E244" s="258">
        <v>12</v>
      </c>
      <c r="F244" s="62">
        <v>4</v>
      </c>
      <c r="G244" s="279">
        <v>0</v>
      </c>
    </row>
    <row r="245" spans="1:7" s="70" customFormat="1" ht="11.5" customHeight="1">
      <c r="A245" s="259"/>
      <c r="B245" s="278">
        <v>2004</v>
      </c>
      <c r="C245" s="205">
        <v>34</v>
      </c>
      <c r="D245" s="62">
        <v>23</v>
      </c>
      <c r="E245" s="258">
        <v>11</v>
      </c>
      <c r="F245" s="62">
        <v>10</v>
      </c>
      <c r="G245" s="279">
        <v>0</v>
      </c>
    </row>
    <row r="246" spans="1:7" s="70" customFormat="1" ht="11.5" customHeight="1">
      <c r="A246" s="259"/>
      <c r="B246" s="278">
        <v>2005</v>
      </c>
      <c r="C246" s="205">
        <v>26</v>
      </c>
      <c r="D246" s="62">
        <v>17</v>
      </c>
      <c r="E246" s="258">
        <v>9</v>
      </c>
      <c r="F246" s="62">
        <v>8</v>
      </c>
      <c r="G246" s="279">
        <v>0</v>
      </c>
    </row>
    <row r="247" spans="1:7" s="70" customFormat="1" ht="11.5" customHeight="1">
      <c r="A247" s="259"/>
      <c r="B247" s="278">
        <v>2006</v>
      </c>
      <c r="C247" s="205">
        <v>28</v>
      </c>
      <c r="D247" s="62">
        <v>17</v>
      </c>
      <c r="E247" s="258">
        <v>8</v>
      </c>
      <c r="F247" s="62">
        <v>11</v>
      </c>
      <c r="G247" s="279">
        <v>0</v>
      </c>
    </row>
    <row r="248" spans="1:7" s="70" customFormat="1" ht="11.5" customHeight="1">
      <c r="A248" s="259"/>
      <c r="B248" s="278">
        <v>2007</v>
      </c>
      <c r="C248" s="205">
        <v>25</v>
      </c>
      <c r="D248" s="62">
        <v>15</v>
      </c>
      <c r="E248" s="258">
        <v>8</v>
      </c>
      <c r="F248" s="1150" t="s">
        <v>193</v>
      </c>
      <c r="G248" s="279">
        <v>0</v>
      </c>
    </row>
    <row r="249" spans="1:7" s="70" customFormat="1" ht="11.5" customHeight="1">
      <c r="A249" s="262"/>
      <c r="B249" s="278">
        <v>2008</v>
      </c>
      <c r="C249" s="205">
        <v>26</v>
      </c>
      <c r="D249" s="62">
        <v>14</v>
      </c>
      <c r="E249" s="258">
        <v>10</v>
      </c>
      <c r="F249" s="62">
        <v>0</v>
      </c>
      <c r="G249" s="279">
        <v>0</v>
      </c>
    </row>
    <row r="250" spans="1:7" s="70" customFormat="1" ht="11.5" customHeight="1">
      <c r="A250" s="262"/>
      <c r="B250" s="278">
        <v>2009</v>
      </c>
      <c r="C250" s="205">
        <v>27</v>
      </c>
      <c r="D250" s="62">
        <v>13</v>
      </c>
      <c r="E250" s="258">
        <v>9</v>
      </c>
      <c r="F250" s="62">
        <v>0</v>
      </c>
      <c r="G250" s="279">
        <v>0</v>
      </c>
    </row>
    <row r="251" spans="1:7" s="70" customFormat="1" ht="11.5" customHeight="1">
      <c r="A251" s="262"/>
      <c r="B251" s="278">
        <v>2010</v>
      </c>
      <c r="C251" s="205">
        <v>27</v>
      </c>
      <c r="D251" s="62">
        <v>15</v>
      </c>
      <c r="E251" s="258">
        <v>9</v>
      </c>
      <c r="F251" s="62">
        <v>6</v>
      </c>
      <c r="G251" s="279">
        <v>0</v>
      </c>
    </row>
    <row r="252" spans="1:7" s="70" customFormat="1" ht="11.5" customHeight="1">
      <c r="A252" s="262"/>
      <c r="B252" s="278">
        <v>2011</v>
      </c>
      <c r="C252" s="205">
        <v>27</v>
      </c>
      <c r="D252" s="62">
        <v>15</v>
      </c>
      <c r="E252" s="258">
        <v>12</v>
      </c>
      <c r="F252" s="62">
        <v>9</v>
      </c>
      <c r="G252" s="279">
        <v>0</v>
      </c>
    </row>
    <row r="253" spans="1:7" s="70" customFormat="1" ht="11.5" customHeight="1">
      <c r="A253" s="262"/>
      <c r="B253" s="278">
        <v>2012</v>
      </c>
      <c r="C253" s="205">
        <v>27</v>
      </c>
      <c r="D253" s="62">
        <v>15</v>
      </c>
      <c r="E253" s="258">
        <v>12</v>
      </c>
      <c r="F253" s="62">
        <v>9</v>
      </c>
      <c r="G253" s="279">
        <v>0</v>
      </c>
    </row>
    <row r="254" spans="1:7" s="70" customFormat="1" ht="11.5" customHeight="1">
      <c r="A254" s="1020"/>
      <c r="B254" s="278">
        <v>2013</v>
      </c>
      <c r="C254" s="205">
        <v>21</v>
      </c>
      <c r="D254" s="62">
        <v>9</v>
      </c>
      <c r="E254" s="258">
        <v>3</v>
      </c>
      <c r="F254" s="62">
        <v>12</v>
      </c>
      <c r="G254" s="279">
        <v>0</v>
      </c>
    </row>
    <row r="255" spans="1:7" s="70" customFormat="1" ht="11.5" customHeight="1">
      <c r="A255" s="262"/>
      <c r="B255" s="278">
        <v>2014</v>
      </c>
      <c r="C255" s="205">
        <v>9</v>
      </c>
      <c r="D255" s="62">
        <v>3</v>
      </c>
      <c r="E255" s="258">
        <v>0</v>
      </c>
      <c r="F255" s="62">
        <v>6</v>
      </c>
      <c r="G255" s="279">
        <v>0</v>
      </c>
    </row>
    <row r="256" spans="1:7" s="70" customFormat="1" ht="11.5" customHeight="1">
      <c r="A256" s="1340"/>
      <c r="B256" s="1290">
        <v>2015</v>
      </c>
      <c r="C256" s="1352" t="s">
        <v>193</v>
      </c>
      <c r="D256" s="1150" t="s">
        <v>193</v>
      </c>
      <c r="E256" s="1351" t="s">
        <v>193</v>
      </c>
      <c r="F256" s="1287">
        <v>12</v>
      </c>
      <c r="G256" s="1289">
        <v>0</v>
      </c>
    </row>
    <row r="257" spans="1:7" s="70" customFormat="1" ht="3.65" customHeight="1">
      <c r="A257" s="1354"/>
      <c r="B257" s="297"/>
      <c r="C257" s="205"/>
      <c r="D257" s="62"/>
      <c r="E257" s="258"/>
      <c r="F257" s="62"/>
      <c r="G257" s="279"/>
    </row>
    <row r="258" spans="1:7" s="70" customFormat="1" ht="3.65" customHeight="1">
      <c r="A258" s="1379"/>
      <c r="B258" s="1380"/>
      <c r="C258" s="1381"/>
      <c r="D258" s="1382"/>
      <c r="E258" s="1383"/>
      <c r="F258" s="1382"/>
      <c r="G258" s="1384"/>
    </row>
    <row r="259" spans="1:7" s="70" customFormat="1" ht="11.25" customHeight="1">
      <c r="A259" s="1148" t="s">
        <v>197</v>
      </c>
      <c r="B259" s="278">
        <v>2011</v>
      </c>
      <c r="C259" s="205">
        <v>462</v>
      </c>
      <c r="D259" s="62">
        <v>105</v>
      </c>
      <c r="E259" s="258">
        <v>252</v>
      </c>
      <c r="F259" s="62">
        <v>0</v>
      </c>
      <c r="G259" s="279">
        <v>0</v>
      </c>
    </row>
    <row r="260" spans="1:7" s="70" customFormat="1" ht="11.25" customHeight="1">
      <c r="A260" s="1148" t="s">
        <v>198</v>
      </c>
      <c r="B260" s="278">
        <v>2012</v>
      </c>
      <c r="C260" s="205">
        <v>681</v>
      </c>
      <c r="D260" s="62">
        <v>153</v>
      </c>
      <c r="E260" s="258">
        <v>246</v>
      </c>
      <c r="F260" s="62">
        <v>27</v>
      </c>
      <c r="G260" s="279">
        <v>0</v>
      </c>
    </row>
    <row r="261" spans="1:7" s="70" customFormat="1" ht="11.25" customHeight="1">
      <c r="A261" s="259"/>
      <c r="B261" s="278">
        <v>2013</v>
      </c>
      <c r="C261" s="205">
        <v>663</v>
      </c>
      <c r="D261" s="62">
        <v>162</v>
      </c>
      <c r="E261" s="258">
        <v>237</v>
      </c>
      <c r="F261" s="62">
        <v>195</v>
      </c>
      <c r="G261" s="279">
        <v>0</v>
      </c>
    </row>
    <row r="262" spans="1:7" s="70" customFormat="1" ht="11.25" customHeight="1">
      <c r="A262" s="259"/>
      <c r="B262" s="278">
        <v>2014</v>
      </c>
      <c r="C262" s="205">
        <v>711</v>
      </c>
      <c r="D262" s="62">
        <v>174</v>
      </c>
      <c r="E262" s="258">
        <v>282</v>
      </c>
      <c r="F262" s="62">
        <v>213</v>
      </c>
      <c r="G262" s="279">
        <v>0</v>
      </c>
    </row>
    <row r="263" spans="1:7" s="70" customFormat="1" ht="11.25" customHeight="1">
      <c r="A263" s="259"/>
      <c r="B263" s="1290">
        <v>2015</v>
      </c>
      <c r="C263" s="1286">
        <v>747</v>
      </c>
      <c r="D263" s="1287">
        <v>174</v>
      </c>
      <c r="E263" s="1288">
        <v>285</v>
      </c>
      <c r="F263" s="1287">
        <v>216</v>
      </c>
      <c r="G263" s="1289">
        <v>0</v>
      </c>
    </row>
    <row r="264" spans="1:7" s="70" customFormat="1" ht="3.65" customHeight="1">
      <c r="A264" s="1354"/>
      <c r="B264" s="297"/>
      <c r="C264" s="205"/>
      <c r="D264" s="62"/>
      <c r="E264" s="258"/>
      <c r="F264" s="62"/>
      <c r="G264" s="279"/>
    </row>
    <row r="265" spans="1:7" s="70" customFormat="1" ht="3.65" customHeight="1">
      <c r="A265" s="1379"/>
      <c r="B265" s="1380"/>
      <c r="C265" s="1381"/>
      <c r="D265" s="1382"/>
      <c r="E265" s="1383"/>
      <c r="F265" s="1382"/>
      <c r="G265" s="1384"/>
    </row>
    <row r="266" spans="1:7" s="70" customFormat="1" ht="11.5" customHeight="1">
      <c r="A266" s="1148" t="s">
        <v>87</v>
      </c>
      <c r="B266" s="278">
        <v>2001</v>
      </c>
      <c r="C266" s="205">
        <v>490</v>
      </c>
      <c r="D266" s="62">
        <v>431</v>
      </c>
      <c r="E266" s="258">
        <v>173</v>
      </c>
      <c r="F266" s="62">
        <v>187</v>
      </c>
      <c r="G266" s="279">
        <v>10</v>
      </c>
    </row>
    <row r="267" spans="1:7" s="70" customFormat="1" ht="11.5" customHeight="1">
      <c r="A267" s="1148" t="s">
        <v>86</v>
      </c>
      <c r="B267" s="278">
        <v>2002</v>
      </c>
      <c r="C267" s="205">
        <v>505</v>
      </c>
      <c r="D267" s="62">
        <v>419</v>
      </c>
      <c r="E267" s="258">
        <v>179</v>
      </c>
      <c r="F267" s="62">
        <v>159</v>
      </c>
      <c r="G267" s="279">
        <v>15</v>
      </c>
    </row>
    <row r="268" spans="1:7" s="70" customFormat="1" ht="11.5" customHeight="1">
      <c r="A268" s="259"/>
      <c r="B268" s="278">
        <v>2003</v>
      </c>
      <c r="C268" s="205">
        <v>517</v>
      </c>
      <c r="D268" s="62">
        <v>440</v>
      </c>
      <c r="E268" s="258">
        <v>180</v>
      </c>
      <c r="F268" s="62">
        <v>153</v>
      </c>
      <c r="G268" s="279">
        <v>18</v>
      </c>
    </row>
    <row r="269" spans="1:7" s="70" customFormat="1" ht="11.5" customHeight="1">
      <c r="A269" s="259"/>
      <c r="B269" s="278">
        <v>2004</v>
      </c>
      <c r="C269" s="205">
        <v>508</v>
      </c>
      <c r="D269" s="62">
        <v>425</v>
      </c>
      <c r="E269" s="258">
        <v>177</v>
      </c>
      <c r="F269" s="62">
        <v>159</v>
      </c>
      <c r="G269" s="279">
        <v>21</v>
      </c>
    </row>
    <row r="270" spans="1:7" s="70" customFormat="1" ht="11.5" customHeight="1">
      <c r="A270" s="259"/>
      <c r="B270" s="278">
        <v>2005</v>
      </c>
      <c r="C270" s="205">
        <v>492</v>
      </c>
      <c r="D270" s="62">
        <v>426</v>
      </c>
      <c r="E270" s="258">
        <v>158</v>
      </c>
      <c r="F270" s="62">
        <v>172</v>
      </c>
      <c r="G270" s="279">
        <v>12</v>
      </c>
    </row>
    <row r="271" spans="1:7" s="70" customFormat="1" ht="11.5" customHeight="1">
      <c r="A271" s="259"/>
      <c r="B271" s="278">
        <v>2006</v>
      </c>
      <c r="C271" s="205">
        <v>496</v>
      </c>
      <c r="D271" s="62">
        <v>419</v>
      </c>
      <c r="E271" s="258">
        <v>171</v>
      </c>
      <c r="F271" s="62">
        <v>161</v>
      </c>
      <c r="G271" s="279">
        <v>14</v>
      </c>
    </row>
    <row r="272" spans="1:7" s="70" customFormat="1" ht="11.5" customHeight="1">
      <c r="A272" s="259"/>
      <c r="B272" s="278">
        <v>2007</v>
      </c>
      <c r="C272" s="205">
        <v>419</v>
      </c>
      <c r="D272" s="62">
        <v>356</v>
      </c>
      <c r="E272" s="258">
        <v>146</v>
      </c>
      <c r="F272" s="1150" t="s">
        <v>193</v>
      </c>
      <c r="G272" s="527" t="s">
        <v>193</v>
      </c>
    </row>
    <row r="273" spans="1:7" s="70" customFormat="1" ht="11.5" customHeight="1">
      <c r="A273" s="238"/>
      <c r="B273" s="228">
        <v>2008</v>
      </c>
      <c r="C273" s="205">
        <v>506</v>
      </c>
      <c r="D273" s="62">
        <v>411</v>
      </c>
      <c r="E273" s="258">
        <v>176</v>
      </c>
      <c r="F273" s="62">
        <v>120</v>
      </c>
      <c r="G273" s="527" t="s">
        <v>193</v>
      </c>
    </row>
    <row r="274" spans="1:7" s="70" customFormat="1" ht="11.5" customHeight="1">
      <c r="A274" s="238"/>
      <c r="B274" s="228">
        <v>2009</v>
      </c>
      <c r="C274" s="205">
        <v>527</v>
      </c>
      <c r="D274" s="62">
        <v>429</v>
      </c>
      <c r="E274" s="258">
        <v>177</v>
      </c>
      <c r="F274" s="62">
        <v>65</v>
      </c>
      <c r="G274" s="527" t="s">
        <v>193</v>
      </c>
    </row>
    <row r="275" spans="1:7" s="70" customFormat="1" ht="11.5" customHeight="1">
      <c r="A275" s="238"/>
      <c r="B275" s="228">
        <v>2010</v>
      </c>
      <c r="C275" s="205">
        <v>465</v>
      </c>
      <c r="D275" s="62">
        <v>390</v>
      </c>
      <c r="E275" s="258">
        <v>156</v>
      </c>
      <c r="F275" s="62">
        <v>147</v>
      </c>
      <c r="G275" s="279">
        <v>18</v>
      </c>
    </row>
    <row r="276" spans="1:7" s="70" customFormat="1" ht="11.5" customHeight="1">
      <c r="A276" s="238"/>
      <c r="B276" s="228">
        <v>2011</v>
      </c>
      <c r="C276" s="205">
        <v>471</v>
      </c>
      <c r="D276" s="62">
        <v>384</v>
      </c>
      <c r="E276" s="258">
        <v>156</v>
      </c>
      <c r="F276" s="62">
        <v>141</v>
      </c>
      <c r="G276" s="279">
        <v>24</v>
      </c>
    </row>
    <row r="277" spans="1:7" s="70" customFormat="1" ht="11.5" customHeight="1">
      <c r="A277" s="238"/>
      <c r="B277" s="228">
        <v>2012</v>
      </c>
      <c r="C277" s="205">
        <v>483</v>
      </c>
      <c r="D277" s="62">
        <v>387</v>
      </c>
      <c r="E277" s="258">
        <v>177</v>
      </c>
      <c r="F277" s="62">
        <v>156</v>
      </c>
      <c r="G277" s="279">
        <v>24</v>
      </c>
    </row>
    <row r="278" spans="1:7" s="70" customFormat="1" ht="11.5" customHeight="1">
      <c r="A278" s="238"/>
      <c r="B278" s="228">
        <v>2013</v>
      </c>
      <c r="C278" s="205">
        <v>489</v>
      </c>
      <c r="D278" s="62">
        <v>384</v>
      </c>
      <c r="E278" s="258">
        <v>171</v>
      </c>
      <c r="F278" s="62">
        <v>159</v>
      </c>
      <c r="G278" s="279">
        <v>21</v>
      </c>
    </row>
    <row r="279" spans="1:7" s="70" customFormat="1" ht="11.5" customHeight="1">
      <c r="A279" s="238"/>
      <c r="B279" s="228">
        <v>2014</v>
      </c>
      <c r="C279" s="205">
        <v>504</v>
      </c>
      <c r="D279" s="62">
        <v>396</v>
      </c>
      <c r="E279" s="258">
        <v>171</v>
      </c>
      <c r="F279" s="62">
        <v>123</v>
      </c>
      <c r="G279" s="279">
        <v>15</v>
      </c>
    </row>
    <row r="280" spans="1:7" s="70" customFormat="1" ht="11.5" customHeight="1">
      <c r="A280" s="238"/>
      <c r="B280" s="1324">
        <v>2015</v>
      </c>
      <c r="C280" s="1286">
        <v>492</v>
      </c>
      <c r="D280" s="1287">
        <v>384</v>
      </c>
      <c r="E280" s="1288">
        <v>162</v>
      </c>
      <c r="F280" s="1287">
        <v>159</v>
      </c>
      <c r="G280" s="1289">
        <v>24</v>
      </c>
    </row>
    <row r="281" spans="1:7" s="70" customFormat="1" ht="3.65" customHeight="1">
      <c r="A281" s="1373"/>
      <c r="B281" s="1374"/>
      <c r="C281" s="1375"/>
      <c r="D281" s="1376"/>
      <c r="E281" s="1377"/>
      <c r="F281" s="1376"/>
      <c r="G281" s="1378"/>
    </row>
    <row r="282" spans="1:7" s="70" customFormat="1" ht="3.65" customHeight="1">
      <c r="A282" s="238"/>
      <c r="B282" s="8"/>
      <c r="C282" s="302"/>
      <c r="D282" s="303"/>
      <c r="E282" s="732"/>
      <c r="F282" s="303"/>
      <c r="G282" s="304"/>
    </row>
    <row r="283" spans="1:7" s="70" customFormat="1" ht="11.5" customHeight="1">
      <c r="A283" s="1148" t="s">
        <v>74</v>
      </c>
      <c r="B283" s="278">
        <v>2001</v>
      </c>
      <c r="C283" s="205">
        <v>361</v>
      </c>
      <c r="D283" s="62">
        <v>360</v>
      </c>
      <c r="E283" s="258">
        <v>186</v>
      </c>
      <c r="F283" s="62">
        <v>563</v>
      </c>
      <c r="G283" s="279">
        <v>112</v>
      </c>
    </row>
    <row r="284" spans="1:7" s="70" customFormat="1" ht="11.5" customHeight="1">
      <c r="A284" s="1148" t="s">
        <v>75</v>
      </c>
      <c r="B284" s="278">
        <v>2002</v>
      </c>
      <c r="C284" s="205">
        <v>281</v>
      </c>
      <c r="D284" s="62">
        <v>277</v>
      </c>
      <c r="E284" s="258">
        <v>173</v>
      </c>
      <c r="F284" s="62">
        <v>476</v>
      </c>
      <c r="G284" s="279">
        <v>117</v>
      </c>
    </row>
    <row r="285" spans="1:7" s="70" customFormat="1" ht="11.5" customHeight="1">
      <c r="A285" s="259"/>
      <c r="B285" s="278">
        <v>2003</v>
      </c>
      <c r="C285" s="205">
        <v>340</v>
      </c>
      <c r="D285" s="62">
        <v>340</v>
      </c>
      <c r="E285" s="258">
        <v>183</v>
      </c>
      <c r="F285" s="62">
        <v>395</v>
      </c>
      <c r="G285" s="279">
        <v>79</v>
      </c>
    </row>
    <row r="286" spans="1:7" s="70" customFormat="1" ht="11.5" customHeight="1">
      <c r="A286" s="259"/>
      <c r="B286" s="278">
        <v>2004</v>
      </c>
      <c r="C286" s="205">
        <v>336</v>
      </c>
      <c r="D286" s="62">
        <v>336</v>
      </c>
      <c r="E286" s="258">
        <v>175</v>
      </c>
      <c r="F286" s="62">
        <v>541</v>
      </c>
      <c r="G286" s="279">
        <v>90</v>
      </c>
    </row>
    <row r="287" spans="1:7" s="70" customFormat="1" ht="11.5" customHeight="1">
      <c r="A287" s="259"/>
      <c r="B287" s="278">
        <v>2005</v>
      </c>
      <c r="C287" s="205">
        <v>342</v>
      </c>
      <c r="D287" s="62">
        <v>341</v>
      </c>
      <c r="E287" s="258">
        <v>190</v>
      </c>
      <c r="F287" s="62">
        <v>520</v>
      </c>
      <c r="G287" s="279">
        <v>83</v>
      </c>
    </row>
    <row r="288" spans="1:7" s="70" customFormat="1" ht="11.5" customHeight="1">
      <c r="A288" s="259"/>
      <c r="B288" s="278">
        <v>2006</v>
      </c>
      <c r="C288" s="205">
        <v>302</v>
      </c>
      <c r="D288" s="62">
        <v>302</v>
      </c>
      <c r="E288" s="258">
        <v>148</v>
      </c>
      <c r="F288" s="62">
        <v>437</v>
      </c>
      <c r="G288" s="279">
        <v>82</v>
      </c>
    </row>
    <row r="289" spans="1:7" s="70" customFormat="1" ht="11.5" customHeight="1">
      <c r="A289" s="259"/>
      <c r="B289" s="278">
        <v>2007</v>
      </c>
      <c r="C289" s="205">
        <v>265</v>
      </c>
      <c r="D289" s="62">
        <v>263</v>
      </c>
      <c r="E289" s="258">
        <v>148</v>
      </c>
      <c r="F289" s="1150" t="s">
        <v>193</v>
      </c>
      <c r="G289" s="527" t="s">
        <v>193</v>
      </c>
    </row>
    <row r="290" spans="1:7" s="70" customFormat="1" ht="11.5" customHeight="1">
      <c r="A290" s="259"/>
      <c r="B290" s="278">
        <v>2008</v>
      </c>
      <c r="C290" s="205">
        <v>305</v>
      </c>
      <c r="D290" s="62">
        <v>302</v>
      </c>
      <c r="E290" s="258">
        <v>182</v>
      </c>
      <c r="F290" s="62">
        <v>59</v>
      </c>
      <c r="G290" s="527" t="s">
        <v>193</v>
      </c>
    </row>
    <row r="291" spans="1:7" s="70" customFormat="1" ht="11.5" customHeight="1">
      <c r="A291" s="259"/>
      <c r="B291" s="278">
        <v>2009</v>
      </c>
      <c r="C291" s="205">
        <v>259</v>
      </c>
      <c r="D291" s="62">
        <v>256</v>
      </c>
      <c r="E291" s="258">
        <v>113</v>
      </c>
      <c r="F291" s="62">
        <v>36</v>
      </c>
      <c r="G291" s="279">
        <v>96</v>
      </c>
    </row>
    <row r="292" spans="1:7" s="70" customFormat="1" ht="11.5" customHeight="1">
      <c r="A292" s="259"/>
      <c r="B292" s="278">
        <v>2010</v>
      </c>
      <c r="C292" s="205">
        <v>228</v>
      </c>
      <c r="D292" s="62">
        <v>225</v>
      </c>
      <c r="E292" s="258">
        <v>123</v>
      </c>
      <c r="F292" s="62">
        <v>117</v>
      </c>
      <c r="G292" s="279">
        <v>45</v>
      </c>
    </row>
    <row r="293" spans="1:7" s="70" customFormat="1" ht="11.5" customHeight="1">
      <c r="A293" s="259"/>
      <c r="B293" s="278">
        <v>2011</v>
      </c>
      <c r="C293" s="205">
        <v>213</v>
      </c>
      <c r="D293" s="62">
        <v>213</v>
      </c>
      <c r="E293" s="258">
        <v>108</v>
      </c>
      <c r="F293" s="62">
        <v>93</v>
      </c>
      <c r="G293" s="279">
        <v>30</v>
      </c>
    </row>
    <row r="294" spans="1:7" s="70" customFormat="1" ht="11.5" customHeight="1">
      <c r="A294" s="259"/>
      <c r="B294" s="278">
        <v>2012</v>
      </c>
      <c r="C294" s="205">
        <v>183</v>
      </c>
      <c r="D294" s="62">
        <v>183</v>
      </c>
      <c r="E294" s="258">
        <v>96</v>
      </c>
      <c r="F294" s="62">
        <v>102</v>
      </c>
      <c r="G294" s="279">
        <v>105</v>
      </c>
    </row>
    <row r="295" spans="1:7" s="70" customFormat="1" ht="11.5" customHeight="1">
      <c r="A295" s="259"/>
      <c r="B295" s="278">
        <v>2013</v>
      </c>
      <c r="C295" s="205">
        <v>159</v>
      </c>
      <c r="D295" s="62">
        <v>159</v>
      </c>
      <c r="E295" s="258">
        <v>87</v>
      </c>
      <c r="F295" s="62">
        <v>84</v>
      </c>
      <c r="G295" s="279">
        <v>60</v>
      </c>
    </row>
    <row r="296" spans="1:7" s="70" customFormat="1" ht="11.5" customHeight="1">
      <c r="A296" s="259"/>
      <c r="B296" s="278">
        <v>2014</v>
      </c>
      <c r="C296" s="205">
        <v>144</v>
      </c>
      <c r="D296" s="62">
        <v>144</v>
      </c>
      <c r="E296" s="258">
        <v>84</v>
      </c>
      <c r="F296" s="62">
        <v>78</v>
      </c>
      <c r="G296" s="279">
        <v>66</v>
      </c>
    </row>
    <row r="297" spans="1:7" s="70" customFormat="1" ht="11.5" customHeight="1">
      <c r="A297" s="259"/>
      <c r="B297" s="1324">
        <v>2015</v>
      </c>
      <c r="C297" s="1286">
        <v>141</v>
      </c>
      <c r="D297" s="1287">
        <v>138</v>
      </c>
      <c r="E297" s="1288">
        <v>72</v>
      </c>
      <c r="F297" s="1287">
        <v>57</v>
      </c>
      <c r="G297" s="1289">
        <v>54</v>
      </c>
    </row>
    <row r="298" spans="1:7" s="7" customFormat="1" ht="3.65" customHeight="1">
      <c r="A298" s="1367"/>
      <c r="B298" s="1368"/>
      <c r="C298" s="1369"/>
      <c r="D298" s="1370"/>
      <c r="E298" s="1371"/>
      <c r="F298" s="1370"/>
      <c r="G298" s="1372"/>
    </row>
    <row r="299" spans="1:7" s="7" customFormat="1" ht="3.65" customHeight="1">
      <c r="A299" s="1354"/>
      <c r="B299" s="260"/>
      <c r="C299" s="205"/>
      <c r="D299" s="62"/>
      <c r="E299" s="258"/>
      <c r="F299" s="62"/>
      <c r="G299" s="279"/>
    </row>
    <row r="300" spans="1:7" s="70" customFormat="1" ht="11.5" customHeight="1">
      <c r="A300" s="1148" t="s">
        <v>109</v>
      </c>
      <c r="B300" s="288">
        <v>2001</v>
      </c>
      <c r="C300" s="205">
        <v>37530</v>
      </c>
      <c r="D300" s="86">
        <v>10223</v>
      </c>
      <c r="E300" s="258">
        <v>14039</v>
      </c>
      <c r="F300" s="62">
        <v>13116</v>
      </c>
      <c r="G300" s="279">
        <v>1658</v>
      </c>
    </row>
    <row r="301" spans="1:7" s="70" customFormat="1" ht="11.5" customHeight="1">
      <c r="A301" s="1148" t="s">
        <v>114</v>
      </c>
      <c r="B301" s="288">
        <v>2002</v>
      </c>
      <c r="C301" s="205">
        <v>36914</v>
      </c>
      <c r="D301" s="86">
        <v>9762</v>
      </c>
      <c r="E301" s="258">
        <v>14612</v>
      </c>
      <c r="F301" s="62">
        <v>12586</v>
      </c>
      <c r="G301" s="279">
        <v>1782</v>
      </c>
    </row>
    <row r="302" spans="1:7" s="70" customFormat="1" ht="11.5" customHeight="1">
      <c r="A302" s="1148" t="s">
        <v>123</v>
      </c>
      <c r="B302" s="288">
        <v>2003</v>
      </c>
      <c r="C302" s="205">
        <v>37986</v>
      </c>
      <c r="D302" s="86">
        <v>9649</v>
      </c>
      <c r="E302" s="258">
        <v>14951</v>
      </c>
      <c r="F302" s="62">
        <v>11761</v>
      </c>
      <c r="G302" s="279">
        <v>1672</v>
      </c>
    </row>
    <row r="303" spans="1:7" s="70" customFormat="1" ht="11.5" customHeight="1">
      <c r="A303" s="1148" t="s">
        <v>124</v>
      </c>
      <c r="B303" s="288">
        <v>2004</v>
      </c>
      <c r="C303" s="205">
        <v>40360</v>
      </c>
      <c r="D303" s="86">
        <v>9763</v>
      </c>
      <c r="E303" s="258">
        <v>15660</v>
      </c>
      <c r="F303" s="62">
        <v>11782</v>
      </c>
      <c r="G303" s="279">
        <v>1717</v>
      </c>
    </row>
    <row r="304" spans="1:7" s="70" customFormat="1" ht="13.5" customHeight="1">
      <c r="A304" s="1148" t="s">
        <v>334</v>
      </c>
      <c r="B304" s="288">
        <v>2005</v>
      </c>
      <c r="C304" s="205">
        <v>41095</v>
      </c>
      <c r="D304" s="86">
        <v>9569</v>
      </c>
      <c r="E304" s="258">
        <v>15274</v>
      </c>
      <c r="F304" s="62">
        <v>12581</v>
      </c>
      <c r="G304" s="279">
        <v>1440</v>
      </c>
    </row>
    <row r="305" spans="1:7" s="70" customFormat="1" ht="11.5" customHeight="1">
      <c r="A305" s="259"/>
      <c r="B305" s="288">
        <v>2006</v>
      </c>
      <c r="C305" s="205">
        <v>42025</v>
      </c>
      <c r="D305" s="86">
        <v>9412</v>
      </c>
      <c r="E305" s="258">
        <v>15814</v>
      </c>
      <c r="F305" s="62">
        <v>13080</v>
      </c>
      <c r="G305" s="279">
        <v>1452</v>
      </c>
    </row>
    <row r="306" spans="1:7" s="70" customFormat="1" ht="11.5" customHeight="1">
      <c r="A306" s="259"/>
      <c r="B306" s="288">
        <v>2007</v>
      </c>
      <c r="C306" s="205">
        <v>42887</v>
      </c>
      <c r="D306" s="86">
        <v>9623</v>
      </c>
      <c r="E306" s="258">
        <v>17616</v>
      </c>
      <c r="F306" s="1150" t="s">
        <v>193</v>
      </c>
      <c r="G306" s="527" t="s">
        <v>193</v>
      </c>
    </row>
    <row r="307" spans="1:7" s="70" customFormat="1" ht="11.5" customHeight="1">
      <c r="A307" s="307"/>
      <c r="B307" s="288">
        <v>2008</v>
      </c>
      <c r="C307" s="205">
        <v>42205</v>
      </c>
      <c r="D307" s="86">
        <v>9727</v>
      </c>
      <c r="E307" s="258">
        <v>16131</v>
      </c>
      <c r="F307" s="1154">
        <v>11892</v>
      </c>
      <c r="G307" s="527" t="s">
        <v>193</v>
      </c>
    </row>
    <row r="308" spans="1:7" s="70" customFormat="1" ht="11.5" customHeight="1">
      <c r="A308" s="307"/>
      <c r="B308" s="288">
        <v>2009</v>
      </c>
      <c r="C308" s="205">
        <v>41029</v>
      </c>
      <c r="D308" s="86">
        <v>9415</v>
      </c>
      <c r="E308" s="258">
        <v>15006</v>
      </c>
      <c r="F308" s="62">
        <v>12111</v>
      </c>
      <c r="G308" s="279">
        <v>1362</v>
      </c>
    </row>
    <row r="309" spans="1:7" s="70" customFormat="1" ht="11.5" customHeight="1">
      <c r="A309" s="307"/>
      <c r="B309" s="288">
        <v>2010</v>
      </c>
      <c r="C309" s="205">
        <v>38460</v>
      </c>
      <c r="D309" s="86">
        <v>8721</v>
      </c>
      <c r="E309" s="258">
        <v>14253</v>
      </c>
      <c r="F309" s="62">
        <v>12684</v>
      </c>
      <c r="G309" s="279">
        <v>1542</v>
      </c>
    </row>
    <row r="310" spans="1:7" s="70" customFormat="1" ht="11.5" customHeight="1">
      <c r="A310" s="307"/>
      <c r="B310" s="288">
        <v>2011</v>
      </c>
      <c r="C310" s="205">
        <v>36624</v>
      </c>
      <c r="D310" s="86">
        <v>8142</v>
      </c>
      <c r="E310" s="258">
        <v>13602</v>
      </c>
      <c r="F310" s="62">
        <v>11844</v>
      </c>
      <c r="G310" s="279">
        <v>1662</v>
      </c>
    </row>
    <row r="311" spans="1:7" s="70" customFormat="1" ht="11.5" customHeight="1">
      <c r="A311" s="307"/>
      <c r="B311" s="288">
        <v>2012</v>
      </c>
      <c r="C311" s="205">
        <v>34764</v>
      </c>
      <c r="D311" s="86">
        <v>7602</v>
      </c>
      <c r="E311" s="258">
        <v>13275</v>
      </c>
      <c r="F311" s="62">
        <v>11184</v>
      </c>
      <c r="G311" s="279">
        <v>1917</v>
      </c>
    </row>
    <row r="312" spans="1:7" s="70" customFormat="1" ht="11.5" customHeight="1">
      <c r="A312" s="307"/>
      <c r="B312" s="288">
        <v>2013</v>
      </c>
      <c r="C312" s="205">
        <v>36825</v>
      </c>
      <c r="D312" s="86">
        <v>10665</v>
      </c>
      <c r="E312" s="258">
        <v>14529</v>
      </c>
      <c r="F312" s="62">
        <v>12000</v>
      </c>
      <c r="G312" s="279">
        <v>1797</v>
      </c>
    </row>
    <row r="313" spans="1:7" s="70" customFormat="1" ht="11.5" customHeight="1">
      <c r="A313" s="307"/>
      <c r="B313" s="288">
        <v>2014</v>
      </c>
      <c r="C313" s="205">
        <v>33441</v>
      </c>
      <c r="D313" s="86">
        <v>7371</v>
      </c>
      <c r="E313" s="258">
        <v>13404</v>
      </c>
      <c r="F313" s="62">
        <v>10443</v>
      </c>
      <c r="G313" s="279">
        <v>1923</v>
      </c>
    </row>
    <row r="314" spans="1:7" s="70" customFormat="1" ht="11.5" customHeight="1">
      <c r="A314" s="307"/>
      <c r="B314" s="1333">
        <v>2015</v>
      </c>
      <c r="C314" s="1286">
        <v>33510</v>
      </c>
      <c r="D314" s="1287">
        <v>7413</v>
      </c>
      <c r="E314" s="1288">
        <v>13455</v>
      </c>
      <c r="F314" s="1287">
        <v>11958</v>
      </c>
      <c r="G314" s="1289">
        <v>2325</v>
      </c>
    </row>
    <row r="315" spans="1:7" s="70" customFormat="1" ht="6" customHeight="1" thickBot="1">
      <c r="A315" s="229"/>
      <c r="B315" s="230"/>
      <c r="C315" s="231"/>
      <c r="D315" s="232"/>
      <c r="E315" s="1153"/>
      <c r="F315" s="232"/>
      <c r="G315" s="233"/>
    </row>
    <row r="316" spans="1:7" s="70" customFormat="1" ht="3.65" customHeight="1">
      <c r="A316" s="52"/>
      <c r="B316" s="476"/>
      <c r="C316" s="62"/>
      <c r="D316" s="62"/>
      <c r="E316" s="578"/>
      <c r="F316" s="62"/>
      <c r="G316" s="62"/>
    </row>
    <row r="317" spans="1:7" s="70" customFormat="1" ht="12" customHeight="1">
      <c r="A317" s="924" t="s">
        <v>335</v>
      </c>
      <c r="B317" s="925"/>
      <c r="C317" s="926"/>
      <c r="D317" s="926"/>
      <c r="E317" s="927"/>
      <c r="F317" s="926"/>
      <c r="G317" s="926"/>
    </row>
    <row r="318" spans="1:7" s="70" customFormat="1" ht="12" customHeight="1">
      <c r="A318" s="924" t="s">
        <v>221</v>
      </c>
      <c r="B318" s="924"/>
      <c r="E318" s="928"/>
      <c r="F318" s="928"/>
      <c r="G318" s="928"/>
    </row>
    <row r="319" spans="1:7" s="70" customFormat="1" ht="12" customHeight="1">
      <c r="A319" s="924" t="s">
        <v>345</v>
      </c>
      <c r="B319" s="924"/>
      <c r="C319" s="928"/>
      <c r="F319" s="928"/>
      <c r="G319" s="928"/>
    </row>
    <row r="320" spans="1:7" ht="12" customHeight="1">
      <c r="A320" s="929" t="s">
        <v>346</v>
      </c>
      <c r="B320" s="924"/>
      <c r="C320" s="928"/>
      <c r="E320" s="928"/>
      <c r="F320" s="928"/>
      <c r="G320" s="928"/>
    </row>
    <row r="321" spans="1:7" s="70" customFormat="1" ht="12" customHeight="1">
      <c r="A321" s="929" t="s">
        <v>348</v>
      </c>
      <c r="B321" s="929"/>
      <c r="C321" s="929"/>
      <c r="D321" s="929"/>
      <c r="E321" s="929"/>
      <c r="F321" s="928"/>
      <c r="G321" s="928"/>
    </row>
    <row r="322" spans="1:7" s="70" customFormat="1" ht="12" customHeight="1">
      <c r="A322" s="924" t="s">
        <v>347</v>
      </c>
      <c r="B322" s="924"/>
      <c r="C322" s="924"/>
      <c r="D322" s="924"/>
      <c r="E322" s="924"/>
      <c r="F322" s="928"/>
      <c r="G322" s="924"/>
    </row>
    <row r="323" spans="1:7" s="70" customFormat="1" ht="10.3">
      <c r="A323" s="925"/>
      <c r="B323" s="924"/>
      <c r="C323" s="928"/>
      <c r="D323" s="928"/>
      <c r="E323" s="928"/>
      <c r="F323" s="928"/>
      <c r="G323" s="928"/>
    </row>
    <row r="324" spans="1:7" s="70" customFormat="1">
      <c r="A324" s="227"/>
      <c r="C324" s="83"/>
      <c r="D324" s="83"/>
      <c r="E324" s="83"/>
      <c r="F324" s="83"/>
      <c r="G324" s="83"/>
    </row>
    <row r="325" spans="1:7" s="70" customFormat="1">
      <c r="A325" s="227"/>
      <c r="C325" s="83"/>
      <c r="D325" s="83"/>
      <c r="E325" s="83"/>
      <c r="F325" s="83"/>
      <c r="G325" s="83"/>
    </row>
    <row r="326" spans="1:7" s="70" customFormat="1">
      <c r="A326" s="227"/>
      <c r="C326" s="83"/>
      <c r="D326" s="83"/>
      <c r="E326" s="83"/>
      <c r="F326" s="83"/>
      <c r="G326" s="83"/>
    </row>
    <row r="327" spans="1:7" s="70" customFormat="1">
      <c r="A327" s="227"/>
      <c r="C327" s="83"/>
      <c r="D327" s="83"/>
      <c r="E327" s="83"/>
      <c r="F327" s="83"/>
      <c r="G327" s="83"/>
    </row>
    <row r="328" spans="1:7" s="70" customFormat="1">
      <c r="A328" s="227"/>
      <c r="C328" s="83"/>
      <c r="D328" s="83"/>
      <c r="E328" s="83"/>
      <c r="F328" s="83"/>
      <c r="G328" s="83"/>
    </row>
    <row r="329" spans="1:7" s="70" customFormat="1">
      <c r="A329" s="227"/>
      <c r="C329" s="83"/>
      <c r="D329" s="83"/>
      <c r="E329" s="83"/>
      <c r="F329" s="83"/>
      <c r="G329" s="83"/>
    </row>
    <row r="330" spans="1:7" s="70" customFormat="1">
      <c r="A330" s="227"/>
      <c r="C330" s="83"/>
      <c r="D330" s="83"/>
      <c r="E330" s="83"/>
      <c r="F330" s="83"/>
      <c r="G330" s="83"/>
    </row>
    <row r="331" spans="1:7" s="70" customFormat="1">
      <c r="A331" s="227"/>
      <c r="C331" s="83"/>
      <c r="D331" s="83"/>
      <c r="E331" s="83"/>
      <c r="F331" s="83"/>
      <c r="G331" s="83"/>
    </row>
    <row r="332" spans="1:7" s="70" customFormat="1">
      <c r="A332" s="227"/>
      <c r="C332" s="83"/>
      <c r="D332" s="83"/>
      <c r="E332" s="83"/>
      <c r="F332" s="83"/>
      <c r="G332" s="83"/>
    </row>
    <row r="333" spans="1:7" s="70" customFormat="1">
      <c r="A333" s="227"/>
      <c r="C333" s="83"/>
      <c r="D333" s="83"/>
      <c r="E333" s="83"/>
      <c r="F333" s="83"/>
      <c r="G333" s="83"/>
    </row>
    <row r="334" spans="1:7" s="70" customFormat="1">
      <c r="A334" s="227"/>
      <c r="C334" s="83"/>
      <c r="D334" s="83"/>
      <c r="E334" s="83"/>
      <c r="F334" s="83"/>
      <c r="G334" s="83"/>
    </row>
    <row r="335" spans="1:7" s="70" customFormat="1">
      <c r="A335" s="227"/>
      <c r="C335" s="83"/>
      <c r="D335" s="83"/>
      <c r="E335" s="83"/>
      <c r="F335" s="83"/>
      <c r="G335" s="83"/>
    </row>
    <row r="336" spans="1:7" s="70" customFormat="1">
      <c r="A336" s="227"/>
      <c r="C336" s="83"/>
      <c r="D336" s="83"/>
      <c r="E336" s="83"/>
      <c r="F336" s="83"/>
      <c r="G336" s="83"/>
    </row>
    <row r="337" spans="1:7" s="70" customFormat="1">
      <c r="A337" s="227"/>
      <c r="C337" s="83"/>
      <c r="D337" s="83"/>
      <c r="E337" s="83"/>
      <c r="F337" s="83"/>
      <c r="G337" s="83"/>
    </row>
    <row r="338" spans="1:7" s="70" customFormat="1">
      <c r="A338" s="227"/>
      <c r="C338" s="83"/>
      <c r="D338" s="83"/>
      <c r="E338" s="83"/>
      <c r="F338" s="83"/>
      <c r="G338" s="83"/>
    </row>
    <row r="339" spans="1:7" s="70" customFormat="1">
      <c r="A339" s="227"/>
      <c r="C339" s="83"/>
      <c r="D339" s="83"/>
      <c r="E339" s="83"/>
      <c r="F339" s="83"/>
      <c r="G339" s="83"/>
    </row>
    <row r="340" spans="1:7" s="70" customFormat="1">
      <c r="A340" s="227"/>
      <c r="C340" s="83"/>
      <c r="D340" s="83"/>
      <c r="E340" s="83"/>
      <c r="F340" s="83"/>
      <c r="G340" s="83"/>
    </row>
    <row r="341" spans="1:7" s="70" customFormat="1">
      <c r="A341" s="227"/>
      <c r="C341" s="83"/>
      <c r="D341" s="83"/>
      <c r="E341" s="83"/>
      <c r="F341" s="83"/>
      <c r="G341" s="83"/>
    </row>
    <row r="342" spans="1:7" s="70" customFormat="1">
      <c r="A342" s="227"/>
      <c r="C342" s="83"/>
      <c r="D342" s="83"/>
      <c r="E342" s="83"/>
      <c r="F342" s="83"/>
      <c r="G342" s="83"/>
    </row>
    <row r="343" spans="1:7" s="70" customFormat="1">
      <c r="A343" s="227"/>
      <c r="C343" s="83"/>
      <c r="D343" s="83"/>
      <c r="E343" s="83"/>
      <c r="F343" s="83"/>
      <c r="G343" s="83"/>
    </row>
    <row r="344" spans="1:7" s="70" customFormat="1">
      <c r="A344" s="227"/>
      <c r="C344" s="83"/>
      <c r="D344" s="83"/>
      <c r="E344" s="83"/>
      <c r="F344" s="83"/>
      <c r="G344" s="83"/>
    </row>
    <row r="345" spans="1:7" s="70" customFormat="1">
      <c r="A345" s="227"/>
      <c r="C345" s="234"/>
      <c r="D345" s="234"/>
      <c r="E345" s="234"/>
      <c r="F345" s="234"/>
      <c r="G345" s="234"/>
    </row>
    <row r="346" spans="1:7" s="70" customFormat="1">
      <c r="A346" s="227"/>
      <c r="C346" s="234"/>
      <c r="D346" s="234"/>
      <c r="E346" s="234"/>
      <c r="F346" s="234"/>
      <c r="G346" s="234"/>
    </row>
    <row r="347" spans="1:7" s="70" customFormat="1">
      <c r="A347" s="227"/>
      <c r="C347" s="234"/>
      <c r="D347" s="234"/>
      <c r="E347" s="234"/>
      <c r="F347" s="234"/>
      <c r="G347" s="234"/>
    </row>
    <row r="348" spans="1:7" s="70" customFormat="1">
      <c r="A348" s="227"/>
      <c r="C348" s="234"/>
      <c r="D348" s="234"/>
      <c r="E348" s="234"/>
      <c r="F348" s="234"/>
      <c r="G348" s="234"/>
    </row>
    <row r="349" spans="1:7" s="70" customFormat="1">
      <c r="A349" s="227"/>
      <c r="C349" s="234"/>
      <c r="D349" s="234"/>
      <c r="E349" s="234"/>
      <c r="F349" s="234"/>
      <c r="G349" s="234"/>
    </row>
    <row r="350" spans="1:7" s="70" customFormat="1">
      <c r="A350" s="227"/>
    </row>
    <row r="351" spans="1:7" s="70" customFormat="1">
      <c r="A351" s="227"/>
      <c r="C351" s="83"/>
      <c r="D351" s="83"/>
      <c r="E351" s="83"/>
      <c r="F351" s="83"/>
      <c r="G351" s="83"/>
    </row>
    <row r="352" spans="1:7" s="70" customFormat="1">
      <c r="A352" s="227"/>
      <c r="C352" s="83"/>
      <c r="D352" s="83"/>
      <c r="E352" s="83"/>
      <c r="F352" s="83"/>
      <c r="G352" s="83"/>
    </row>
    <row r="353" spans="1:7" s="70" customFormat="1">
      <c r="A353" s="227"/>
      <c r="C353" s="83"/>
      <c r="D353" s="83"/>
      <c r="E353" s="83"/>
      <c r="F353" s="83"/>
      <c r="G353" s="83"/>
    </row>
    <row r="354" spans="1:7" s="70" customFormat="1">
      <c r="A354" s="227"/>
      <c r="C354" s="83"/>
      <c r="D354" s="83"/>
      <c r="E354" s="83"/>
      <c r="F354" s="83"/>
      <c r="G354" s="83"/>
    </row>
    <row r="355" spans="1:7" s="70" customFormat="1">
      <c r="A355" s="227"/>
      <c r="C355" s="83"/>
      <c r="D355" s="83"/>
      <c r="E355" s="83"/>
      <c r="F355" s="83"/>
      <c r="G355" s="83"/>
    </row>
    <row r="356" spans="1:7" s="70" customFormat="1">
      <c r="A356" s="227"/>
      <c r="C356" s="83"/>
      <c r="D356" s="83"/>
      <c r="E356" s="83"/>
      <c r="F356" s="83"/>
      <c r="G356" s="83"/>
    </row>
    <row r="357" spans="1:7" s="70" customFormat="1">
      <c r="A357" s="227"/>
      <c r="C357" s="83"/>
      <c r="D357" s="83"/>
      <c r="E357" s="83"/>
      <c r="F357" s="83"/>
      <c r="G357" s="83"/>
    </row>
    <row r="358" spans="1:7" s="70" customFormat="1">
      <c r="A358" s="227"/>
      <c r="C358" s="83"/>
      <c r="D358" s="83"/>
      <c r="E358" s="83"/>
      <c r="F358" s="83"/>
      <c r="G358" s="83"/>
    </row>
    <row r="359" spans="1:7" s="70" customFormat="1">
      <c r="A359" s="227"/>
      <c r="C359" s="83"/>
      <c r="D359" s="83"/>
      <c r="E359" s="83"/>
      <c r="F359" s="83"/>
      <c r="G359" s="83"/>
    </row>
    <row r="360" spans="1:7" s="70" customFormat="1">
      <c r="A360" s="227"/>
      <c r="C360" s="83"/>
      <c r="D360" s="83"/>
      <c r="E360" s="83"/>
      <c r="F360" s="83"/>
      <c r="G360" s="83"/>
    </row>
    <row r="361" spans="1:7" s="70" customFormat="1">
      <c r="A361" s="227"/>
      <c r="C361" s="83"/>
      <c r="D361" s="83"/>
      <c r="E361" s="83"/>
      <c r="F361" s="83"/>
      <c r="G361" s="83"/>
    </row>
    <row r="362" spans="1:7" s="70" customFormat="1">
      <c r="A362" s="227"/>
      <c r="C362" s="83"/>
      <c r="D362" s="83"/>
      <c r="E362" s="83"/>
      <c r="F362" s="83"/>
      <c r="G362" s="83"/>
    </row>
    <row r="363" spans="1:7" s="70" customFormat="1">
      <c r="A363" s="227"/>
      <c r="C363" s="83"/>
      <c r="D363" s="83"/>
      <c r="E363" s="83"/>
      <c r="F363" s="83"/>
      <c r="G363" s="83"/>
    </row>
    <row r="364" spans="1:7" s="70" customFormat="1">
      <c r="A364" s="227"/>
      <c r="C364" s="83"/>
      <c r="D364" s="83"/>
      <c r="E364" s="83"/>
      <c r="F364" s="83"/>
      <c r="G364" s="83"/>
    </row>
    <row r="365" spans="1:7" s="70" customFormat="1">
      <c r="A365" s="227"/>
      <c r="C365" s="83"/>
      <c r="D365" s="83"/>
      <c r="E365" s="83"/>
      <c r="F365" s="83"/>
      <c r="G365" s="83"/>
    </row>
    <row r="366" spans="1:7" s="70" customFormat="1">
      <c r="A366" s="227"/>
      <c r="C366" s="83"/>
      <c r="D366" s="83"/>
      <c r="E366" s="83"/>
      <c r="F366" s="83"/>
      <c r="G366" s="83"/>
    </row>
    <row r="367" spans="1:7" s="70" customFormat="1">
      <c r="A367" s="227"/>
      <c r="C367" s="83"/>
      <c r="D367" s="83"/>
      <c r="E367" s="83"/>
      <c r="F367" s="83"/>
      <c r="G367" s="83"/>
    </row>
    <row r="368" spans="1:7" s="70" customFormat="1">
      <c r="A368" s="227"/>
      <c r="C368" s="83"/>
      <c r="D368" s="83"/>
      <c r="E368" s="83"/>
      <c r="F368" s="83"/>
      <c r="G368" s="83"/>
    </row>
    <row r="369" spans="1:7" s="70" customFormat="1">
      <c r="A369" s="227"/>
      <c r="C369" s="83"/>
      <c r="D369" s="83"/>
      <c r="E369" s="83"/>
      <c r="F369" s="83"/>
      <c r="G369" s="83"/>
    </row>
    <row r="370" spans="1:7" s="70" customFormat="1">
      <c r="A370" s="227"/>
      <c r="C370" s="83"/>
      <c r="D370" s="83"/>
      <c r="E370" s="83"/>
      <c r="F370" s="83"/>
      <c r="G370" s="83"/>
    </row>
    <row r="371" spans="1:7" s="70" customFormat="1">
      <c r="A371" s="227"/>
      <c r="C371" s="83"/>
      <c r="D371" s="83"/>
      <c r="E371" s="83"/>
      <c r="F371" s="83"/>
      <c r="G371" s="83"/>
    </row>
    <row r="372" spans="1:7" s="70" customFormat="1">
      <c r="A372" s="227"/>
      <c r="C372" s="83"/>
      <c r="D372" s="83"/>
      <c r="E372" s="83"/>
      <c r="F372" s="83"/>
      <c r="G372" s="83"/>
    </row>
    <row r="373" spans="1:7" s="70" customFormat="1">
      <c r="A373" s="227"/>
      <c r="C373" s="83"/>
      <c r="D373" s="83"/>
      <c r="E373" s="83"/>
      <c r="F373" s="83"/>
      <c r="G373" s="83"/>
    </row>
    <row r="374" spans="1:7" s="70" customFormat="1">
      <c r="A374" s="227"/>
      <c r="C374" s="83"/>
      <c r="D374" s="83"/>
      <c r="E374" s="83"/>
      <c r="F374" s="83"/>
      <c r="G374" s="83"/>
    </row>
    <row r="375" spans="1:7" s="70" customFormat="1">
      <c r="A375" s="227"/>
      <c r="C375" s="83"/>
      <c r="D375" s="83"/>
      <c r="E375" s="83"/>
      <c r="F375" s="83"/>
      <c r="G375" s="83"/>
    </row>
    <row r="376" spans="1:7" s="70" customFormat="1">
      <c r="A376" s="227"/>
      <c r="C376" s="83"/>
      <c r="D376" s="83"/>
      <c r="E376" s="83"/>
      <c r="F376" s="83"/>
      <c r="G376" s="83"/>
    </row>
    <row r="377" spans="1:7" s="70" customFormat="1">
      <c r="A377" s="227"/>
      <c r="C377" s="83"/>
      <c r="D377" s="83"/>
      <c r="E377" s="83"/>
      <c r="F377" s="83"/>
      <c r="G377" s="83"/>
    </row>
    <row r="378" spans="1:7" s="70" customFormat="1">
      <c r="A378" s="227"/>
      <c r="C378" s="83"/>
      <c r="D378" s="83"/>
      <c r="E378" s="83"/>
      <c r="F378" s="83"/>
      <c r="G378" s="83"/>
    </row>
    <row r="379" spans="1:7" s="70" customFormat="1">
      <c r="A379" s="227"/>
      <c r="C379" s="83"/>
      <c r="D379" s="83"/>
      <c r="E379" s="83"/>
      <c r="F379" s="83"/>
      <c r="G379" s="83"/>
    </row>
    <row r="380" spans="1:7" s="70" customFormat="1">
      <c r="A380" s="227"/>
      <c r="C380" s="83"/>
      <c r="D380" s="83"/>
      <c r="E380" s="83"/>
      <c r="F380" s="83"/>
      <c r="G380" s="83"/>
    </row>
    <row r="381" spans="1:7" s="70" customFormat="1">
      <c r="A381" s="227"/>
      <c r="C381" s="83"/>
      <c r="D381" s="83"/>
      <c r="E381" s="83"/>
      <c r="F381" s="83"/>
      <c r="G381" s="83"/>
    </row>
    <row r="382" spans="1:7" s="70" customFormat="1">
      <c r="A382" s="227"/>
      <c r="C382" s="83"/>
      <c r="D382" s="83"/>
      <c r="E382" s="83"/>
      <c r="F382" s="83"/>
      <c r="G382" s="83"/>
    </row>
    <row r="383" spans="1:7" s="70" customFormat="1">
      <c r="A383" s="227"/>
      <c r="C383" s="83"/>
      <c r="D383" s="83"/>
      <c r="E383" s="83"/>
      <c r="F383" s="83"/>
      <c r="G383" s="83"/>
    </row>
    <row r="384" spans="1:7" s="70" customFormat="1">
      <c r="A384" s="227"/>
      <c r="C384" s="83"/>
      <c r="D384" s="83"/>
      <c r="E384" s="83"/>
      <c r="F384" s="83"/>
      <c r="G384" s="83"/>
    </row>
    <row r="385" spans="1:7" s="70" customFormat="1">
      <c r="A385" s="227"/>
      <c r="C385" s="83"/>
      <c r="D385" s="83"/>
      <c r="E385" s="83"/>
      <c r="F385" s="83"/>
      <c r="G385" s="83"/>
    </row>
    <row r="386" spans="1:7" s="70" customFormat="1">
      <c r="A386" s="227"/>
      <c r="C386" s="83"/>
      <c r="D386" s="83"/>
      <c r="E386" s="83"/>
      <c r="F386" s="83"/>
      <c r="G386" s="83"/>
    </row>
    <row r="387" spans="1:7" s="70" customFormat="1">
      <c r="A387" s="227"/>
      <c r="C387" s="83"/>
      <c r="D387" s="83"/>
      <c r="E387" s="83"/>
      <c r="F387" s="83"/>
      <c r="G387" s="83"/>
    </row>
    <row r="388" spans="1:7" s="70" customFormat="1">
      <c r="A388" s="227"/>
      <c r="C388" s="83"/>
      <c r="D388" s="83"/>
      <c r="E388" s="83"/>
      <c r="F388" s="83"/>
      <c r="G388" s="83"/>
    </row>
    <row r="389" spans="1:7" s="70" customFormat="1">
      <c r="A389" s="227"/>
      <c r="C389" s="83"/>
      <c r="D389" s="83"/>
      <c r="E389" s="83"/>
      <c r="F389" s="83"/>
      <c r="G389" s="83"/>
    </row>
    <row r="390" spans="1:7" s="70" customFormat="1">
      <c r="A390" s="227"/>
      <c r="C390" s="83"/>
      <c r="D390" s="83"/>
      <c r="E390" s="83"/>
      <c r="F390" s="83"/>
      <c r="G390" s="83"/>
    </row>
    <row r="391" spans="1:7" s="70" customFormat="1">
      <c r="A391" s="227"/>
      <c r="C391" s="83"/>
      <c r="D391" s="83"/>
      <c r="E391" s="83"/>
      <c r="F391" s="83"/>
      <c r="G391" s="83"/>
    </row>
    <row r="392" spans="1:7" s="70" customFormat="1">
      <c r="A392" s="227"/>
      <c r="C392" s="83"/>
      <c r="D392" s="83"/>
      <c r="E392" s="83"/>
      <c r="F392" s="83"/>
      <c r="G392" s="83"/>
    </row>
    <row r="393" spans="1:7" s="70" customFormat="1">
      <c r="A393" s="227"/>
      <c r="C393" s="83"/>
      <c r="D393" s="83"/>
      <c r="E393" s="83"/>
      <c r="F393" s="83"/>
      <c r="G393" s="83"/>
    </row>
    <row r="394" spans="1:7" s="70" customFormat="1">
      <c r="A394" s="227"/>
      <c r="C394" s="83"/>
      <c r="D394" s="83"/>
      <c r="E394" s="83"/>
      <c r="F394" s="83"/>
      <c r="G394" s="83"/>
    </row>
    <row r="395" spans="1:7" s="70" customFormat="1">
      <c r="A395" s="227"/>
      <c r="C395" s="83"/>
      <c r="D395" s="83"/>
      <c r="E395" s="83"/>
      <c r="F395" s="83"/>
      <c r="G395" s="83"/>
    </row>
    <row r="396" spans="1:7" s="70" customFormat="1">
      <c r="A396" s="227"/>
      <c r="C396" s="83"/>
      <c r="D396" s="83"/>
      <c r="E396" s="83"/>
      <c r="F396" s="83"/>
      <c r="G396" s="83"/>
    </row>
    <row r="397" spans="1:7" s="70" customFormat="1">
      <c r="A397" s="227"/>
      <c r="C397" s="83"/>
      <c r="D397" s="83"/>
      <c r="E397" s="83"/>
      <c r="F397" s="83"/>
      <c r="G397" s="83"/>
    </row>
    <row r="398" spans="1:7" s="70" customFormat="1">
      <c r="A398" s="227"/>
      <c r="C398" s="83"/>
      <c r="D398" s="83"/>
      <c r="E398" s="83"/>
      <c r="F398" s="83"/>
      <c r="G398" s="83"/>
    </row>
    <row r="399" spans="1:7" s="70" customFormat="1">
      <c r="A399" s="227"/>
      <c r="C399" s="83"/>
      <c r="D399" s="83"/>
      <c r="E399" s="83"/>
      <c r="F399" s="83"/>
      <c r="G399" s="83"/>
    </row>
    <row r="400" spans="1:7" s="70" customFormat="1">
      <c r="A400" s="227"/>
      <c r="C400" s="83"/>
      <c r="D400" s="83"/>
      <c r="E400" s="83"/>
      <c r="F400" s="83"/>
      <c r="G400" s="83"/>
    </row>
    <row r="401" spans="1:7" s="70" customFormat="1">
      <c r="A401" s="227"/>
      <c r="C401" s="83"/>
      <c r="D401" s="83"/>
      <c r="E401" s="83"/>
      <c r="F401" s="83"/>
      <c r="G401" s="83"/>
    </row>
    <row r="402" spans="1:7" s="70" customFormat="1">
      <c r="A402" s="227"/>
      <c r="C402" s="83"/>
      <c r="D402" s="83"/>
      <c r="E402" s="83"/>
      <c r="F402" s="83"/>
      <c r="G402" s="83"/>
    </row>
    <row r="403" spans="1:7" s="70" customFormat="1">
      <c r="A403" s="227"/>
      <c r="C403" s="83"/>
      <c r="D403" s="83"/>
      <c r="E403" s="83"/>
      <c r="F403" s="83"/>
      <c r="G403" s="83"/>
    </row>
    <row r="404" spans="1:7" s="70" customFormat="1">
      <c r="A404" s="227"/>
      <c r="C404" s="83"/>
      <c r="D404" s="83"/>
      <c r="E404" s="83"/>
      <c r="F404" s="83"/>
      <c r="G404" s="83"/>
    </row>
    <row r="405" spans="1:7" s="70" customFormat="1">
      <c r="A405" s="227"/>
      <c r="C405" s="83"/>
      <c r="D405" s="83"/>
      <c r="E405" s="83"/>
      <c r="F405" s="83"/>
      <c r="G405" s="83"/>
    </row>
    <row r="406" spans="1:7" s="70" customFormat="1">
      <c r="A406" s="227"/>
      <c r="C406" s="83"/>
      <c r="D406" s="83"/>
      <c r="E406" s="83"/>
      <c r="F406" s="83"/>
      <c r="G406" s="83"/>
    </row>
    <row r="407" spans="1:7" s="70" customFormat="1">
      <c r="A407" s="227"/>
      <c r="C407" s="83"/>
      <c r="D407" s="83"/>
      <c r="E407" s="83"/>
      <c r="F407" s="83"/>
      <c r="G407" s="83"/>
    </row>
    <row r="408" spans="1:7" s="70" customFormat="1">
      <c r="A408" s="227"/>
      <c r="C408" s="83"/>
      <c r="D408" s="83"/>
      <c r="E408" s="83"/>
      <c r="F408" s="83"/>
      <c r="G408" s="83"/>
    </row>
    <row r="409" spans="1:7" s="70" customFormat="1">
      <c r="A409" s="227"/>
      <c r="C409" s="83"/>
      <c r="D409" s="83"/>
      <c r="E409" s="83"/>
      <c r="F409" s="83"/>
      <c r="G409" s="83"/>
    </row>
    <row r="410" spans="1:7" s="70" customFormat="1">
      <c r="A410" s="227"/>
      <c r="C410" s="83"/>
      <c r="D410" s="83"/>
      <c r="E410" s="83"/>
      <c r="F410" s="83"/>
      <c r="G410" s="83"/>
    </row>
    <row r="411" spans="1:7" s="70" customFormat="1">
      <c r="A411" s="227"/>
      <c r="C411" s="83"/>
      <c r="D411" s="83"/>
      <c r="E411" s="83"/>
      <c r="F411" s="83"/>
      <c r="G411" s="83"/>
    </row>
    <row r="412" spans="1:7" s="70" customFormat="1">
      <c r="A412" s="227"/>
      <c r="C412" s="83"/>
      <c r="D412" s="83"/>
      <c r="E412" s="83"/>
      <c r="F412" s="83"/>
      <c r="G412" s="83"/>
    </row>
    <row r="413" spans="1:7" s="70" customFormat="1">
      <c r="A413" s="227"/>
      <c r="C413" s="83"/>
      <c r="D413" s="83"/>
      <c r="E413" s="83"/>
      <c r="F413" s="83"/>
      <c r="G413" s="83"/>
    </row>
    <row r="414" spans="1:7" s="70" customFormat="1">
      <c r="A414" s="227"/>
      <c r="C414" s="83"/>
      <c r="D414" s="83"/>
      <c r="E414" s="83"/>
      <c r="F414" s="83"/>
      <c r="G414" s="83"/>
    </row>
    <row r="415" spans="1:7" s="70" customFormat="1">
      <c r="A415" s="227"/>
      <c r="C415" s="83"/>
      <c r="D415" s="83"/>
      <c r="E415" s="83"/>
      <c r="F415" s="83"/>
      <c r="G415" s="83"/>
    </row>
    <row r="416" spans="1:7" s="70" customFormat="1">
      <c r="A416" s="227"/>
      <c r="C416" s="83"/>
      <c r="D416" s="83"/>
      <c r="E416" s="83"/>
      <c r="F416" s="83"/>
      <c r="G416" s="83"/>
    </row>
    <row r="417" spans="1:7" s="70" customFormat="1">
      <c r="A417" s="227"/>
      <c r="C417" s="83"/>
      <c r="D417" s="83"/>
      <c r="E417" s="83"/>
      <c r="F417" s="83"/>
      <c r="G417" s="83"/>
    </row>
    <row r="418" spans="1:7" s="70" customFormat="1">
      <c r="A418" s="227"/>
      <c r="C418" s="83"/>
      <c r="D418" s="83"/>
      <c r="E418" s="83"/>
      <c r="F418" s="83"/>
      <c r="G418" s="83"/>
    </row>
    <row r="419" spans="1:7" s="70" customFormat="1">
      <c r="A419" s="227"/>
      <c r="C419" s="83"/>
      <c r="D419" s="83"/>
      <c r="E419" s="83"/>
      <c r="F419" s="83"/>
      <c r="G419" s="83"/>
    </row>
    <row r="420" spans="1:7" s="70" customFormat="1">
      <c r="A420" s="227"/>
      <c r="C420" s="83"/>
      <c r="D420" s="83"/>
      <c r="E420" s="83"/>
      <c r="F420" s="83"/>
      <c r="G420" s="83"/>
    </row>
    <row r="421" spans="1:7" s="70" customFormat="1">
      <c r="A421" s="227"/>
      <c r="C421" s="83"/>
      <c r="D421" s="83"/>
      <c r="E421" s="83"/>
      <c r="F421" s="83"/>
      <c r="G421" s="83"/>
    </row>
    <row r="422" spans="1:7" s="70" customFormat="1">
      <c r="A422" s="227"/>
      <c r="C422" s="83"/>
      <c r="D422" s="83"/>
      <c r="E422" s="83"/>
      <c r="F422" s="83"/>
      <c r="G422" s="83"/>
    </row>
    <row r="423" spans="1:7" s="70" customFormat="1">
      <c r="A423" s="227"/>
      <c r="C423" s="83"/>
      <c r="D423" s="83"/>
      <c r="E423" s="83"/>
      <c r="F423" s="83"/>
      <c r="G423" s="83"/>
    </row>
    <row r="424" spans="1:7" s="70" customFormat="1">
      <c r="A424" s="227"/>
      <c r="C424" s="83"/>
      <c r="D424" s="83"/>
      <c r="E424" s="83"/>
      <c r="F424" s="83"/>
      <c r="G424" s="83"/>
    </row>
    <row r="425" spans="1:7" s="70" customFormat="1">
      <c r="A425" s="227"/>
      <c r="C425" s="83"/>
      <c r="D425" s="83"/>
      <c r="E425" s="83"/>
      <c r="F425" s="83"/>
      <c r="G425" s="83"/>
    </row>
    <row r="426" spans="1:7" s="70" customFormat="1">
      <c r="A426" s="227"/>
      <c r="C426" s="83"/>
      <c r="D426" s="83"/>
      <c r="E426" s="83"/>
      <c r="F426" s="83"/>
      <c r="G426" s="83"/>
    </row>
    <row r="427" spans="1:7" s="70" customFormat="1">
      <c r="A427" s="227"/>
      <c r="C427" s="83"/>
      <c r="D427" s="83"/>
      <c r="E427" s="83"/>
      <c r="F427" s="83"/>
      <c r="G427" s="83"/>
    </row>
    <row r="428" spans="1:7" s="70" customFormat="1">
      <c r="A428" s="227"/>
      <c r="C428" s="83"/>
      <c r="D428" s="83"/>
      <c r="E428" s="83"/>
      <c r="F428" s="83"/>
      <c r="G428" s="83"/>
    </row>
    <row r="429" spans="1:7" s="70" customFormat="1">
      <c r="A429" s="227"/>
      <c r="C429" s="83"/>
      <c r="D429" s="83"/>
      <c r="E429" s="83"/>
      <c r="F429" s="83"/>
      <c r="G429" s="83"/>
    </row>
    <row r="430" spans="1:7" s="70" customFormat="1">
      <c r="A430" s="227"/>
      <c r="C430" s="83"/>
      <c r="D430" s="83"/>
      <c r="E430" s="83"/>
      <c r="F430" s="83"/>
      <c r="G430" s="83"/>
    </row>
    <row r="431" spans="1:7" s="70" customFormat="1">
      <c r="A431" s="227"/>
      <c r="C431" s="83"/>
      <c r="D431" s="83"/>
      <c r="E431" s="83"/>
      <c r="F431" s="83"/>
      <c r="G431" s="83"/>
    </row>
    <row r="432" spans="1:7" s="70" customFormat="1">
      <c r="A432" s="227"/>
      <c r="C432" s="83"/>
      <c r="D432" s="83"/>
      <c r="E432" s="83"/>
      <c r="F432" s="83"/>
      <c r="G432" s="83"/>
    </row>
    <row r="433" spans="1:7" s="70" customFormat="1">
      <c r="A433" s="227"/>
      <c r="C433" s="83"/>
      <c r="D433" s="83"/>
      <c r="E433" s="83"/>
      <c r="F433" s="83"/>
      <c r="G433" s="83"/>
    </row>
    <row r="434" spans="1:7" s="70" customFormat="1">
      <c r="A434" s="227"/>
      <c r="C434" s="83"/>
      <c r="D434" s="83"/>
      <c r="E434" s="83"/>
      <c r="F434" s="83"/>
      <c r="G434" s="83"/>
    </row>
    <row r="435" spans="1:7" s="70" customFormat="1">
      <c r="A435" s="227"/>
      <c r="C435" s="83"/>
      <c r="D435" s="83"/>
      <c r="E435" s="83"/>
      <c r="F435" s="83"/>
      <c r="G435" s="83"/>
    </row>
    <row r="436" spans="1:7" s="70" customFormat="1">
      <c r="A436" s="227"/>
      <c r="C436" s="83"/>
      <c r="D436" s="83"/>
      <c r="E436" s="83"/>
      <c r="F436" s="83"/>
      <c r="G436" s="83"/>
    </row>
    <row r="437" spans="1:7" s="70" customFormat="1">
      <c r="A437" s="227"/>
      <c r="C437" s="83"/>
      <c r="D437" s="83"/>
      <c r="E437" s="83"/>
      <c r="F437" s="83"/>
      <c r="G437" s="83"/>
    </row>
    <row r="438" spans="1:7" s="70" customFormat="1">
      <c r="A438" s="227"/>
      <c r="C438" s="83"/>
      <c r="D438" s="83"/>
      <c r="E438" s="83"/>
      <c r="F438" s="83"/>
      <c r="G438" s="83"/>
    </row>
    <row r="439" spans="1:7" s="70" customFormat="1">
      <c r="A439" s="227"/>
      <c r="C439" s="83"/>
      <c r="D439" s="83"/>
      <c r="E439" s="83"/>
      <c r="F439" s="83"/>
      <c r="G439" s="83"/>
    </row>
    <row r="440" spans="1:7" s="70" customFormat="1">
      <c r="A440" s="227"/>
      <c r="C440" s="83"/>
      <c r="D440" s="83"/>
      <c r="E440" s="83"/>
      <c r="F440" s="83"/>
      <c r="G440" s="83"/>
    </row>
    <row r="441" spans="1:7" s="70" customFormat="1">
      <c r="A441" s="227"/>
      <c r="C441" s="83"/>
      <c r="D441" s="83"/>
      <c r="E441" s="83"/>
      <c r="F441" s="83"/>
      <c r="G441" s="83"/>
    </row>
    <row r="442" spans="1:7" s="70" customFormat="1">
      <c r="A442" s="227"/>
      <c r="C442" s="83"/>
      <c r="D442" s="83"/>
      <c r="E442" s="83"/>
      <c r="F442" s="83"/>
      <c r="G442" s="83"/>
    </row>
    <row r="443" spans="1:7" s="70" customFormat="1">
      <c r="A443" s="227"/>
      <c r="C443" s="83"/>
      <c r="D443" s="83"/>
      <c r="E443" s="83"/>
      <c r="F443" s="83"/>
      <c r="G443" s="83"/>
    </row>
    <row r="444" spans="1:7" s="70" customFormat="1">
      <c r="A444" s="227"/>
      <c r="C444" s="83"/>
      <c r="D444" s="83"/>
      <c r="E444" s="83"/>
      <c r="F444" s="83"/>
      <c r="G444" s="83"/>
    </row>
    <row r="445" spans="1:7" s="70" customFormat="1">
      <c r="A445" s="227"/>
      <c r="C445" s="83"/>
      <c r="D445" s="83"/>
      <c r="E445" s="83"/>
      <c r="F445" s="83"/>
      <c r="G445" s="83"/>
    </row>
    <row r="446" spans="1:7" s="70" customFormat="1">
      <c r="A446" s="227"/>
      <c r="C446" s="83"/>
      <c r="D446" s="83"/>
      <c r="E446" s="83"/>
      <c r="F446" s="83"/>
      <c r="G446" s="83"/>
    </row>
    <row r="447" spans="1:7" s="70" customFormat="1">
      <c r="A447" s="227"/>
      <c r="C447" s="83"/>
      <c r="D447" s="83"/>
      <c r="E447" s="83"/>
      <c r="F447" s="83"/>
      <c r="G447" s="83"/>
    </row>
    <row r="448" spans="1:7" s="70" customFormat="1">
      <c r="A448" s="227"/>
      <c r="C448" s="83"/>
      <c r="D448" s="83"/>
      <c r="E448" s="83"/>
      <c r="F448" s="83"/>
      <c r="G448" s="83"/>
    </row>
    <row r="449" spans="1:7" s="70" customFormat="1">
      <c r="A449" s="227"/>
      <c r="C449" s="83"/>
      <c r="D449" s="83"/>
      <c r="E449" s="83"/>
      <c r="F449" s="83"/>
      <c r="G449" s="83"/>
    </row>
    <row r="450" spans="1:7" s="70" customFormat="1">
      <c r="A450" s="227"/>
      <c r="C450" s="83"/>
      <c r="D450" s="83"/>
      <c r="E450" s="83"/>
      <c r="F450" s="83"/>
      <c r="G450" s="83"/>
    </row>
    <row r="451" spans="1:7" s="70" customFormat="1">
      <c r="A451" s="227"/>
      <c r="C451" s="83"/>
      <c r="D451" s="83"/>
      <c r="E451" s="83"/>
      <c r="F451" s="83"/>
      <c r="G451" s="83"/>
    </row>
    <row r="452" spans="1:7" s="70" customFormat="1">
      <c r="A452" s="227"/>
      <c r="C452" s="83"/>
      <c r="D452" s="83"/>
      <c r="E452" s="83"/>
      <c r="F452" s="83"/>
      <c r="G452" s="83"/>
    </row>
    <row r="453" spans="1:7" s="70" customFormat="1">
      <c r="A453" s="227"/>
      <c r="C453" s="83"/>
      <c r="D453" s="83"/>
      <c r="E453" s="83"/>
      <c r="F453" s="83"/>
      <c r="G453" s="83"/>
    </row>
    <row r="454" spans="1:7" s="70" customFormat="1">
      <c r="A454" s="227"/>
      <c r="C454" s="83"/>
      <c r="D454" s="83"/>
      <c r="E454" s="83"/>
      <c r="F454" s="83"/>
      <c r="G454" s="83"/>
    </row>
    <row r="455" spans="1:7" s="70" customFormat="1">
      <c r="A455" s="227"/>
      <c r="C455" s="83"/>
      <c r="D455" s="83"/>
      <c r="E455" s="83"/>
      <c r="F455" s="83"/>
      <c r="G455" s="83"/>
    </row>
    <row r="456" spans="1:7" s="70" customFormat="1">
      <c r="A456" s="227"/>
      <c r="C456" s="83"/>
      <c r="D456" s="83"/>
      <c r="E456" s="83"/>
      <c r="F456" s="83"/>
      <c r="G456" s="83"/>
    </row>
    <row r="457" spans="1:7" s="70" customFormat="1">
      <c r="A457" s="227"/>
      <c r="C457" s="83"/>
      <c r="D457" s="83"/>
      <c r="E457" s="83"/>
      <c r="F457" s="83"/>
      <c r="G457" s="83"/>
    </row>
    <row r="458" spans="1:7" s="70" customFormat="1">
      <c r="A458" s="227"/>
      <c r="C458" s="83"/>
      <c r="D458" s="83"/>
      <c r="E458" s="83"/>
      <c r="F458" s="83"/>
      <c r="G458" s="83"/>
    </row>
    <row r="459" spans="1:7" s="70" customFormat="1">
      <c r="A459" s="227"/>
      <c r="C459" s="83"/>
      <c r="D459" s="83"/>
      <c r="E459" s="83"/>
      <c r="F459" s="83"/>
      <c r="G459" s="83"/>
    </row>
    <row r="460" spans="1:7" s="70" customFormat="1">
      <c r="A460" s="227"/>
      <c r="C460" s="83"/>
      <c r="D460" s="83"/>
      <c r="E460" s="83"/>
      <c r="F460" s="83"/>
      <c r="G460" s="83"/>
    </row>
    <row r="461" spans="1:7" s="70" customFormat="1">
      <c r="A461" s="227"/>
      <c r="C461" s="83"/>
      <c r="D461" s="83"/>
      <c r="E461" s="83"/>
      <c r="F461" s="83"/>
      <c r="G461" s="83"/>
    </row>
    <row r="462" spans="1:7" s="70" customFormat="1">
      <c r="A462" s="227"/>
      <c r="C462" s="83"/>
      <c r="D462" s="83"/>
      <c r="E462" s="83"/>
      <c r="F462" s="83"/>
      <c r="G462" s="83"/>
    </row>
    <row r="463" spans="1:7" s="70" customFormat="1">
      <c r="A463" s="227"/>
      <c r="C463" s="83"/>
      <c r="D463" s="83"/>
      <c r="E463" s="83"/>
      <c r="F463" s="83"/>
      <c r="G463" s="83"/>
    </row>
    <row r="464" spans="1:7" s="70" customFormat="1">
      <c r="A464" s="227"/>
      <c r="C464" s="83"/>
      <c r="D464" s="83"/>
      <c r="E464" s="83"/>
      <c r="F464" s="83"/>
      <c r="G464" s="83"/>
    </row>
    <row r="465" spans="1:7" s="70" customFormat="1">
      <c r="A465" s="227"/>
      <c r="C465" s="83"/>
      <c r="D465" s="83"/>
      <c r="E465" s="83"/>
      <c r="F465" s="83"/>
      <c r="G465" s="83"/>
    </row>
    <row r="466" spans="1:7" s="70" customFormat="1">
      <c r="A466" s="227"/>
      <c r="C466" s="83"/>
      <c r="D466" s="83"/>
      <c r="E466" s="83"/>
      <c r="F466" s="83"/>
      <c r="G466" s="83"/>
    </row>
    <row r="467" spans="1:7" s="70" customFormat="1">
      <c r="A467" s="227"/>
      <c r="C467" s="83"/>
      <c r="D467" s="83"/>
      <c r="E467" s="83"/>
      <c r="F467" s="83"/>
      <c r="G467" s="83"/>
    </row>
    <row r="468" spans="1:7" s="70" customFormat="1">
      <c r="A468" s="227"/>
      <c r="C468" s="83"/>
      <c r="D468" s="83"/>
      <c r="E468" s="83"/>
      <c r="F468" s="83"/>
      <c r="G468" s="83"/>
    </row>
    <row r="469" spans="1:7" s="70" customFormat="1">
      <c r="A469" s="227"/>
      <c r="C469" s="83"/>
      <c r="D469" s="83"/>
      <c r="E469" s="83"/>
      <c r="F469" s="83"/>
      <c r="G469" s="83"/>
    </row>
    <row r="470" spans="1:7" s="70" customFormat="1">
      <c r="A470" s="227"/>
      <c r="C470" s="83"/>
      <c r="D470" s="83"/>
      <c r="E470" s="83"/>
      <c r="F470" s="83"/>
      <c r="G470" s="83"/>
    </row>
    <row r="471" spans="1:7" s="70" customFormat="1">
      <c r="A471" s="227"/>
      <c r="C471" s="83"/>
      <c r="D471" s="83"/>
      <c r="E471" s="83"/>
      <c r="F471" s="83"/>
      <c r="G471" s="83"/>
    </row>
    <row r="472" spans="1:7" s="70" customFormat="1">
      <c r="A472" s="227"/>
      <c r="C472" s="83"/>
      <c r="D472" s="83"/>
      <c r="E472" s="83"/>
      <c r="F472" s="83"/>
      <c r="G472" s="83"/>
    </row>
    <row r="473" spans="1:7" s="70" customFormat="1">
      <c r="A473" s="227"/>
      <c r="C473" s="83"/>
      <c r="D473" s="83"/>
      <c r="E473" s="83"/>
      <c r="F473" s="83"/>
      <c r="G473" s="83"/>
    </row>
    <row r="474" spans="1:7" s="70" customFormat="1">
      <c r="A474" s="227"/>
      <c r="C474" s="83"/>
      <c r="D474" s="83"/>
      <c r="E474" s="83"/>
      <c r="F474" s="83"/>
      <c r="G474" s="83"/>
    </row>
    <row r="475" spans="1:7" s="70" customFormat="1">
      <c r="A475" s="227"/>
      <c r="C475" s="83"/>
      <c r="D475" s="83"/>
      <c r="E475" s="83"/>
      <c r="F475" s="83"/>
      <c r="G475" s="83"/>
    </row>
    <row r="476" spans="1:7" s="70" customFormat="1">
      <c r="A476" s="227"/>
      <c r="C476" s="83"/>
      <c r="D476" s="83"/>
      <c r="E476" s="83"/>
      <c r="F476" s="83"/>
      <c r="G476" s="83"/>
    </row>
    <row r="477" spans="1:7" s="70" customFormat="1">
      <c r="A477" s="227"/>
      <c r="C477" s="83"/>
      <c r="D477" s="83"/>
      <c r="E477" s="83"/>
      <c r="F477" s="83"/>
      <c r="G477" s="83"/>
    </row>
    <row r="478" spans="1:7" s="70" customFormat="1">
      <c r="A478" s="227"/>
      <c r="C478" s="83"/>
      <c r="D478" s="83"/>
      <c r="E478" s="83"/>
      <c r="F478" s="83"/>
      <c r="G478" s="83"/>
    </row>
    <row r="479" spans="1:7" s="70" customFormat="1">
      <c r="A479" s="227"/>
      <c r="C479" s="83"/>
      <c r="D479" s="83"/>
      <c r="E479" s="83"/>
      <c r="F479" s="83"/>
      <c r="G479" s="83"/>
    </row>
    <row r="480" spans="1:7" s="70" customFormat="1">
      <c r="A480" s="227"/>
      <c r="C480" s="83"/>
      <c r="D480" s="83"/>
      <c r="E480" s="83"/>
      <c r="F480" s="83"/>
      <c r="G480" s="83"/>
    </row>
    <row r="481" spans="1:7" s="70" customFormat="1">
      <c r="A481" s="227"/>
      <c r="C481" s="83"/>
      <c r="D481" s="83"/>
      <c r="E481" s="83"/>
      <c r="F481" s="83"/>
      <c r="G481" s="83"/>
    </row>
    <row r="482" spans="1:7" s="70" customFormat="1">
      <c r="A482" s="227"/>
      <c r="C482" s="83"/>
      <c r="D482" s="83"/>
      <c r="E482" s="83"/>
      <c r="F482" s="83"/>
      <c r="G482" s="83"/>
    </row>
    <row r="483" spans="1:7" s="70" customFormat="1">
      <c r="A483" s="227"/>
      <c r="C483" s="83"/>
      <c r="D483" s="83"/>
      <c r="E483" s="83"/>
      <c r="F483" s="83"/>
      <c r="G483" s="83"/>
    </row>
    <row r="484" spans="1:7" s="70" customFormat="1">
      <c r="A484" s="227"/>
      <c r="C484" s="83"/>
      <c r="D484" s="83"/>
      <c r="E484" s="83"/>
      <c r="F484" s="83"/>
      <c r="G484" s="83"/>
    </row>
    <row r="485" spans="1:7" s="70" customFormat="1">
      <c r="A485" s="227"/>
      <c r="C485" s="83"/>
      <c r="D485" s="83"/>
      <c r="E485" s="83"/>
      <c r="F485" s="83"/>
      <c r="G485" s="83"/>
    </row>
    <row r="486" spans="1:7" s="70" customFormat="1">
      <c r="A486" s="227"/>
      <c r="C486" s="83"/>
      <c r="D486" s="83"/>
      <c r="E486" s="83"/>
      <c r="F486" s="83"/>
      <c r="G486" s="83"/>
    </row>
    <row r="487" spans="1:7" s="70" customFormat="1">
      <c r="A487" s="227"/>
      <c r="C487" s="83"/>
      <c r="D487" s="83"/>
      <c r="E487" s="83"/>
      <c r="F487" s="83"/>
      <c r="G487" s="83"/>
    </row>
    <row r="488" spans="1:7" s="70" customFormat="1">
      <c r="A488" s="227"/>
      <c r="C488" s="83"/>
      <c r="D488" s="83"/>
      <c r="E488" s="83"/>
      <c r="F488" s="83"/>
      <c r="G488" s="83"/>
    </row>
    <row r="489" spans="1:7" s="70" customFormat="1">
      <c r="A489" s="227"/>
      <c r="C489" s="83"/>
      <c r="D489" s="83"/>
      <c r="E489" s="83"/>
      <c r="F489" s="83"/>
      <c r="G489" s="83"/>
    </row>
    <row r="490" spans="1:7" s="70" customFormat="1">
      <c r="A490" s="227"/>
      <c r="C490" s="83"/>
      <c r="D490" s="83"/>
      <c r="E490" s="83"/>
      <c r="F490" s="83"/>
      <c r="G490" s="83"/>
    </row>
    <row r="491" spans="1:7" s="70" customFormat="1">
      <c r="A491" s="227"/>
      <c r="C491" s="83"/>
      <c r="D491" s="83"/>
      <c r="E491" s="83"/>
      <c r="F491" s="83"/>
      <c r="G491" s="83"/>
    </row>
    <row r="492" spans="1:7" s="70" customFormat="1">
      <c r="A492" s="227"/>
      <c r="C492" s="83"/>
      <c r="D492" s="83"/>
      <c r="E492" s="83"/>
      <c r="F492" s="83"/>
      <c r="G492" s="83"/>
    </row>
    <row r="493" spans="1:7" s="70" customFormat="1">
      <c r="A493" s="227"/>
      <c r="C493" s="83"/>
      <c r="D493" s="83"/>
      <c r="E493" s="83"/>
      <c r="F493" s="83"/>
      <c r="G493" s="83"/>
    </row>
    <row r="494" spans="1:7" s="70" customFormat="1">
      <c r="A494" s="227"/>
      <c r="C494" s="83"/>
      <c r="D494" s="83"/>
      <c r="E494" s="83"/>
      <c r="F494" s="83"/>
      <c r="G494" s="83"/>
    </row>
    <row r="495" spans="1:7" s="70" customFormat="1">
      <c r="A495" s="227"/>
      <c r="C495" s="83"/>
      <c r="D495" s="83"/>
      <c r="E495" s="83"/>
      <c r="F495" s="83"/>
      <c r="G495" s="83"/>
    </row>
    <row r="496" spans="1:7" s="70" customFormat="1">
      <c r="A496" s="227"/>
      <c r="C496" s="83"/>
      <c r="D496" s="83"/>
      <c r="E496" s="83"/>
      <c r="F496" s="83"/>
      <c r="G496" s="83"/>
    </row>
    <row r="497" spans="1:7" s="70" customFormat="1">
      <c r="A497" s="227"/>
      <c r="C497" s="83"/>
      <c r="D497" s="83"/>
      <c r="E497" s="83"/>
      <c r="F497" s="83"/>
      <c r="G497" s="83"/>
    </row>
    <row r="498" spans="1:7" s="70" customFormat="1">
      <c r="A498" s="227"/>
      <c r="C498" s="83"/>
      <c r="D498" s="83"/>
      <c r="E498" s="83"/>
      <c r="F498" s="83"/>
      <c r="G498" s="83"/>
    </row>
    <row r="499" spans="1:7" s="70" customFormat="1">
      <c r="A499" s="227"/>
      <c r="C499" s="83"/>
      <c r="D499" s="83"/>
      <c r="E499" s="83"/>
      <c r="F499" s="83"/>
      <c r="G499" s="83"/>
    </row>
    <row r="500" spans="1:7" s="70" customFormat="1">
      <c r="A500" s="227"/>
      <c r="C500" s="83"/>
      <c r="D500" s="83"/>
      <c r="E500" s="83"/>
      <c r="F500" s="83"/>
      <c r="G500" s="83"/>
    </row>
    <row r="501" spans="1:7" s="70" customFormat="1">
      <c r="A501" s="227"/>
      <c r="C501" s="83"/>
      <c r="D501" s="83"/>
      <c r="E501" s="83"/>
      <c r="F501" s="83"/>
      <c r="G501" s="83"/>
    </row>
    <row r="502" spans="1:7" s="70" customFormat="1">
      <c r="A502" s="227"/>
      <c r="C502" s="83"/>
      <c r="D502" s="83"/>
      <c r="E502" s="83"/>
      <c r="F502" s="83"/>
      <c r="G502" s="83"/>
    </row>
    <row r="503" spans="1:7" s="70" customFormat="1">
      <c r="A503" s="227"/>
      <c r="C503" s="83"/>
      <c r="D503" s="83"/>
      <c r="E503" s="83"/>
      <c r="F503" s="83"/>
      <c r="G503" s="83"/>
    </row>
    <row r="504" spans="1:7" s="70" customFormat="1">
      <c r="A504" s="227"/>
      <c r="C504" s="83"/>
      <c r="D504" s="83"/>
      <c r="E504" s="83"/>
      <c r="F504" s="83"/>
      <c r="G504" s="83"/>
    </row>
    <row r="505" spans="1:7" s="70" customFormat="1">
      <c r="A505" s="227"/>
      <c r="C505" s="83"/>
      <c r="D505" s="83"/>
      <c r="E505" s="83"/>
      <c r="F505" s="83"/>
      <c r="G505" s="83"/>
    </row>
    <row r="506" spans="1:7" s="70" customFormat="1">
      <c r="A506" s="227"/>
      <c r="C506" s="83"/>
      <c r="D506" s="83"/>
      <c r="E506" s="83"/>
      <c r="F506" s="83"/>
      <c r="G506" s="83"/>
    </row>
    <row r="507" spans="1:7" s="70" customFormat="1">
      <c r="A507" s="227"/>
      <c r="C507" s="83"/>
      <c r="D507" s="83"/>
      <c r="E507" s="83"/>
      <c r="F507" s="83"/>
      <c r="G507" s="83"/>
    </row>
    <row r="508" spans="1:7" s="70" customFormat="1">
      <c r="A508" s="227"/>
      <c r="C508" s="83"/>
      <c r="D508" s="83"/>
      <c r="E508" s="83"/>
      <c r="F508" s="83"/>
      <c r="G508" s="83"/>
    </row>
    <row r="509" spans="1:7" s="70" customFormat="1">
      <c r="A509" s="227"/>
      <c r="C509" s="83"/>
      <c r="D509" s="83"/>
      <c r="E509" s="83"/>
      <c r="F509" s="83"/>
      <c r="G509" s="83"/>
    </row>
    <row r="510" spans="1:7" s="70" customFormat="1">
      <c r="A510" s="227"/>
      <c r="C510" s="83"/>
      <c r="D510" s="83"/>
      <c r="E510" s="83"/>
      <c r="F510" s="83"/>
      <c r="G510" s="83"/>
    </row>
    <row r="511" spans="1:7" s="70" customFormat="1">
      <c r="A511" s="227"/>
      <c r="C511" s="83"/>
      <c r="D511" s="83"/>
      <c r="E511" s="83"/>
      <c r="F511" s="83"/>
      <c r="G511" s="83"/>
    </row>
    <row r="512" spans="1:7" s="70" customFormat="1">
      <c r="A512" s="227"/>
      <c r="C512" s="83"/>
      <c r="D512" s="83"/>
      <c r="E512" s="83"/>
      <c r="F512" s="83"/>
      <c r="G512" s="83"/>
    </row>
    <row r="513" spans="1:7" s="70" customFormat="1">
      <c r="A513" s="227"/>
      <c r="C513" s="83"/>
      <c r="D513" s="83"/>
      <c r="E513" s="83"/>
      <c r="F513" s="83"/>
      <c r="G513" s="83"/>
    </row>
    <row r="514" spans="1:7" s="70" customFormat="1">
      <c r="A514" s="227"/>
      <c r="C514" s="83"/>
      <c r="D514" s="83"/>
      <c r="E514" s="83"/>
      <c r="F514" s="83"/>
      <c r="G514" s="83"/>
    </row>
    <row r="515" spans="1:7" s="70" customFormat="1">
      <c r="A515" s="227"/>
      <c r="C515" s="83"/>
      <c r="D515" s="83"/>
      <c r="E515" s="83"/>
      <c r="F515" s="83"/>
      <c r="G515" s="83"/>
    </row>
    <row r="516" spans="1:7" s="70" customFormat="1">
      <c r="A516" s="227"/>
      <c r="C516" s="83"/>
      <c r="D516" s="83"/>
      <c r="E516" s="83"/>
      <c r="F516" s="83"/>
      <c r="G516" s="83"/>
    </row>
    <row r="517" spans="1:7" s="70" customFormat="1">
      <c r="A517" s="227"/>
      <c r="C517" s="83"/>
      <c r="D517" s="83"/>
      <c r="E517" s="83"/>
      <c r="F517" s="83"/>
      <c r="G517" s="83"/>
    </row>
    <row r="518" spans="1:7" s="70" customFormat="1">
      <c r="A518" s="227"/>
      <c r="C518" s="83"/>
      <c r="D518" s="83"/>
      <c r="E518" s="83"/>
      <c r="F518" s="83"/>
      <c r="G518" s="83"/>
    </row>
    <row r="519" spans="1:7" s="70" customFormat="1">
      <c r="A519" s="227"/>
      <c r="C519" s="83"/>
      <c r="D519" s="83"/>
      <c r="E519" s="83"/>
      <c r="F519" s="83"/>
      <c r="G519" s="83"/>
    </row>
    <row r="520" spans="1:7" s="70" customFormat="1">
      <c r="A520" s="227"/>
      <c r="C520" s="83"/>
      <c r="D520" s="83"/>
      <c r="E520" s="83"/>
      <c r="F520" s="83"/>
      <c r="G520" s="83"/>
    </row>
    <row r="521" spans="1:7" s="70" customFormat="1">
      <c r="A521" s="227"/>
      <c r="C521" s="83"/>
      <c r="D521" s="83"/>
      <c r="E521" s="83"/>
      <c r="F521" s="83"/>
      <c r="G521" s="83"/>
    </row>
    <row r="522" spans="1:7" s="70" customFormat="1">
      <c r="A522" s="227"/>
      <c r="C522" s="83"/>
      <c r="D522" s="83"/>
      <c r="E522" s="83"/>
      <c r="F522" s="83"/>
      <c r="G522" s="83"/>
    </row>
    <row r="523" spans="1:7" s="70" customFormat="1">
      <c r="A523" s="227"/>
      <c r="C523" s="83"/>
      <c r="D523" s="83"/>
      <c r="E523" s="83"/>
      <c r="F523" s="83"/>
      <c r="G523" s="83"/>
    </row>
    <row r="524" spans="1:7" s="70" customFormat="1">
      <c r="A524" s="227"/>
      <c r="C524" s="83"/>
      <c r="D524" s="83"/>
      <c r="E524" s="83"/>
      <c r="F524" s="83"/>
      <c r="G524" s="83"/>
    </row>
    <row r="525" spans="1:7" s="70" customFormat="1">
      <c r="A525" s="227"/>
      <c r="C525" s="83"/>
      <c r="D525" s="83"/>
      <c r="E525" s="83"/>
      <c r="F525" s="83"/>
      <c r="G525" s="83"/>
    </row>
    <row r="526" spans="1:7" s="70" customFormat="1">
      <c r="A526" s="227"/>
      <c r="C526" s="83"/>
      <c r="D526" s="83"/>
      <c r="E526" s="83"/>
      <c r="F526" s="83"/>
      <c r="G526" s="83"/>
    </row>
    <row r="527" spans="1:7" s="70" customFormat="1">
      <c r="A527" s="227"/>
      <c r="C527" s="83"/>
      <c r="D527" s="83"/>
      <c r="E527" s="83"/>
      <c r="F527" s="83"/>
      <c r="G527" s="83"/>
    </row>
    <row r="528" spans="1:7" s="70" customFormat="1">
      <c r="A528" s="227"/>
      <c r="C528" s="83"/>
      <c r="D528" s="83"/>
      <c r="E528" s="83"/>
      <c r="F528" s="83"/>
      <c r="G528" s="83"/>
    </row>
    <row r="529" spans="1:7" s="70" customFormat="1">
      <c r="A529" s="227"/>
      <c r="C529" s="83"/>
      <c r="D529" s="83"/>
      <c r="E529" s="83"/>
      <c r="F529" s="83"/>
      <c r="G529" s="83"/>
    </row>
    <row r="530" spans="1:7" s="70" customFormat="1">
      <c r="A530" s="227"/>
      <c r="C530" s="83"/>
      <c r="D530" s="83"/>
      <c r="E530" s="83"/>
      <c r="F530" s="83"/>
      <c r="G530" s="83"/>
    </row>
    <row r="531" spans="1:7" s="70" customFormat="1">
      <c r="A531" s="227"/>
      <c r="C531" s="83"/>
      <c r="D531" s="83"/>
      <c r="E531" s="83"/>
      <c r="F531" s="83"/>
      <c r="G531" s="83"/>
    </row>
    <row r="532" spans="1:7" s="70" customFormat="1">
      <c r="A532" s="227"/>
      <c r="C532" s="83"/>
      <c r="D532" s="83"/>
      <c r="E532" s="83"/>
      <c r="F532" s="83"/>
      <c r="G532" s="83"/>
    </row>
    <row r="533" spans="1:7" s="70" customFormat="1">
      <c r="A533" s="227"/>
      <c r="C533" s="83"/>
      <c r="D533" s="83"/>
      <c r="E533" s="83"/>
      <c r="F533" s="83"/>
      <c r="G533" s="83"/>
    </row>
    <row r="534" spans="1:7" s="70" customFormat="1">
      <c r="A534" s="227"/>
      <c r="C534" s="83"/>
      <c r="D534" s="83"/>
      <c r="E534" s="83"/>
      <c r="F534" s="83"/>
      <c r="G534" s="83"/>
    </row>
    <row r="535" spans="1:7" s="70" customFormat="1">
      <c r="A535" s="227"/>
      <c r="C535" s="83"/>
      <c r="D535" s="83"/>
      <c r="E535" s="83"/>
      <c r="F535" s="83"/>
      <c r="G535" s="83"/>
    </row>
    <row r="536" spans="1:7" s="70" customFormat="1">
      <c r="A536" s="227"/>
      <c r="C536" s="83"/>
      <c r="D536" s="83"/>
      <c r="E536" s="83"/>
      <c r="F536" s="83"/>
      <c r="G536" s="83"/>
    </row>
    <row r="537" spans="1:7" s="70" customFormat="1">
      <c r="A537" s="227"/>
      <c r="C537" s="83"/>
      <c r="D537" s="83"/>
      <c r="E537" s="83"/>
      <c r="F537" s="83"/>
      <c r="G537" s="83"/>
    </row>
    <row r="538" spans="1:7" s="70" customFormat="1">
      <c r="A538" s="227"/>
      <c r="C538" s="83"/>
      <c r="D538" s="83"/>
      <c r="E538" s="83"/>
      <c r="F538" s="83"/>
      <c r="G538" s="83"/>
    </row>
    <row r="539" spans="1:7" s="70" customFormat="1">
      <c r="A539" s="227"/>
      <c r="C539" s="83"/>
      <c r="D539" s="83"/>
      <c r="E539" s="83"/>
      <c r="F539" s="83"/>
      <c r="G539" s="83"/>
    </row>
    <row r="540" spans="1:7" s="70" customFormat="1">
      <c r="A540" s="227"/>
      <c r="C540" s="83"/>
      <c r="D540" s="83"/>
      <c r="E540" s="83"/>
      <c r="F540" s="83"/>
      <c r="G540" s="83"/>
    </row>
    <row r="541" spans="1:7" s="70" customFormat="1">
      <c r="A541" s="227"/>
      <c r="C541" s="83"/>
      <c r="D541" s="83"/>
      <c r="E541" s="83"/>
      <c r="F541" s="83"/>
      <c r="G541" s="83"/>
    </row>
    <row r="542" spans="1:7" s="70" customFormat="1">
      <c r="A542" s="227"/>
      <c r="C542" s="83"/>
      <c r="D542" s="83"/>
      <c r="E542" s="83"/>
      <c r="F542" s="83"/>
      <c r="G542" s="83"/>
    </row>
    <row r="543" spans="1:7" s="70" customFormat="1">
      <c r="A543" s="227"/>
      <c r="C543" s="83"/>
      <c r="D543" s="83"/>
      <c r="E543" s="83"/>
      <c r="F543" s="83"/>
      <c r="G543" s="83"/>
    </row>
    <row r="544" spans="1:7" s="70" customFormat="1">
      <c r="A544" s="227"/>
      <c r="C544" s="83"/>
      <c r="D544" s="83"/>
      <c r="E544" s="83"/>
      <c r="F544" s="83"/>
      <c r="G544" s="83"/>
    </row>
    <row r="545" spans="1:7" s="70" customFormat="1">
      <c r="A545" s="227"/>
      <c r="C545" s="83"/>
      <c r="D545" s="83"/>
      <c r="E545" s="83"/>
      <c r="F545" s="83"/>
      <c r="G545" s="83"/>
    </row>
    <row r="546" spans="1:7" s="70" customFormat="1">
      <c r="A546" s="227"/>
      <c r="C546" s="83"/>
      <c r="D546" s="83"/>
      <c r="E546" s="83"/>
      <c r="F546" s="83"/>
      <c r="G546" s="83"/>
    </row>
    <row r="547" spans="1:7" s="70" customFormat="1">
      <c r="A547" s="227"/>
      <c r="C547" s="83"/>
      <c r="D547" s="83"/>
      <c r="E547" s="83"/>
      <c r="F547" s="83"/>
      <c r="G547" s="83"/>
    </row>
    <row r="548" spans="1:7" s="70" customFormat="1">
      <c r="A548" s="227"/>
      <c r="C548" s="83"/>
      <c r="D548" s="83"/>
      <c r="E548" s="83"/>
      <c r="F548" s="83"/>
      <c r="G548" s="83"/>
    </row>
    <row r="549" spans="1:7" s="70" customFormat="1">
      <c r="A549" s="227"/>
      <c r="C549" s="83"/>
      <c r="D549" s="83"/>
      <c r="E549" s="83"/>
      <c r="F549" s="83"/>
      <c r="G549" s="83"/>
    </row>
    <row r="550" spans="1:7" s="70" customFormat="1">
      <c r="A550" s="227"/>
      <c r="C550" s="83"/>
      <c r="D550" s="83"/>
      <c r="E550" s="83"/>
      <c r="F550" s="83"/>
      <c r="G550" s="83"/>
    </row>
    <row r="551" spans="1:7" s="70" customFormat="1">
      <c r="A551" s="227"/>
      <c r="C551" s="83"/>
      <c r="D551" s="83"/>
      <c r="E551" s="83"/>
      <c r="F551" s="83"/>
      <c r="G551" s="83"/>
    </row>
    <row r="552" spans="1:7" s="70" customFormat="1">
      <c r="A552" s="227"/>
      <c r="C552" s="83"/>
      <c r="D552" s="83"/>
      <c r="E552" s="83"/>
      <c r="F552" s="83"/>
      <c r="G552" s="83"/>
    </row>
    <row r="553" spans="1:7" s="70" customFormat="1">
      <c r="A553" s="227"/>
      <c r="C553" s="83"/>
      <c r="D553" s="83"/>
      <c r="E553" s="83"/>
      <c r="F553" s="83"/>
      <c r="G553" s="83"/>
    </row>
    <row r="554" spans="1:7" s="70" customFormat="1">
      <c r="A554" s="227"/>
      <c r="C554" s="83"/>
      <c r="D554" s="83"/>
      <c r="E554" s="83"/>
      <c r="F554" s="83"/>
      <c r="G554" s="83"/>
    </row>
    <row r="555" spans="1:7" s="70" customFormat="1">
      <c r="A555" s="227"/>
      <c r="C555" s="83"/>
      <c r="D555" s="83"/>
      <c r="E555" s="83"/>
      <c r="F555" s="83"/>
      <c r="G555" s="83"/>
    </row>
    <row r="556" spans="1:7" s="70" customFormat="1">
      <c r="A556" s="227"/>
      <c r="C556" s="83"/>
      <c r="D556" s="83"/>
      <c r="E556" s="83"/>
      <c r="F556" s="83"/>
      <c r="G556" s="83"/>
    </row>
    <row r="557" spans="1:7" s="70" customFormat="1">
      <c r="A557" s="227"/>
      <c r="C557" s="83"/>
      <c r="D557" s="83"/>
      <c r="E557" s="83"/>
      <c r="F557" s="83"/>
      <c r="G557" s="83"/>
    </row>
    <row r="558" spans="1:7" s="70" customFormat="1">
      <c r="A558" s="227"/>
      <c r="C558" s="83"/>
      <c r="D558" s="83"/>
      <c r="E558" s="83"/>
      <c r="F558" s="83"/>
      <c r="G558" s="83"/>
    </row>
    <row r="559" spans="1:7" s="70" customFormat="1">
      <c r="A559" s="227"/>
      <c r="C559" s="83"/>
      <c r="D559" s="83"/>
      <c r="E559" s="83"/>
      <c r="F559" s="83"/>
      <c r="G559" s="83"/>
    </row>
    <row r="560" spans="1:7" s="70" customFormat="1">
      <c r="A560" s="227"/>
      <c r="C560" s="83"/>
      <c r="D560" s="83"/>
      <c r="E560" s="83"/>
      <c r="F560" s="83"/>
      <c r="G560" s="83"/>
    </row>
    <row r="561" spans="1:7" s="70" customFormat="1">
      <c r="A561" s="227"/>
      <c r="C561" s="83"/>
      <c r="D561" s="83"/>
      <c r="E561" s="83"/>
      <c r="F561" s="83"/>
      <c r="G561" s="83"/>
    </row>
    <row r="562" spans="1:7" s="70" customFormat="1">
      <c r="A562" s="227"/>
      <c r="C562" s="83"/>
      <c r="D562" s="83"/>
      <c r="E562" s="83"/>
      <c r="F562" s="83"/>
      <c r="G562" s="83"/>
    </row>
    <row r="563" spans="1:7" s="70" customFormat="1">
      <c r="A563" s="227"/>
      <c r="C563" s="83"/>
      <c r="D563" s="83"/>
      <c r="E563" s="83"/>
      <c r="F563" s="83"/>
      <c r="G563" s="83"/>
    </row>
    <row r="564" spans="1:7" s="70" customFormat="1">
      <c r="A564" s="227"/>
      <c r="C564" s="83"/>
      <c r="D564" s="83"/>
      <c r="E564" s="83"/>
      <c r="F564" s="83"/>
      <c r="G564" s="83"/>
    </row>
    <row r="565" spans="1:7" s="70" customFormat="1">
      <c r="A565" s="227"/>
      <c r="C565" s="83"/>
      <c r="D565" s="83"/>
      <c r="E565" s="83"/>
      <c r="F565" s="83"/>
      <c r="G565" s="83"/>
    </row>
    <row r="566" spans="1:7" s="70" customFormat="1">
      <c r="A566" s="227"/>
      <c r="C566" s="83"/>
      <c r="D566" s="83"/>
      <c r="E566" s="83"/>
      <c r="F566" s="83"/>
      <c r="G566" s="83"/>
    </row>
    <row r="567" spans="1:7" s="70" customFormat="1">
      <c r="A567" s="227"/>
      <c r="C567" s="83"/>
      <c r="D567" s="83"/>
      <c r="E567" s="83"/>
      <c r="F567" s="83"/>
      <c r="G567" s="83"/>
    </row>
    <row r="568" spans="1:7" s="70" customFormat="1">
      <c r="A568" s="227"/>
      <c r="C568" s="83"/>
      <c r="D568" s="83"/>
      <c r="E568" s="83"/>
      <c r="F568" s="83"/>
      <c r="G568" s="83"/>
    </row>
    <row r="569" spans="1:7" s="70" customFormat="1">
      <c r="A569" s="227"/>
      <c r="C569" s="83"/>
      <c r="D569" s="83"/>
      <c r="E569" s="83"/>
      <c r="F569" s="83"/>
      <c r="G569" s="83"/>
    </row>
    <row r="570" spans="1:7" s="70" customFormat="1">
      <c r="A570" s="227"/>
      <c r="C570" s="83"/>
      <c r="D570" s="83"/>
      <c r="E570" s="83"/>
      <c r="F570" s="83"/>
      <c r="G570" s="83"/>
    </row>
    <row r="571" spans="1:7" s="70" customFormat="1">
      <c r="A571" s="227"/>
      <c r="C571" s="83"/>
      <c r="D571" s="83"/>
      <c r="E571" s="83"/>
      <c r="F571" s="83"/>
      <c r="G571" s="83"/>
    </row>
    <row r="572" spans="1:7" s="70" customFormat="1">
      <c r="A572" s="227"/>
      <c r="C572" s="83"/>
      <c r="D572" s="83"/>
      <c r="E572" s="83"/>
      <c r="F572" s="83"/>
      <c r="G572" s="83"/>
    </row>
    <row r="573" spans="1:7" s="70" customFormat="1">
      <c r="A573" s="227"/>
      <c r="C573" s="83"/>
      <c r="D573" s="83"/>
      <c r="E573" s="83"/>
      <c r="F573" s="83"/>
      <c r="G573" s="83"/>
    </row>
    <row r="574" spans="1:7" s="70" customFormat="1">
      <c r="A574" s="227"/>
      <c r="C574" s="83"/>
      <c r="D574" s="83"/>
      <c r="E574" s="83"/>
      <c r="F574" s="83"/>
      <c r="G574" s="83"/>
    </row>
    <row r="575" spans="1:7" s="70" customFormat="1">
      <c r="A575" s="227"/>
      <c r="C575" s="83"/>
      <c r="D575" s="83"/>
      <c r="E575" s="83"/>
      <c r="F575" s="83"/>
      <c r="G575" s="83"/>
    </row>
    <row r="576" spans="1:7" s="70" customFormat="1">
      <c r="A576" s="227"/>
      <c r="C576" s="83"/>
      <c r="D576" s="83"/>
      <c r="E576" s="83"/>
      <c r="F576" s="83"/>
      <c r="G576" s="83"/>
    </row>
    <row r="577" spans="1:7" s="70" customFormat="1">
      <c r="A577" s="227"/>
      <c r="C577" s="83"/>
      <c r="D577" s="83"/>
      <c r="E577" s="83"/>
      <c r="F577" s="83"/>
      <c r="G577" s="83"/>
    </row>
    <row r="578" spans="1:7" s="70" customFormat="1">
      <c r="A578" s="227"/>
      <c r="C578" s="83"/>
      <c r="D578" s="83"/>
      <c r="E578" s="83"/>
      <c r="F578" s="83"/>
      <c r="G578" s="83"/>
    </row>
    <row r="579" spans="1:7" s="70" customFormat="1">
      <c r="A579" s="227"/>
      <c r="C579" s="83"/>
      <c r="D579" s="83"/>
      <c r="E579" s="83"/>
      <c r="F579" s="83"/>
      <c r="G579" s="83"/>
    </row>
    <row r="580" spans="1:7" s="70" customFormat="1">
      <c r="A580" s="227"/>
      <c r="C580" s="83"/>
      <c r="D580" s="83"/>
      <c r="E580" s="83"/>
      <c r="F580" s="83"/>
      <c r="G580" s="83"/>
    </row>
    <row r="581" spans="1:7" s="70" customFormat="1">
      <c r="A581" s="227"/>
      <c r="C581" s="83"/>
      <c r="D581" s="83"/>
      <c r="E581" s="83"/>
      <c r="F581" s="83"/>
      <c r="G581" s="83"/>
    </row>
    <row r="582" spans="1:7" s="70" customFormat="1">
      <c r="A582" s="227"/>
      <c r="C582" s="83"/>
      <c r="D582" s="83"/>
      <c r="E582" s="83"/>
      <c r="F582" s="83"/>
      <c r="G582" s="83"/>
    </row>
    <row r="583" spans="1:7" s="70" customFormat="1">
      <c r="A583" s="227"/>
      <c r="C583" s="83"/>
      <c r="D583" s="83"/>
      <c r="E583" s="83"/>
      <c r="F583" s="83"/>
      <c r="G583" s="83"/>
    </row>
    <row r="584" spans="1:7" s="70" customFormat="1">
      <c r="A584" s="227"/>
      <c r="C584" s="83"/>
      <c r="D584" s="83"/>
      <c r="E584" s="83"/>
      <c r="F584" s="83"/>
      <c r="G584" s="83"/>
    </row>
    <row r="585" spans="1:7" s="70" customFormat="1">
      <c r="A585" s="227"/>
      <c r="C585" s="83"/>
      <c r="D585" s="83"/>
      <c r="E585" s="83"/>
      <c r="F585" s="83"/>
      <c r="G585" s="83"/>
    </row>
    <row r="586" spans="1:7" s="70" customFormat="1">
      <c r="A586" s="227"/>
      <c r="C586" s="83"/>
      <c r="D586" s="83"/>
      <c r="E586" s="83"/>
      <c r="F586" s="83"/>
      <c r="G586" s="83"/>
    </row>
    <row r="587" spans="1:7" s="70" customFormat="1">
      <c r="A587" s="227"/>
      <c r="C587" s="83"/>
      <c r="D587" s="83"/>
      <c r="E587" s="83"/>
      <c r="F587" s="83"/>
      <c r="G587" s="83"/>
    </row>
    <row r="588" spans="1:7" s="70" customFormat="1">
      <c r="A588" s="227"/>
      <c r="C588" s="83"/>
      <c r="D588" s="83"/>
      <c r="E588" s="83"/>
      <c r="F588" s="83"/>
      <c r="G588" s="83"/>
    </row>
    <row r="589" spans="1:7" s="70" customFormat="1">
      <c r="A589" s="227"/>
      <c r="C589" s="83"/>
      <c r="D589" s="83"/>
      <c r="E589" s="83"/>
      <c r="F589" s="83"/>
      <c r="G589" s="83"/>
    </row>
    <row r="590" spans="1:7" s="70" customFormat="1">
      <c r="A590" s="227"/>
      <c r="C590" s="83"/>
      <c r="D590" s="83"/>
      <c r="E590" s="83"/>
      <c r="F590" s="83"/>
      <c r="G590" s="83"/>
    </row>
    <row r="591" spans="1:7" s="70" customFormat="1">
      <c r="A591" s="227"/>
      <c r="C591" s="83"/>
      <c r="D591" s="83"/>
      <c r="E591" s="83"/>
      <c r="F591" s="83"/>
      <c r="G591" s="83"/>
    </row>
    <row r="592" spans="1:7" s="70" customFormat="1">
      <c r="A592" s="227"/>
      <c r="C592" s="83"/>
      <c r="D592" s="83"/>
      <c r="E592" s="83"/>
      <c r="F592" s="83"/>
      <c r="G592" s="83"/>
    </row>
    <row r="593" spans="1:7" s="70" customFormat="1">
      <c r="A593" s="227"/>
      <c r="C593" s="83"/>
      <c r="D593" s="83"/>
      <c r="E593" s="83"/>
      <c r="F593" s="83"/>
      <c r="G593" s="83"/>
    </row>
    <row r="594" spans="1:7" s="70" customFormat="1">
      <c r="A594" s="227"/>
      <c r="C594" s="83"/>
      <c r="D594" s="83"/>
      <c r="E594" s="83"/>
      <c r="F594" s="83"/>
      <c r="G594" s="83"/>
    </row>
    <row r="595" spans="1:7" s="70" customFormat="1">
      <c r="A595" s="227"/>
      <c r="C595" s="83"/>
      <c r="D595" s="83"/>
      <c r="E595" s="83"/>
      <c r="F595" s="83"/>
      <c r="G595" s="83"/>
    </row>
    <row r="596" spans="1:7" s="70" customFormat="1">
      <c r="A596" s="227"/>
      <c r="C596" s="83"/>
      <c r="D596" s="83"/>
      <c r="E596" s="83"/>
      <c r="F596" s="83"/>
      <c r="G596" s="83"/>
    </row>
    <row r="597" spans="1:7" s="70" customFormat="1">
      <c r="A597" s="227"/>
      <c r="C597" s="83"/>
      <c r="D597" s="83"/>
      <c r="E597" s="83"/>
      <c r="F597" s="83"/>
      <c r="G597" s="83"/>
    </row>
    <row r="598" spans="1:7" s="70" customFormat="1">
      <c r="A598" s="227"/>
      <c r="C598" s="83"/>
      <c r="D598" s="83"/>
      <c r="E598" s="83"/>
      <c r="F598" s="83"/>
      <c r="G598" s="83"/>
    </row>
    <row r="599" spans="1:7" s="70" customFormat="1">
      <c r="A599" s="227"/>
      <c r="C599" s="83"/>
      <c r="D599" s="83"/>
      <c r="E599" s="83"/>
      <c r="F599" s="83"/>
      <c r="G599" s="83"/>
    </row>
    <row r="600" spans="1:7" s="70" customFormat="1">
      <c r="A600" s="227"/>
      <c r="C600" s="83"/>
      <c r="D600" s="83"/>
      <c r="E600" s="83"/>
      <c r="F600" s="83"/>
      <c r="G600" s="83"/>
    </row>
    <row r="601" spans="1:7" s="70" customFormat="1">
      <c r="A601" s="227"/>
      <c r="C601" s="83"/>
      <c r="D601" s="83"/>
      <c r="E601" s="83"/>
      <c r="F601" s="83"/>
      <c r="G601" s="83"/>
    </row>
    <row r="602" spans="1:7" s="70" customFormat="1">
      <c r="A602" s="227"/>
      <c r="C602" s="83"/>
      <c r="D602" s="83"/>
      <c r="E602" s="83"/>
      <c r="F602" s="83"/>
      <c r="G602" s="83"/>
    </row>
    <row r="603" spans="1:7" s="70" customFormat="1">
      <c r="A603" s="227"/>
      <c r="C603" s="83"/>
      <c r="D603" s="83"/>
      <c r="E603" s="83"/>
      <c r="F603" s="83"/>
      <c r="G603" s="83"/>
    </row>
    <row r="604" spans="1:7" s="70" customFormat="1">
      <c r="A604" s="227"/>
      <c r="C604" s="83"/>
      <c r="D604" s="83"/>
      <c r="E604" s="83"/>
      <c r="F604" s="83"/>
      <c r="G604" s="83"/>
    </row>
    <row r="605" spans="1:7" s="70" customFormat="1">
      <c r="A605" s="227"/>
      <c r="C605" s="83"/>
      <c r="D605" s="83"/>
      <c r="E605" s="83"/>
      <c r="F605" s="83"/>
      <c r="G605" s="83"/>
    </row>
    <row r="606" spans="1:7" s="70" customFormat="1">
      <c r="A606" s="227"/>
      <c r="C606" s="83"/>
      <c r="D606" s="83"/>
      <c r="E606" s="83"/>
      <c r="F606" s="83"/>
      <c r="G606" s="83"/>
    </row>
    <row r="607" spans="1:7" s="70" customFormat="1">
      <c r="A607" s="227"/>
      <c r="C607" s="83"/>
      <c r="D607" s="83"/>
      <c r="E607" s="83"/>
      <c r="F607" s="83"/>
      <c r="G607" s="83"/>
    </row>
    <row r="608" spans="1:7" s="70" customFormat="1">
      <c r="A608" s="227"/>
      <c r="C608" s="83"/>
      <c r="D608" s="83"/>
      <c r="E608" s="83"/>
      <c r="F608" s="83"/>
      <c r="G608" s="83"/>
    </row>
    <row r="609" spans="1:7" s="70" customFormat="1">
      <c r="A609" s="227"/>
      <c r="C609" s="83"/>
      <c r="D609" s="83"/>
      <c r="E609" s="83"/>
      <c r="F609" s="83"/>
      <c r="G609" s="83"/>
    </row>
    <row r="610" spans="1:7" s="70" customFormat="1">
      <c r="A610" s="227"/>
      <c r="C610" s="83"/>
      <c r="D610" s="83"/>
      <c r="E610" s="83"/>
      <c r="F610" s="83"/>
      <c r="G610" s="83"/>
    </row>
    <row r="611" spans="1:7" s="70" customFormat="1">
      <c r="A611" s="227"/>
      <c r="C611" s="83"/>
      <c r="D611" s="83"/>
      <c r="E611" s="83"/>
      <c r="F611" s="83"/>
      <c r="G611" s="83"/>
    </row>
    <row r="612" spans="1:7" s="70" customFormat="1">
      <c r="A612" s="227"/>
      <c r="C612" s="83"/>
      <c r="D612" s="83"/>
      <c r="E612" s="83"/>
      <c r="F612" s="83"/>
      <c r="G612" s="83"/>
    </row>
    <row r="613" spans="1:7" s="70" customFormat="1">
      <c r="A613" s="227"/>
      <c r="C613" s="83"/>
      <c r="D613" s="83"/>
      <c r="E613" s="83"/>
      <c r="F613" s="83"/>
      <c r="G613" s="83"/>
    </row>
    <row r="614" spans="1:7" s="70" customFormat="1">
      <c r="A614" s="227"/>
      <c r="C614" s="83"/>
      <c r="D614" s="83"/>
      <c r="E614" s="83"/>
      <c r="F614" s="83"/>
      <c r="G614" s="83"/>
    </row>
    <row r="615" spans="1:7" s="70" customFormat="1">
      <c r="A615" s="227"/>
      <c r="C615" s="83"/>
      <c r="D615" s="83"/>
      <c r="E615" s="83"/>
      <c r="F615" s="83"/>
      <c r="G615" s="83"/>
    </row>
    <row r="616" spans="1:7" s="70" customFormat="1">
      <c r="A616" s="227"/>
      <c r="C616" s="83"/>
      <c r="D616" s="83"/>
      <c r="E616" s="83"/>
      <c r="F616" s="83"/>
      <c r="G616" s="83"/>
    </row>
    <row r="617" spans="1:7" s="70" customFormat="1">
      <c r="A617" s="227"/>
      <c r="C617" s="83"/>
      <c r="D617" s="83"/>
      <c r="E617" s="83"/>
      <c r="F617" s="83"/>
      <c r="G617" s="83"/>
    </row>
    <row r="618" spans="1:7" s="70" customFormat="1">
      <c r="A618" s="227"/>
      <c r="C618" s="83"/>
      <c r="D618" s="83"/>
      <c r="E618" s="83"/>
      <c r="F618" s="83"/>
      <c r="G618" s="83"/>
    </row>
    <row r="619" spans="1:7" s="70" customFormat="1">
      <c r="A619" s="227"/>
      <c r="C619" s="83"/>
      <c r="D619" s="83"/>
      <c r="E619" s="83"/>
      <c r="F619" s="83"/>
      <c r="G619" s="83"/>
    </row>
    <row r="620" spans="1:7" s="70" customFormat="1">
      <c r="A620" s="227"/>
      <c r="C620" s="83"/>
      <c r="D620" s="83"/>
      <c r="E620" s="83"/>
      <c r="F620" s="83"/>
      <c r="G620" s="83"/>
    </row>
    <row r="621" spans="1:7" s="70" customFormat="1">
      <c r="A621" s="227"/>
      <c r="C621" s="83"/>
      <c r="D621" s="83"/>
      <c r="E621" s="83"/>
      <c r="F621" s="83"/>
      <c r="G621" s="83"/>
    </row>
    <row r="622" spans="1:7" s="70" customFormat="1">
      <c r="A622" s="227"/>
      <c r="C622" s="83"/>
      <c r="D622" s="83"/>
      <c r="E622" s="83"/>
      <c r="F622" s="83"/>
      <c r="G622" s="83"/>
    </row>
    <row r="623" spans="1:7" s="70" customFormat="1">
      <c r="A623" s="227"/>
      <c r="C623" s="83"/>
      <c r="D623" s="83"/>
      <c r="E623" s="83"/>
      <c r="F623" s="83"/>
      <c r="G623" s="83"/>
    </row>
    <row r="624" spans="1:7" s="70" customFormat="1">
      <c r="A624" s="227"/>
      <c r="C624" s="83"/>
      <c r="D624" s="83"/>
      <c r="E624" s="83"/>
      <c r="F624" s="83"/>
      <c r="G624" s="83"/>
    </row>
    <row r="625" spans="1:7" s="70" customFormat="1">
      <c r="A625" s="227"/>
      <c r="C625" s="83"/>
      <c r="D625" s="83"/>
      <c r="E625" s="83"/>
      <c r="F625" s="83"/>
      <c r="G625" s="83"/>
    </row>
    <row r="626" spans="1:7" s="70" customFormat="1">
      <c r="A626" s="227"/>
      <c r="C626" s="83"/>
      <c r="D626" s="83"/>
      <c r="E626" s="83"/>
      <c r="F626" s="83"/>
      <c r="G626" s="83"/>
    </row>
    <row r="627" spans="1:7" s="70" customFormat="1">
      <c r="A627" s="227"/>
      <c r="C627" s="83"/>
      <c r="D627" s="83"/>
      <c r="E627" s="83"/>
      <c r="F627" s="83"/>
      <c r="G627" s="83"/>
    </row>
    <row r="628" spans="1:7" s="70" customFormat="1">
      <c r="A628" s="227"/>
      <c r="C628" s="83"/>
      <c r="D628" s="83"/>
      <c r="E628" s="83"/>
      <c r="F628" s="83"/>
      <c r="G628" s="83"/>
    </row>
    <row r="629" spans="1:7" s="70" customFormat="1">
      <c r="A629" s="227"/>
      <c r="C629" s="83"/>
      <c r="D629" s="83"/>
      <c r="E629" s="83"/>
      <c r="F629" s="83"/>
      <c r="G629" s="83"/>
    </row>
    <row r="630" spans="1:7" s="70" customFormat="1">
      <c r="A630" s="227"/>
      <c r="C630" s="83"/>
      <c r="D630" s="83"/>
      <c r="E630" s="83"/>
      <c r="F630" s="83"/>
      <c r="G630" s="83"/>
    </row>
    <row r="631" spans="1:7" s="70" customFormat="1">
      <c r="A631" s="227"/>
      <c r="C631" s="83"/>
      <c r="D631" s="83"/>
      <c r="E631" s="83"/>
      <c r="F631" s="83"/>
      <c r="G631" s="83"/>
    </row>
    <row r="632" spans="1:7" s="70" customFormat="1">
      <c r="A632" s="227"/>
      <c r="C632" s="83"/>
      <c r="D632" s="83"/>
      <c r="E632" s="83"/>
      <c r="F632" s="83"/>
      <c r="G632" s="83"/>
    </row>
    <row r="633" spans="1:7" s="70" customFormat="1">
      <c r="A633" s="227"/>
      <c r="C633" s="83"/>
      <c r="D633" s="83"/>
      <c r="E633" s="83"/>
      <c r="F633" s="83"/>
      <c r="G633" s="83"/>
    </row>
    <row r="634" spans="1:7" s="70" customFormat="1">
      <c r="A634" s="227"/>
      <c r="C634" s="83"/>
      <c r="D634" s="83"/>
      <c r="E634" s="83"/>
      <c r="F634" s="83"/>
      <c r="G634" s="83"/>
    </row>
    <row r="635" spans="1:7" s="70" customFormat="1">
      <c r="A635" s="227"/>
      <c r="C635" s="83"/>
      <c r="D635" s="83"/>
      <c r="E635" s="83"/>
      <c r="F635" s="83"/>
      <c r="G635" s="83"/>
    </row>
    <row r="636" spans="1:7" s="70" customFormat="1">
      <c r="A636" s="227"/>
      <c r="C636" s="83"/>
      <c r="D636" s="83"/>
      <c r="E636" s="83"/>
      <c r="F636" s="83"/>
      <c r="G636" s="83"/>
    </row>
    <row r="637" spans="1:7" s="70" customFormat="1">
      <c r="A637" s="227"/>
      <c r="C637" s="83"/>
      <c r="D637" s="83"/>
      <c r="E637" s="83"/>
      <c r="F637" s="83"/>
      <c r="G637" s="83"/>
    </row>
    <row r="638" spans="1:7" s="70" customFormat="1">
      <c r="A638" s="227"/>
      <c r="C638" s="83"/>
      <c r="D638" s="83"/>
      <c r="E638" s="83"/>
      <c r="F638" s="83"/>
      <c r="G638" s="83"/>
    </row>
    <row r="639" spans="1:7" s="70" customFormat="1">
      <c r="A639" s="227"/>
      <c r="C639" s="83"/>
      <c r="D639" s="83"/>
      <c r="E639" s="83"/>
      <c r="F639" s="83"/>
      <c r="G639" s="83"/>
    </row>
    <row r="640" spans="1:7" s="70" customFormat="1">
      <c r="A640" s="227"/>
      <c r="C640" s="83"/>
      <c r="D640" s="83"/>
      <c r="E640" s="83"/>
      <c r="F640" s="83"/>
      <c r="G640" s="83"/>
    </row>
    <row r="641" spans="1:7" s="70" customFormat="1">
      <c r="A641" s="227"/>
      <c r="C641" s="83"/>
      <c r="D641" s="83"/>
      <c r="E641" s="83"/>
      <c r="F641" s="83"/>
      <c r="G641" s="83"/>
    </row>
    <row r="642" spans="1:7" s="70" customFormat="1">
      <c r="A642" s="227"/>
      <c r="C642" s="83"/>
      <c r="D642" s="83"/>
      <c r="E642" s="83"/>
      <c r="F642" s="83"/>
      <c r="G642" s="83"/>
    </row>
    <row r="643" spans="1:7" s="70" customFormat="1">
      <c r="A643" s="227"/>
      <c r="C643" s="83"/>
      <c r="D643" s="83"/>
      <c r="E643" s="83"/>
      <c r="F643" s="83"/>
      <c r="G643" s="83"/>
    </row>
    <row r="644" spans="1:7" s="70" customFormat="1">
      <c r="A644" s="227"/>
      <c r="C644" s="83"/>
      <c r="D644" s="83"/>
      <c r="E644" s="83"/>
      <c r="F644" s="83"/>
      <c r="G644" s="83"/>
    </row>
    <row r="645" spans="1:7" s="70" customFormat="1">
      <c r="A645" s="227"/>
      <c r="C645" s="83"/>
      <c r="D645" s="83"/>
      <c r="E645" s="83"/>
      <c r="F645" s="83"/>
      <c r="G645" s="83"/>
    </row>
    <row r="646" spans="1:7" s="70" customFormat="1">
      <c r="A646" s="227"/>
      <c r="C646" s="83"/>
      <c r="D646" s="83"/>
      <c r="E646" s="83"/>
      <c r="F646" s="83"/>
      <c r="G646" s="83"/>
    </row>
    <row r="647" spans="1:7" s="70" customFormat="1">
      <c r="A647" s="227"/>
      <c r="C647" s="83"/>
      <c r="D647" s="83"/>
      <c r="E647" s="83"/>
      <c r="F647" s="83"/>
      <c r="G647" s="83"/>
    </row>
    <row r="648" spans="1:7" s="70" customFormat="1">
      <c r="A648" s="227"/>
      <c r="C648" s="83"/>
      <c r="D648" s="83"/>
      <c r="E648" s="83"/>
      <c r="F648" s="83"/>
      <c r="G648" s="83"/>
    </row>
    <row r="649" spans="1:7" s="70" customFormat="1">
      <c r="A649" s="227"/>
      <c r="C649" s="83"/>
      <c r="D649" s="83"/>
      <c r="E649" s="83"/>
      <c r="F649" s="83"/>
      <c r="G649" s="83"/>
    </row>
    <row r="650" spans="1:7" s="70" customFormat="1">
      <c r="A650" s="227"/>
      <c r="C650" s="83"/>
      <c r="D650" s="83"/>
      <c r="E650" s="83"/>
      <c r="F650" s="83"/>
      <c r="G650" s="83"/>
    </row>
    <row r="651" spans="1:7" s="70" customFormat="1">
      <c r="A651" s="227"/>
      <c r="C651" s="83"/>
      <c r="D651" s="83"/>
      <c r="E651" s="83"/>
      <c r="F651" s="83"/>
      <c r="G651" s="83"/>
    </row>
    <row r="652" spans="1:7" s="70" customFormat="1">
      <c r="A652" s="227"/>
      <c r="C652" s="83"/>
      <c r="D652" s="83"/>
      <c r="E652" s="83"/>
      <c r="F652" s="83"/>
      <c r="G652" s="83"/>
    </row>
    <row r="653" spans="1:7" s="70" customFormat="1">
      <c r="A653" s="227"/>
      <c r="C653" s="83"/>
      <c r="D653" s="83"/>
      <c r="E653" s="83"/>
      <c r="F653" s="83"/>
      <c r="G653" s="83"/>
    </row>
    <row r="654" spans="1:7" s="70" customFormat="1">
      <c r="A654" s="227"/>
      <c r="C654" s="83"/>
      <c r="D654" s="83"/>
      <c r="E654" s="83"/>
      <c r="F654" s="83"/>
      <c r="G654" s="83"/>
    </row>
    <row r="655" spans="1:7" s="70" customFormat="1">
      <c r="A655" s="227"/>
      <c r="C655" s="83"/>
      <c r="D655" s="83"/>
      <c r="E655" s="83"/>
      <c r="F655" s="83"/>
      <c r="G655" s="83"/>
    </row>
    <row r="656" spans="1:7" s="70" customFormat="1">
      <c r="A656" s="227"/>
      <c r="C656" s="83"/>
      <c r="D656" s="83"/>
      <c r="E656" s="83"/>
      <c r="F656" s="83"/>
      <c r="G656" s="83"/>
    </row>
    <row r="657" spans="1:7" s="70" customFormat="1">
      <c r="A657" s="227"/>
      <c r="C657" s="83"/>
      <c r="D657" s="83"/>
      <c r="E657" s="83"/>
      <c r="F657" s="83"/>
      <c r="G657" s="83"/>
    </row>
    <row r="658" spans="1:7" s="70" customFormat="1">
      <c r="A658" s="227"/>
      <c r="C658" s="83"/>
      <c r="D658" s="83"/>
      <c r="E658" s="83"/>
      <c r="F658" s="83"/>
      <c r="G658" s="83"/>
    </row>
    <row r="659" spans="1:7" s="70" customFormat="1">
      <c r="A659" s="227"/>
      <c r="C659" s="83"/>
      <c r="D659" s="83"/>
      <c r="E659" s="83"/>
      <c r="F659" s="83"/>
      <c r="G659" s="83"/>
    </row>
    <row r="660" spans="1:7" s="70" customFormat="1">
      <c r="A660" s="227"/>
      <c r="C660" s="83"/>
      <c r="D660" s="83"/>
      <c r="E660" s="83"/>
      <c r="F660" s="83"/>
      <c r="G660" s="83"/>
    </row>
    <row r="661" spans="1:7" s="70" customFormat="1">
      <c r="A661" s="227"/>
      <c r="C661" s="83"/>
      <c r="D661" s="83"/>
      <c r="E661" s="83"/>
      <c r="F661" s="83"/>
      <c r="G661" s="83"/>
    </row>
    <row r="662" spans="1:7" s="70" customFormat="1">
      <c r="A662" s="227"/>
      <c r="C662" s="83"/>
      <c r="D662" s="83"/>
      <c r="E662" s="83"/>
      <c r="F662" s="83"/>
      <c r="G662" s="83"/>
    </row>
    <row r="663" spans="1:7" s="70" customFormat="1">
      <c r="A663" s="227"/>
      <c r="C663" s="83"/>
      <c r="D663" s="83"/>
      <c r="E663" s="83"/>
      <c r="F663" s="83"/>
      <c r="G663" s="83"/>
    </row>
    <row r="664" spans="1:7" s="70" customFormat="1">
      <c r="A664" s="227"/>
      <c r="C664" s="83"/>
      <c r="D664" s="83"/>
      <c r="E664" s="83"/>
      <c r="F664" s="83"/>
      <c r="G664" s="83"/>
    </row>
    <row r="665" spans="1:7" s="70" customFormat="1">
      <c r="A665" s="227"/>
      <c r="C665" s="83"/>
      <c r="D665" s="83"/>
      <c r="E665" s="83"/>
      <c r="F665" s="83"/>
      <c r="G665" s="83"/>
    </row>
    <row r="666" spans="1:7" s="70" customFormat="1">
      <c r="A666" s="227"/>
      <c r="C666" s="83"/>
      <c r="D666" s="83"/>
      <c r="E666" s="83"/>
      <c r="F666" s="83"/>
      <c r="G666" s="83"/>
    </row>
    <row r="667" spans="1:7" s="70" customFormat="1">
      <c r="A667" s="227"/>
      <c r="C667" s="83"/>
      <c r="D667" s="83"/>
      <c r="E667" s="83"/>
      <c r="F667" s="83"/>
      <c r="G667" s="83"/>
    </row>
    <row r="668" spans="1:7" s="70" customFormat="1">
      <c r="A668" s="227"/>
      <c r="C668" s="83"/>
      <c r="D668" s="83"/>
      <c r="E668" s="83"/>
      <c r="F668" s="83"/>
      <c r="G668" s="83"/>
    </row>
    <row r="669" spans="1:7" s="70" customFormat="1">
      <c r="A669" s="227"/>
      <c r="C669" s="83"/>
      <c r="D669" s="83"/>
      <c r="E669" s="83"/>
      <c r="F669" s="83"/>
      <c r="G669" s="83"/>
    </row>
    <row r="670" spans="1:7" s="70" customFormat="1">
      <c r="A670" s="227"/>
      <c r="C670" s="83"/>
      <c r="D670" s="83"/>
      <c r="E670" s="83"/>
      <c r="F670" s="83"/>
      <c r="G670" s="83"/>
    </row>
    <row r="671" spans="1:7" s="70" customFormat="1">
      <c r="A671" s="227"/>
      <c r="C671" s="83"/>
      <c r="D671" s="83"/>
      <c r="E671" s="83"/>
      <c r="F671" s="83"/>
      <c r="G671" s="83"/>
    </row>
    <row r="672" spans="1:7" s="70" customFormat="1">
      <c r="A672" s="227"/>
      <c r="C672" s="83"/>
      <c r="D672" s="83"/>
      <c r="E672" s="83"/>
      <c r="F672" s="83"/>
      <c r="G672" s="83"/>
    </row>
    <row r="673" spans="1:7" s="70" customFormat="1">
      <c r="A673" s="227"/>
      <c r="C673" s="83"/>
      <c r="D673" s="83"/>
      <c r="E673" s="83"/>
      <c r="F673" s="83"/>
      <c r="G673" s="83"/>
    </row>
    <row r="674" spans="1:7" s="70" customFormat="1">
      <c r="A674" s="227"/>
      <c r="C674" s="83"/>
      <c r="D674" s="83"/>
      <c r="E674" s="83"/>
      <c r="F674" s="83"/>
      <c r="G674" s="83"/>
    </row>
    <row r="675" spans="1:7" s="70" customFormat="1">
      <c r="A675" s="227"/>
      <c r="C675" s="83"/>
      <c r="D675" s="83"/>
      <c r="E675" s="83"/>
      <c r="F675" s="83"/>
      <c r="G675" s="83"/>
    </row>
    <row r="676" spans="1:7" s="70" customFormat="1">
      <c r="A676" s="227"/>
      <c r="C676" s="83"/>
      <c r="D676" s="83"/>
      <c r="E676" s="83"/>
      <c r="F676" s="83"/>
      <c r="G676" s="83"/>
    </row>
    <row r="677" spans="1:7" s="70" customFormat="1">
      <c r="A677" s="227"/>
      <c r="C677" s="83"/>
      <c r="D677" s="83"/>
      <c r="E677" s="83"/>
      <c r="F677" s="83"/>
      <c r="G677" s="83"/>
    </row>
    <row r="678" spans="1:7" s="70" customFormat="1">
      <c r="A678" s="227"/>
      <c r="C678" s="83"/>
      <c r="D678" s="83"/>
      <c r="E678" s="83"/>
      <c r="F678" s="83"/>
      <c r="G678" s="83"/>
    </row>
    <row r="679" spans="1:7" s="70" customFormat="1">
      <c r="A679" s="227"/>
      <c r="C679" s="83"/>
      <c r="D679" s="83"/>
      <c r="E679" s="83"/>
      <c r="F679" s="83"/>
      <c r="G679" s="83"/>
    </row>
    <row r="680" spans="1:7" s="70" customFormat="1">
      <c r="A680" s="227"/>
      <c r="C680" s="83"/>
      <c r="D680" s="83"/>
      <c r="E680" s="83"/>
      <c r="F680" s="83"/>
      <c r="G680" s="83"/>
    </row>
    <row r="681" spans="1:7" s="70" customFormat="1">
      <c r="A681" s="227"/>
      <c r="C681" s="83"/>
      <c r="D681" s="83"/>
      <c r="E681" s="83"/>
      <c r="F681" s="83"/>
      <c r="G681" s="83"/>
    </row>
    <row r="682" spans="1:7" s="70" customFormat="1">
      <c r="A682" s="227"/>
      <c r="C682" s="83"/>
      <c r="D682" s="83"/>
      <c r="E682" s="83"/>
      <c r="F682" s="83"/>
      <c r="G682" s="83"/>
    </row>
    <row r="683" spans="1:7" s="70" customFormat="1">
      <c r="A683" s="227"/>
      <c r="C683" s="83"/>
      <c r="D683" s="83"/>
      <c r="E683" s="83"/>
      <c r="F683" s="83"/>
      <c r="G683" s="83"/>
    </row>
    <row r="684" spans="1:7" s="70" customFormat="1">
      <c r="A684" s="227"/>
      <c r="C684" s="83"/>
      <c r="D684" s="83"/>
      <c r="E684" s="83"/>
      <c r="F684" s="83"/>
      <c r="G684" s="83"/>
    </row>
    <row r="685" spans="1:7" s="70" customFormat="1">
      <c r="A685" s="227"/>
      <c r="C685" s="83"/>
      <c r="D685" s="83"/>
      <c r="E685" s="83"/>
      <c r="F685" s="83"/>
      <c r="G685" s="83"/>
    </row>
    <row r="686" spans="1:7" s="70" customFormat="1">
      <c r="A686" s="227"/>
      <c r="C686" s="83"/>
      <c r="D686" s="83"/>
      <c r="E686" s="83"/>
      <c r="F686" s="83"/>
      <c r="G686" s="83"/>
    </row>
    <row r="687" spans="1:7" s="70" customFormat="1">
      <c r="A687" s="227"/>
      <c r="C687" s="83"/>
      <c r="D687" s="83"/>
      <c r="E687" s="83"/>
      <c r="F687" s="83"/>
      <c r="G687" s="83"/>
    </row>
    <row r="688" spans="1:7" s="70" customFormat="1">
      <c r="A688" s="227"/>
      <c r="C688" s="83"/>
      <c r="D688" s="83"/>
      <c r="E688" s="83"/>
      <c r="F688" s="83"/>
      <c r="G688" s="83"/>
    </row>
    <row r="689" spans="1:7" s="70" customFormat="1">
      <c r="A689" s="227"/>
      <c r="C689" s="83"/>
      <c r="D689" s="83"/>
      <c r="E689" s="83"/>
      <c r="F689" s="83"/>
      <c r="G689" s="83"/>
    </row>
    <row r="690" spans="1:7" s="70" customFormat="1">
      <c r="A690" s="227"/>
      <c r="C690" s="83"/>
      <c r="D690" s="83"/>
      <c r="E690" s="83"/>
      <c r="F690" s="83"/>
      <c r="G690" s="83"/>
    </row>
    <row r="691" spans="1:7" s="70" customFormat="1">
      <c r="A691" s="227"/>
      <c r="C691" s="83"/>
      <c r="D691" s="83"/>
      <c r="E691" s="83"/>
      <c r="F691" s="83"/>
      <c r="G691" s="83"/>
    </row>
    <row r="692" spans="1:7" s="70" customFormat="1">
      <c r="A692" s="227"/>
      <c r="C692" s="83"/>
      <c r="D692" s="83"/>
      <c r="E692" s="83"/>
      <c r="F692" s="83"/>
      <c r="G692" s="83"/>
    </row>
    <row r="693" spans="1:7" s="70" customFormat="1">
      <c r="A693" s="227"/>
      <c r="C693" s="83"/>
      <c r="D693" s="83"/>
      <c r="E693" s="83"/>
      <c r="F693" s="83"/>
      <c r="G693" s="83"/>
    </row>
    <row r="694" spans="1:7" s="70" customFormat="1">
      <c r="A694" s="227"/>
      <c r="C694" s="83"/>
      <c r="D694" s="83"/>
      <c r="E694" s="83"/>
      <c r="F694" s="83"/>
      <c r="G694" s="83"/>
    </row>
    <row r="695" spans="1:7" s="70" customFormat="1">
      <c r="A695" s="227"/>
      <c r="C695" s="83"/>
      <c r="D695" s="83"/>
      <c r="E695" s="83"/>
      <c r="F695" s="83"/>
      <c r="G695" s="83"/>
    </row>
    <row r="696" spans="1:7" s="70" customFormat="1">
      <c r="A696" s="227"/>
      <c r="C696" s="83"/>
      <c r="D696" s="83"/>
      <c r="E696" s="83"/>
      <c r="F696" s="83"/>
      <c r="G696" s="83"/>
    </row>
    <row r="697" spans="1:7" s="70" customFormat="1">
      <c r="A697" s="227"/>
      <c r="C697" s="83"/>
      <c r="D697" s="83"/>
      <c r="E697" s="83"/>
      <c r="F697" s="83"/>
      <c r="G697" s="83"/>
    </row>
    <row r="698" spans="1:7" s="70" customFormat="1">
      <c r="A698" s="227"/>
      <c r="C698" s="83"/>
      <c r="D698" s="83"/>
      <c r="E698" s="83"/>
      <c r="F698" s="83"/>
      <c r="G698" s="83"/>
    </row>
    <row r="699" spans="1:7" s="70" customFormat="1">
      <c r="A699" s="227"/>
      <c r="C699" s="83"/>
      <c r="D699" s="83"/>
      <c r="E699" s="83"/>
      <c r="F699" s="83"/>
      <c r="G699" s="83"/>
    </row>
    <row r="700" spans="1:7" s="70" customFormat="1">
      <c r="A700" s="227"/>
      <c r="C700" s="83"/>
      <c r="D700" s="83"/>
      <c r="E700" s="83"/>
      <c r="F700" s="83"/>
      <c r="G700" s="83"/>
    </row>
    <row r="701" spans="1:7" s="70" customFormat="1">
      <c r="A701" s="227"/>
      <c r="C701" s="83"/>
      <c r="D701" s="83"/>
      <c r="E701" s="83"/>
      <c r="F701" s="83"/>
      <c r="G701" s="83"/>
    </row>
    <row r="702" spans="1:7" s="70" customFormat="1">
      <c r="A702" s="227"/>
      <c r="C702" s="83"/>
      <c r="D702" s="83"/>
      <c r="E702" s="83"/>
      <c r="F702" s="83"/>
      <c r="G702" s="83"/>
    </row>
    <row r="703" spans="1:7" s="70" customFormat="1">
      <c r="A703" s="227"/>
      <c r="C703" s="83"/>
      <c r="D703" s="83"/>
      <c r="E703" s="83"/>
      <c r="F703" s="83"/>
      <c r="G703" s="83"/>
    </row>
    <row r="704" spans="1:7" s="70" customFormat="1">
      <c r="A704" s="227"/>
      <c r="C704" s="83"/>
      <c r="D704" s="83"/>
      <c r="E704" s="83"/>
      <c r="F704" s="83"/>
      <c r="G704" s="83"/>
    </row>
    <row r="705" spans="1:7" s="70" customFormat="1">
      <c r="A705" s="227"/>
      <c r="C705" s="83"/>
      <c r="D705" s="83"/>
      <c r="E705" s="83"/>
      <c r="F705" s="83"/>
      <c r="G705" s="83"/>
    </row>
    <row r="706" spans="1:7" s="70" customFormat="1">
      <c r="A706" s="227"/>
      <c r="C706" s="83"/>
      <c r="D706" s="83"/>
      <c r="E706" s="83"/>
      <c r="F706" s="83"/>
      <c r="G706" s="83"/>
    </row>
    <row r="707" spans="1:7" s="70" customFormat="1">
      <c r="A707" s="227"/>
      <c r="C707" s="83"/>
      <c r="D707" s="83"/>
      <c r="E707" s="83"/>
      <c r="F707" s="83"/>
      <c r="G707" s="83"/>
    </row>
    <row r="708" spans="1:7" s="70" customFormat="1">
      <c r="A708" s="227"/>
      <c r="C708" s="83"/>
      <c r="D708" s="83"/>
      <c r="E708" s="83"/>
      <c r="F708" s="83"/>
      <c r="G708" s="83"/>
    </row>
    <row r="709" spans="1:7" s="70" customFormat="1">
      <c r="A709" s="227"/>
      <c r="C709" s="83"/>
      <c r="D709" s="83"/>
      <c r="E709" s="83"/>
      <c r="F709" s="83"/>
      <c r="G709" s="83"/>
    </row>
    <row r="710" spans="1:7" s="70" customFormat="1">
      <c r="A710" s="227"/>
      <c r="C710" s="83"/>
      <c r="D710" s="83"/>
      <c r="E710" s="83"/>
      <c r="F710" s="83"/>
      <c r="G710" s="83"/>
    </row>
    <row r="711" spans="1:7" s="70" customFormat="1">
      <c r="A711" s="227"/>
      <c r="C711" s="83"/>
      <c r="D711" s="83"/>
      <c r="E711" s="83"/>
      <c r="F711" s="83"/>
      <c r="G711" s="83"/>
    </row>
    <row r="712" spans="1:7" s="70" customFormat="1">
      <c r="A712" s="227"/>
      <c r="C712" s="83"/>
      <c r="D712" s="83"/>
      <c r="E712" s="83"/>
      <c r="F712" s="83"/>
      <c r="G712" s="83"/>
    </row>
    <row r="713" spans="1:7" s="70" customFormat="1">
      <c r="A713" s="227"/>
      <c r="C713" s="83"/>
      <c r="D713" s="83"/>
      <c r="E713" s="83"/>
      <c r="F713" s="83"/>
      <c r="G713" s="83"/>
    </row>
    <row r="714" spans="1:7" s="70" customFormat="1">
      <c r="A714" s="227"/>
      <c r="C714" s="83"/>
      <c r="D714" s="83"/>
      <c r="E714" s="83"/>
      <c r="F714" s="83"/>
      <c r="G714" s="83"/>
    </row>
    <row r="715" spans="1:7" s="70" customFormat="1">
      <c r="A715" s="227"/>
      <c r="C715" s="83"/>
      <c r="D715" s="83"/>
      <c r="E715" s="83"/>
      <c r="F715" s="83"/>
      <c r="G715" s="83"/>
    </row>
    <row r="716" spans="1:7" s="70" customFormat="1">
      <c r="A716" s="227"/>
      <c r="C716" s="83"/>
      <c r="D716" s="83"/>
      <c r="E716" s="83"/>
      <c r="F716" s="83"/>
      <c r="G716" s="83"/>
    </row>
    <row r="717" spans="1:7" s="70" customFormat="1">
      <c r="A717" s="227"/>
      <c r="C717" s="83"/>
      <c r="D717" s="83"/>
      <c r="E717" s="83"/>
      <c r="F717" s="83"/>
      <c r="G717" s="83"/>
    </row>
    <row r="718" spans="1:7" s="70" customFormat="1">
      <c r="A718" s="227"/>
      <c r="C718" s="83"/>
      <c r="D718" s="83"/>
      <c r="E718" s="83"/>
      <c r="F718" s="83"/>
      <c r="G718" s="83"/>
    </row>
    <row r="719" spans="1:7" s="70" customFormat="1">
      <c r="A719" s="227"/>
      <c r="C719" s="83"/>
      <c r="D719" s="83"/>
      <c r="E719" s="83"/>
      <c r="F719" s="83"/>
      <c r="G719" s="83"/>
    </row>
    <row r="720" spans="1:7" s="70" customFormat="1">
      <c r="A720" s="227"/>
      <c r="C720" s="83"/>
      <c r="D720" s="83"/>
      <c r="E720" s="83"/>
      <c r="F720" s="83"/>
      <c r="G720" s="83"/>
    </row>
    <row r="721" spans="1:7" s="70" customFormat="1">
      <c r="A721" s="227"/>
      <c r="C721" s="83"/>
      <c r="D721" s="83"/>
      <c r="E721" s="83"/>
      <c r="F721" s="83"/>
      <c r="G721" s="83"/>
    </row>
    <row r="722" spans="1:7" s="70" customFormat="1">
      <c r="A722" s="227"/>
      <c r="C722" s="83"/>
      <c r="D722" s="83"/>
      <c r="E722" s="83"/>
      <c r="F722" s="83"/>
      <c r="G722" s="83"/>
    </row>
    <row r="723" spans="1:7" s="70" customFormat="1">
      <c r="A723" s="227"/>
      <c r="C723" s="83"/>
      <c r="D723" s="83"/>
      <c r="E723" s="83"/>
      <c r="F723" s="83"/>
      <c r="G723" s="83"/>
    </row>
    <row r="724" spans="1:7" s="70" customFormat="1">
      <c r="A724" s="227"/>
      <c r="C724" s="83"/>
      <c r="D724" s="83"/>
      <c r="E724" s="83"/>
      <c r="F724" s="83"/>
      <c r="G724" s="83"/>
    </row>
    <row r="725" spans="1:7" s="70" customFormat="1">
      <c r="A725" s="227"/>
      <c r="C725" s="83"/>
      <c r="D725" s="83"/>
      <c r="E725" s="83"/>
      <c r="F725" s="83"/>
      <c r="G725" s="83"/>
    </row>
    <row r="726" spans="1:7" s="70" customFormat="1">
      <c r="A726" s="227"/>
      <c r="C726" s="83"/>
      <c r="D726" s="83"/>
      <c r="E726" s="83"/>
      <c r="F726" s="83"/>
      <c r="G726" s="83"/>
    </row>
    <row r="727" spans="1:7" s="70" customFormat="1">
      <c r="A727" s="227"/>
      <c r="C727" s="83"/>
      <c r="D727" s="83"/>
      <c r="E727" s="83"/>
      <c r="F727" s="83"/>
      <c r="G727" s="83"/>
    </row>
    <row r="728" spans="1:7" s="70" customFormat="1">
      <c r="A728" s="227"/>
      <c r="C728" s="83"/>
      <c r="D728" s="83"/>
      <c r="E728" s="83"/>
      <c r="F728" s="83"/>
      <c r="G728" s="83"/>
    </row>
    <row r="729" spans="1:7" s="70" customFormat="1">
      <c r="A729" s="227"/>
      <c r="C729" s="83"/>
      <c r="D729" s="83"/>
      <c r="E729" s="83"/>
      <c r="F729" s="83"/>
      <c r="G729" s="83"/>
    </row>
    <row r="730" spans="1:7" s="70" customFormat="1">
      <c r="A730" s="227"/>
      <c r="C730" s="83"/>
      <c r="D730" s="83"/>
      <c r="E730" s="83"/>
      <c r="F730" s="83"/>
      <c r="G730" s="83"/>
    </row>
    <row r="731" spans="1:7" s="70" customFormat="1">
      <c r="A731" s="227"/>
      <c r="C731" s="83"/>
      <c r="D731" s="83"/>
      <c r="E731" s="83"/>
      <c r="F731" s="83"/>
      <c r="G731" s="83"/>
    </row>
    <row r="732" spans="1:7" s="70" customFormat="1">
      <c r="A732" s="227"/>
      <c r="C732" s="83"/>
      <c r="D732" s="83"/>
      <c r="E732" s="83"/>
      <c r="F732" s="83"/>
      <c r="G732" s="83"/>
    </row>
    <row r="733" spans="1:7" s="70" customFormat="1">
      <c r="A733" s="227"/>
      <c r="C733" s="83"/>
      <c r="D733" s="83"/>
      <c r="E733" s="83"/>
      <c r="F733" s="83"/>
      <c r="G733" s="83"/>
    </row>
    <row r="734" spans="1:7" s="70" customFormat="1">
      <c r="A734" s="227"/>
      <c r="C734" s="83"/>
      <c r="D734" s="83"/>
      <c r="E734" s="83"/>
      <c r="F734" s="83"/>
      <c r="G734" s="83"/>
    </row>
    <row r="735" spans="1:7" s="70" customFormat="1">
      <c r="A735" s="227"/>
      <c r="C735" s="83"/>
      <c r="D735" s="83"/>
      <c r="E735" s="83"/>
      <c r="F735" s="83"/>
      <c r="G735" s="83"/>
    </row>
    <row r="736" spans="1:7" s="70" customFormat="1">
      <c r="A736" s="227"/>
      <c r="C736" s="83"/>
      <c r="D736" s="83"/>
      <c r="E736" s="83"/>
      <c r="F736" s="83"/>
      <c r="G736" s="83"/>
    </row>
    <row r="737" spans="1:7" s="70" customFormat="1">
      <c r="A737" s="227"/>
      <c r="C737" s="83"/>
      <c r="D737" s="83"/>
      <c r="E737" s="83"/>
      <c r="F737" s="83"/>
      <c r="G737" s="83"/>
    </row>
    <row r="738" spans="1:7" s="70" customFormat="1">
      <c r="A738" s="227"/>
      <c r="C738" s="83"/>
      <c r="D738" s="83"/>
      <c r="E738" s="83"/>
      <c r="F738" s="83"/>
      <c r="G738" s="83"/>
    </row>
    <row r="739" spans="1:7" s="70" customFormat="1">
      <c r="A739" s="227"/>
      <c r="C739" s="83"/>
      <c r="D739" s="83"/>
      <c r="E739" s="83"/>
      <c r="F739" s="83"/>
      <c r="G739" s="83"/>
    </row>
    <row r="740" spans="1:7" s="70" customFormat="1">
      <c r="A740" s="227"/>
      <c r="C740" s="83"/>
      <c r="D740" s="83"/>
      <c r="E740" s="83"/>
      <c r="F740" s="83"/>
      <c r="G740" s="83"/>
    </row>
    <row r="741" spans="1:7" s="70" customFormat="1">
      <c r="A741" s="227"/>
      <c r="C741" s="83"/>
      <c r="D741" s="83"/>
      <c r="E741" s="83"/>
      <c r="F741" s="83"/>
      <c r="G741" s="83"/>
    </row>
    <row r="742" spans="1:7" s="70" customFormat="1">
      <c r="A742" s="227"/>
      <c r="C742" s="83"/>
      <c r="D742" s="83"/>
      <c r="E742" s="83"/>
      <c r="F742" s="83"/>
      <c r="G742" s="83"/>
    </row>
    <row r="743" spans="1:7" s="70" customFormat="1">
      <c r="A743" s="227"/>
      <c r="C743" s="83"/>
      <c r="D743" s="83"/>
      <c r="E743" s="83"/>
      <c r="F743" s="83"/>
      <c r="G743" s="83"/>
    </row>
    <row r="744" spans="1:7" s="70" customFormat="1">
      <c r="A744" s="227"/>
      <c r="C744" s="83"/>
      <c r="D744" s="83"/>
      <c r="E744" s="83"/>
      <c r="F744" s="83"/>
      <c r="G744" s="83"/>
    </row>
    <row r="745" spans="1:7" s="70" customFormat="1">
      <c r="A745" s="227"/>
      <c r="C745" s="83"/>
      <c r="D745" s="83"/>
      <c r="E745" s="83"/>
      <c r="F745" s="83"/>
      <c r="G745" s="83"/>
    </row>
    <row r="746" spans="1:7" s="70" customFormat="1">
      <c r="A746" s="227"/>
      <c r="C746" s="83"/>
      <c r="D746" s="83"/>
      <c r="E746" s="83"/>
      <c r="F746" s="83"/>
      <c r="G746" s="83"/>
    </row>
    <row r="747" spans="1:7" s="70" customFormat="1">
      <c r="A747" s="227"/>
      <c r="C747" s="83"/>
      <c r="D747" s="83"/>
      <c r="E747" s="83"/>
      <c r="F747" s="83"/>
      <c r="G747" s="83"/>
    </row>
    <row r="748" spans="1:7" s="70" customFormat="1">
      <c r="A748" s="227"/>
      <c r="C748" s="83"/>
      <c r="D748" s="83"/>
      <c r="E748" s="83"/>
      <c r="F748" s="83"/>
      <c r="G748" s="83"/>
    </row>
    <row r="749" spans="1:7" s="70" customFormat="1">
      <c r="A749" s="227"/>
      <c r="C749" s="83"/>
      <c r="D749" s="83"/>
      <c r="E749" s="83"/>
      <c r="F749" s="83"/>
      <c r="G749" s="83"/>
    </row>
    <row r="750" spans="1:7" s="70" customFormat="1">
      <c r="A750" s="227"/>
      <c r="C750" s="83"/>
      <c r="D750" s="83"/>
      <c r="E750" s="83"/>
      <c r="F750" s="83"/>
      <c r="G750" s="83"/>
    </row>
    <row r="751" spans="1:7" s="70" customFormat="1">
      <c r="A751" s="227"/>
      <c r="C751" s="83"/>
      <c r="D751" s="83"/>
      <c r="E751" s="83"/>
      <c r="F751" s="83"/>
      <c r="G751" s="83"/>
    </row>
    <row r="752" spans="1:7" s="70" customFormat="1">
      <c r="A752" s="227"/>
      <c r="C752" s="83"/>
      <c r="D752" s="83"/>
      <c r="E752" s="83"/>
      <c r="F752" s="83"/>
      <c r="G752" s="83"/>
    </row>
    <row r="753" spans="1:7" s="70" customFormat="1">
      <c r="A753" s="227"/>
      <c r="C753" s="83"/>
      <c r="D753" s="83"/>
      <c r="E753" s="83"/>
      <c r="F753" s="83"/>
      <c r="G753" s="83"/>
    </row>
    <row r="754" spans="1:7" s="70" customFormat="1">
      <c r="A754" s="227"/>
      <c r="C754" s="83"/>
      <c r="D754" s="83"/>
      <c r="E754" s="83"/>
      <c r="F754" s="83"/>
      <c r="G754" s="83"/>
    </row>
    <row r="755" spans="1:7" s="70" customFormat="1">
      <c r="A755" s="227"/>
      <c r="C755" s="83"/>
      <c r="D755" s="83"/>
      <c r="E755" s="83"/>
      <c r="F755" s="83"/>
      <c r="G755" s="83"/>
    </row>
    <row r="756" spans="1:7" s="70" customFormat="1">
      <c r="A756" s="227"/>
      <c r="C756" s="83"/>
      <c r="D756" s="83"/>
      <c r="E756" s="83"/>
      <c r="F756" s="83"/>
      <c r="G756" s="83"/>
    </row>
    <row r="757" spans="1:7" s="70" customFormat="1">
      <c r="A757" s="227"/>
      <c r="C757" s="83"/>
      <c r="D757" s="83"/>
      <c r="E757" s="83"/>
      <c r="F757" s="83"/>
      <c r="G757" s="83"/>
    </row>
    <row r="758" spans="1:7" s="70" customFormat="1">
      <c r="A758" s="227"/>
      <c r="C758" s="83"/>
      <c r="D758" s="83"/>
      <c r="E758" s="83"/>
      <c r="F758" s="83"/>
      <c r="G758" s="83"/>
    </row>
    <row r="759" spans="1:7" s="70" customFormat="1">
      <c r="A759" s="227"/>
      <c r="C759" s="83"/>
      <c r="D759" s="83"/>
      <c r="E759" s="83"/>
      <c r="F759" s="83"/>
      <c r="G759" s="83"/>
    </row>
    <row r="760" spans="1:7" s="70" customFormat="1">
      <c r="A760" s="227"/>
      <c r="C760" s="83"/>
      <c r="D760" s="83"/>
      <c r="E760" s="83"/>
      <c r="F760" s="83"/>
      <c r="G760" s="83"/>
    </row>
    <row r="761" spans="1:7" s="70" customFormat="1">
      <c r="A761" s="227"/>
      <c r="C761" s="83"/>
      <c r="D761" s="83"/>
      <c r="E761" s="83"/>
      <c r="F761" s="83"/>
      <c r="G761" s="83"/>
    </row>
    <row r="762" spans="1:7" s="70" customFormat="1">
      <c r="A762" s="227"/>
      <c r="C762" s="83"/>
      <c r="D762" s="83"/>
      <c r="E762" s="83"/>
      <c r="F762" s="83"/>
      <c r="G762" s="83"/>
    </row>
    <row r="763" spans="1:7" s="70" customFormat="1">
      <c r="A763" s="227"/>
      <c r="C763" s="83"/>
      <c r="D763" s="83"/>
      <c r="E763" s="83"/>
      <c r="F763" s="83"/>
      <c r="G763" s="83"/>
    </row>
    <row r="764" spans="1:7" s="70" customFormat="1">
      <c r="A764" s="227"/>
      <c r="C764" s="83"/>
      <c r="D764" s="83"/>
      <c r="E764" s="83"/>
      <c r="F764" s="83"/>
      <c r="G764" s="83"/>
    </row>
    <row r="765" spans="1:7" s="70" customFormat="1">
      <c r="A765" s="227"/>
      <c r="C765" s="83"/>
      <c r="D765" s="83"/>
      <c r="E765" s="83"/>
      <c r="F765" s="83"/>
      <c r="G765" s="83"/>
    </row>
    <row r="766" spans="1:7" s="70" customFormat="1">
      <c r="A766" s="227"/>
      <c r="C766" s="83"/>
      <c r="D766" s="83"/>
      <c r="E766" s="83"/>
      <c r="F766" s="83"/>
      <c r="G766" s="83"/>
    </row>
    <row r="767" spans="1:7" s="70" customFormat="1">
      <c r="A767" s="227"/>
      <c r="C767" s="83"/>
      <c r="D767" s="83"/>
      <c r="E767" s="83"/>
      <c r="F767" s="83"/>
      <c r="G767" s="83"/>
    </row>
    <row r="768" spans="1:7" s="70" customFormat="1">
      <c r="A768" s="227"/>
      <c r="C768" s="83"/>
      <c r="D768" s="83"/>
      <c r="E768" s="83"/>
      <c r="F768" s="83"/>
      <c r="G768" s="83"/>
    </row>
    <row r="769" spans="1:7" s="70" customFormat="1">
      <c r="A769" s="227"/>
      <c r="C769" s="83"/>
      <c r="D769" s="83"/>
      <c r="E769" s="83"/>
      <c r="F769" s="83"/>
      <c r="G769" s="83"/>
    </row>
    <row r="770" spans="1:7" s="70" customFormat="1">
      <c r="A770" s="227"/>
      <c r="C770" s="83"/>
      <c r="D770" s="83"/>
      <c r="E770" s="83"/>
      <c r="F770" s="83"/>
      <c r="G770" s="83"/>
    </row>
    <row r="771" spans="1:7" s="70" customFormat="1">
      <c r="A771" s="227"/>
      <c r="C771" s="83"/>
      <c r="D771" s="83"/>
      <c r="E771" s="83"/>
      <c r="F771" s="83"/>
      <c r="G771" s="83"/>
    </row>
    <row r="772" spans="1:7" s="70" customFormat="1">
      <c r="A772" s="227"/>
      <c r="C772" s="83"/>
      <c r="D772" s="83"/>
      <c r="E772" s="83"/>
      <c r="F772" s="83"/>
      <c r="G772" s="83"/>
    </row>
    <row r="773" spans="1:7" s="70" customFormat="1">
      <c r="A773" s="227"/>
      <c r="C773" s="83"/>
      <c r="D773" s="83"/>
      <c r="E773" s="83"/>
      <c r="F773" s="83"/>
      <c r="G773" s="83"/>
    </row>
    <row r="774" spans="1:7" s="70" customFormat="1">
      <c r="A774" s="227"/>
      <c r="C774" s="83"/>
      <c r="D774" s="83"/>
      <c r="E774" s="83"/>
      <c r="F774" s="83"/>
      <c r="G774" s="83"/>
    </row>
    <row r="775" spans="1:7" s="70" customFormat="1">
      <c r="A775" s="227"/>
      <c r="C775" s="83"/>
      <c r="D775" s="83"/>
      <c r="E775" s="83"/>
      <c r="F775" s="83"/>
      <c r="G775" s="83"/>
    </row>
    <row r="776" spans="1:7" s="70" customFormat="1">
      <c r="A776" s="227"/>
      <c r="C776" s="83"/>
      <c r="D776" s="83"/>
      <c r="E776" s="83"/>
      <c r="F776" s="83"/>
      <c r="G776" s="83"/>
    </row>
    <row r="777" spans="1:7" s="70" customFormat="1">
      <c r="A777" s="227"/>
      <c r="C777" s="83"/>
      <c r="D777" s="83"/>
      <c r="E777" s="83"/>
      <c r="F777" s="83"/>
      <c r="G777" s="83"/>
    </row>
    <row r="778" spans="1:7" s="70" customFormat="1">
      <c r="A778" s="227"/>
      <c r="C778" s="83"/>
      <c r="D778" s="83"/>
      <c r="E778" s="83"/>
      <c r="F778" s="83"/>
      <c r="G778" s="83"/>
    </row>
    <row r="779" spans="1:7" s="70" customFormat="1">
      <c r="A779" s="227"/>
      <c r="C779" s="83"/>
      <c r="D779" s="83"/>
      <c r="E779" s="83"/>
      <c r="F779" s="83"/>
      <c r="G779" s="83"/>
    </row>
    <row r="780" spans="1:7" s="70" customFormat="1">
      <c r="A780" s="227"/>
      <c r="C780" s="83"/>
      <c r="D780" s="83"/>
      <c r="E780" s="83"/>
      <c r="F780" s="83"/>
      <c r="G780" s="83"/>
    </row>
    <row r="781" spans="1:7" s="70" customFormat="1">
      <c r="A781" s="227"/>
      <c r="C781" s="83"/>
      <c r="D781" s="83"/>
      <c r="E781" s="83"/>
      <c r="F781" s="83"/>
      <c r="G781" s="83"/>
    </row>
    <row r="782" spans="1:7" s="70" customFormat="1">
      <c r="A782" s="227"/>
      <c r="C782" s="83"/>
      <c r="D782" s="83"/>
      <c r="E782" s="83"/>
      <c r="F782" s="83"/>
      <c r="G782" s="83"/>
    </row>
    <row r="783" spans="1:7" s="70" customFormat="1">
      <c r="A783" s="227"/>
      <c r="C783" s="83"/>
      <c r="D783" s="83"/>
      <c r="E783" s="83"/>
      <c r="F783" s="83"/>
      <c r="G783" s="83"/>
    </row>
    <row r="784" spans="1:7" s="70" customFormat="1">
      <c r="A784" s="227"/>
      <c r="C784" s="83"/>
      <c r="D784" s="83"/>
      <c r="E784" s="83"/>
      <c r="F784" s="83"/>
      <c r="G784" s="83"/>
    </row>
    <row r="785" spans="1:7" s="70" customFormat="1">
      <c r="A785" s="227"/>
      <c r="C785" s="83"/>
      <c r="D785" s="83"/>
      <c r="E785" s="83"/>
      <c r="F785" s="83"/>
      <c r="G785" s="83"/>
    </row>
    <row r="786" spans="1:7" s="70" customFormat="1">
      <c r="A786" s="227"/>
      <c r="C786" s="83"/>
      <c r="D786" s="83"/>
      <c r="E786" s="83"/>
      <c r="F786" s="83"/>
      <c r="G786" s="83"/>
    </row>
    <row r="787" spans="1:7" s="70" customFormat="1">
      <c r="A787" s="227"/>
      <c r="C787" s="83"/>
      <c r="D787" s="83"/>
      <c r="E787" s="83"/>
      <c r="F787" s="83"/>
      <c r="G787" s="83"/>
    </row>
    <row r="788" spans="1:7" s="70" customFormat="1">
      <c r="A788" s="227"/>
      <c r="C788" s="83"/>
      <c r="D788" s="83"/>
      <c r="E788" s="83"/>
      <c r="F788" s="83"/>
      <c r="G788" s="83"/>
    </row>
    <row r="789" spans="1:7" s="70" customFormat="1">
      <c r="A789" s="227"/>
      <c r="C789" s="83"/>
      <c r="D789" s="83"/>
      <c r="E789" s="83"/>
      <c r="F789" s="83"/>
      <c r="G789" s="83"/>
    </row>
    <row r="790" spans="1:7" s="70" customFormat="1">
      <c r="A790" s="227"/>
      <c r="C790" s="83"/>
      <c r="D790" s="83"/>
      <c r="E790" s="83"/>
      <c r="F790" s="83"/>
      <c r="G790" s="83"/>
    </row>
    <row r="791" spans="1:7" s="70" customFormat="1">
      <c r="A791" s="227"/>
      <c r="C791" s="83"/>
      <c r="D791" s="83"/>
      <c r="E791" s="83"/>
      <c r="F791" s="83"/>
      <c r="G791" s="83"/>
    </row>
    <row r="792" spans="1:7" s="70" customFormat="1">
      <c r="A792" s="227"/>
      <c r="C792" s="83"/>
      <c r="D792" s="83"/>
      <c r="E792" s="83"/>
      <c r="F792" s="83"/>
      <c r="G792" s="83"/>
    </row>
    <row r="793" spans="1:7" s="70" customFormat="1">
      <c r="A793" s="227"/>
      <c r="C793" s="83"/>
      <c r="D793" s="83"/>
      <c r="E793" s="83"/>
      <c r="F793" s="83"/>
      <c r="G793" s="83"/>
    </row>
    <row r="794" spans="1:7" s="70" customFormat="1">
      <c r="A794" s="227"/>
      <c r="C794" s="83"/>
      <c r="D794" s="83"/>
      <c r="E794" s="83"/>
      <c r="F794" s="83"/>
      <c r="G794" s="83"/>
    </row>
    <row r="795" spans="1:7" s="70" customFormat="1">
      <c r="A795" s="227"/>
      <c r="C795" s="83"/>
      <c r="D795" s="83"/>
      <c r="E795" s="83"/>
      <c r="F795" s="83"/>
      <c r="G795" s="83"/>
    </row>
    <row r="796" spans="1:7" s="70" customFormat="1">
      <c r="A796" s="227"/>
      <c r="C796" s="83"/>
      <c r="D796" s="83"/>
      <c r="E796" s="83"/>
      <c r="F796" s="83"/>
      <c r="G796" s="83"/>
    </row>
    <row r="797" spans="1:7" s="70" customFormat="1">
      <c r="A797" s="227"/>
      <c r="C797" s="83"/>
      <c r="D797" s="83"/>
      <c r="E797" s="83"/>
      <c r="F797" s="83"/>
      <c r="G797" s="83"/>
    </row>
    <row r="798" spans="1:7" s="70" customFormat="1">
      <c r="A798" s="227"/>
      <c r="C798" s="83"/>
      <c r="D798" s="83"/>
      <c r="E798" s="83"/>
      <c r="F798" s="83"/>
      <c r="G798" s="83"/>
    </row>
    <row r="799" spans="1:7" s="70" customFormat="1">
      <c r="A799" s="227"/>
      <c r="C799" s="83"/>
      <c r="D799" s="83"/>
      <c r="E799" s="83"/>
      <c r="F799" s="83"/>
      <c r="G799" s="83"/>
    </row>
    <row r="800" spans="1:7" s="70" customFormat="1">
      <c r="A800" s="227"/>
      <c r="C800" s="83"/>
      <c r="D800" s="83"/>
      <c r="E800" s="83"/>
      <c r="F800" s="83"/>
      <c r="G800" s="83"/>
    </row>
    <row r="801" spans="1:7" s="70" customFormat="1">
      <c r="A801" s="227"/>
      <c r="C801" s="83"/>
      <c r="D801" s="83"/>
      <c r="E801" s="83"/>
      <c r="F801" s="83"/>
      <c r="G801" s="83"/>
    </row>
    <row r="802" spans="1:7" s="70" customFormat="1">
      <c r="A802" s="227"/>
      <c r="C802" s="83"/>
      <c r="D802" s="83"/>
      <c r="E802" s="83"/>
      <c r="F802" s="83"/>
      <c r="G802" s="83"/>
    </row>
    <row r="803" spans="1:7" s="70" customFormat="1">
      <c r="A803" s="227"/>
      <c r="C803" s="83"/>
      <c r="D803" s="83"/>
      <c r="E803" s="83"/>
      <c r="F803" s="83"/>
      <c r="G803" s="83"/>
    </row>
    <row r="804" spans="1:7" s="70" customFormat="1">
      <c r="A804" s="227"/>
      <c r="C804" s="83"/>
      <c r="D804" s="83"/>
      <c r="E804" s="83"/>
      <c r="F804" s="83"/>
      <c r="G804" s="83"/>
    </row>
    <row r="805" spans="1:7" s="70" customFormat="1">
      <c r="A805" s="227"/>
      <c r="C805" s="83"/>
      <c r="D805" s="83"/>
      <c r="E805" s="83"/>
      <c r="F805" s="83"/>
      <c r="G805" s="83"/>
    </row>
    <row r="806" spans="1:7" s="70" customFormat="1">
      <c r="A806" s="227"/>
      <c r="C806" s="83"/>
      <c r="D806" s="83"/>
      <c r="E806" s="83"/>
      <c r="F806" s="83"/>
      <c r="G806" s="83"/>
    </row>
    <row r="807" spans="1:7" s="70" customFormat="1">
      <c r="A807" s="227"/>
      <c r="C807" s="83"/>
      <c r="D807" s="83"/>
      <c r="E807" s="83"/>
      <c r="F807" s="83"/>
      <c r="G807" s="83"/>
    </row>
    <row r="808" spans="1:7" s="70" customFormat="1">
      <c r="A808" s="227"/>
      <c r="C808" s="83"/>
      <c r="D808" s="83"/>
      <c r="E808" s="83"/>
      <c r="F808" s="83"/>
      <c r="G808" s="83"/>
    </row>
    <row r="809" spans="1:7" s="70" customFormat="1">
      <c r="A809" s="227"/>
      <c r="C809" s="83"/>
      <c r="D809" s="83"/>
      <c r="E809" s="83"/>
      <c r="F809" s="83"/>
      <c r="G809" s="83"/>
    </row>
    <row r="810" spans="1:7" s="70" customFormat="1">
      <c r="A810" s="227"/>
      <c r="C810" s="83"/>
      <c r="D810" s="83"/>
      <c r="E810" s="83"/>
      <c r="F810" s="83"/>
      <c r="G810" s="83"/>
    </row>
    <row r="811" spans="1:7" s="70" customFormat="1">
      <c r="A811" s="227"/>
      <c r="C811" s="83"/>
      <c r="D811" s="83"/>
      <c r="E811" s="83"/>
      <c r="F811" s="83"/>
      <c r="G811" s="83"/>
    </row>
    <row r="812" spans="1:7" s="70" customFormat="1">
      <c r="A812" s="227"/>
      <c r="C812" s="83"/>
      <c r="D812" s="83"/>
      <c r="E812" s="83"/>
      <c r="F812" s="83"/>
      <c r="G812" s="83"/>
    </row>
    <row r="813" spans="1:7" s="70" customFormat="1">
      <c r="A813" s="227"/>
      <c r="C813" s="83"/>
      <c r="D813" s="83"/>
      <c r="E813" s="83"/>
      <c r="F813" s="83"/>
      <c r="G813" s="83"/>
    </row>
    <row r="814" spans="1:7" s="70" customFormat="1">
      <c r="A814" s="227"/>
      <c r="C814" s="83"/>
      <c r="D814" s="83"/>
      <c r="E814" s="83"/>
      <c r="F814" s="83"/>
      <c r="G814" s="83"/>
    </row>
    <row r="815" spans="1:7" s="70" customFormat="1">
      <c r="A815" s="227"/>
      <c r="C815" s="83"/>
      <c r="D815" s="83"/>
      <c r="E815" s="83"/>
      <c r="F815" s="83"/>
      <c r="G815" s="83"/>
    </row>
    <row r="816" spans="1:7" s="70" customFormat="1">
      <c r="A816" s="227"/>
      <c r="C816" s="83"/>
      <c r="D816" s="83"/>
      <c r="E816" s="83"/>
      <c r="F816" s="83"/>
      <c r="G816" s="83"/>
    </row>
    <row r="817" spans="1:7" s="70" customFormat="1">
      <c r="A817" s="227"/>
      <c r="C817" s="83"/>
      <c r="D817" s="83"/>
      <c r="E817" s="83"/>
      <c r="F817" s="83"/>
      <c r="G817" s="83"/>
    </row>
    <row r="818" spans="1:7" s="70" customFormat="1">
      <c r="A818" s="227"/>
      <c r="C818" s="83"/>
      <c r="D818" s="83"/>
      <c r="E818" s="83"/>
      <c r="F818" s="83"/>
      <c r="G818" s="83"/>
    </row>
    <row r="819" spans="1:7" s="70" customFormat="1">
      <c r="A819" s="227"/>
      <c r="C819" s="83"/>
      <c r="D819" s="83"/>
      <c r="E819" s="83"/>
      <c r="F819" s="83"/>
      <c r="G819" s="83"/>
    </row>
    <row r="820" spans="1:7" s="70" customFormat="1">
      <c r="A820" s="227"/>
      <c r="C820" s="83"/>
      <c r="D820" s="83"/>
      <c r="E820" s="83"/>
      <c r="F820" s="83"/>
      <c r="G820" s="83"/>
    </row>
    <row r="821" spans="1:7" s="70" customFormat="1">
      <c r="A821" s="227"/>
      <c r="C821" s="83"/>
      <c r="D821" s="83"/>
      <c r="E821" s="83"/>
      <c r="F821" s="83"/>
      <c r="G821" s="83"/>
    </row>
    <row r="822" spans="1:7" s="70" customFormat="1">
      <c r="A822" s="227"/>
      <c r="C822" s="83"/>
      <c r="D822" s="83"/>
      <c r="E822" s="83"/>
      <c r="F822" s="83"/>
      <c r="G822" s="83"/>
    </row>
    <row r="823" spans="1:7" s="70" customFormat="1">
      <c r="A823" s="227"/>
      <c r="C823" s="83"/>
      <c r="D823" s="83"/>
      <c r="E823" s="83"/>
      <c r="F823" s="83"/>
      <c r="G823" s="83"/>
    </row>
    <row r="824" spans="1:7" s="70" customFormat="1">
      <c r="A824" s="227"/>
      <c r="C824" s="83"/>
      <c r="D824" s="83"/>
      <c r="E824" s="83"/>
      <c r="F824" s="83"/>
      <c r="G824" s="83"/>
    </row>
    <row r="825" spans="1:7" s="70" customFormat="1">
      <c r="A825" s="227"/>
      <c r="C825" s="83"/>
      <c r="D825" s="83"/>
      <c r="E825" s="83"/>
      <c r="F825" s="83"/>
      <c r="G825" s="83"/>
    </row>
    <row r="826" spans="1:7" s="70" customFormat="1">
      <c r="A826" s="227"/>
      <c r="C826" s="83"/>
      <c r="D826" s="83"/>
      <c r="E826" s="83"/>
      <c r="F826" s="83"/>
      <c r="G826" s="83"/>
    </row>
    <row r="827" spans="1:7" s="70" customFormat="1">
      <c r="A827" s="227"/>
      <c r="C827" s="83"/>
      <c r="D827" s="83"/>
      <c r="E827" s="83"/>
      <c r="F827" s="83"/>
      <c r="G827" s="83"/>
    </row>
    <row r="828" spans="1:7" s="70" customFormat="1">
      <c r="A828" s="227"/>
      <c r="C828" s="83"/>
      <c r="D828" s="83"/>
      <c r="E828" s="83"/>
      <c r="F828" s="83"/>
      <c r="G828" s="83"/>
    </row>
    <row r="829" spans="1:7" s="70" customFormat="1">
      <c r="A829" s="227"/>
      <c r="C829" s="83"/>
      <c r="D829" s="83"/>
      <c r="E829" s="83"/>
      <c r="F829" s="83"/>
      <c r="G829" s="83"/>
    </row>
    <row r="830" spans="1:7" s="70" customFormat="1">
      <c r="A830" s="227"/>
      <c r="C830" s="83"/>
      <c r="D830" s="83"/>
      <c r="E830" s="83"/>
      <c r="F830" s="83"/>
      <c r="G830" s="83"/>
    </row>
    <row r="831" spans="1:7" s="70" customFormat="1">
      <c r="A831" s="227"/>
      <c r="C831" s="83"/>
      <c r="D831" s="83"/>
      <c r="E831" s="83"/>
      <c r="F831" s="83"/>
      <c r="G831" s="83"/>
    </row>
    <row r="832" spans="1:7" s="70" customFormat="1">
      <c r="A832" s="227"/>
      <c r="C832" s="83"/>
      <c r="D832" s="83"/>
      <c r="E832" s="83"/>
      <c r="F832" s="83"/>
      <c r="G832" s="83"/>
    </row>
    <row r="833" spans="1:7" s="70" customFormat="1">
      <c r="A833" s="227"/>
      <c r="C833" s="83"/>
      <c r="D833" s="83"/>
      <c r="E833" s="83"/>
      <c r="F833" s="83"/>
      <c r="G833" s="83"/>
    </row>
    <row r="834" spans="1:7" s="70" customFormat="1">
      <c r="A834" s="227"/>
      <c r="C834" s="83"/>
      <c r="D834" s="83"/>
      <c r="E834" s="83"/>
      <c r="F834" s="83"/>
      <c r="G834" s="83"/>
    </row>
    <row r="835" spans="1:7" s="70" customFormat="1">
      <c r="A835" s="227"/>
      <c r="C835" s="83"/>
      <c r="D835" s="83"/>
      <c r="E835" s="83"/>
      <c r="F835" s="83"/>
      <c r="G835" s="83"/>
    </row>
    <row r="836" spans="1:7" s="70" customFormat="1">
      <c r="A836" s="227"/>
      <c r="C836" s="83"/>
      <c r="D836" s="83"/>
      <c r="E836" s="83"/>
      <c r="F836" s="83"/>
      <c r="G836" s="83"/>
    </row>
    <row r="837" spans="1:7" s="70" customFormat="1">
      <c r="A837" s="227"/>
      <c r="C837" s="83"/>
      <c r="D837" s="83"/>
      <c r="E837" s="83"/>
      <c r="F837" s="83"/>
      <c r="G837" s="83"/>
    </row>
    <row r="838" spans="1:7" s="70" customFormat="1">
      <c r="A838" s="227"/>
      <c r="C838" s="83"/>
      <c r="D838" s="83"/>
      <c r="E838" s="83"/>
      <c r="F838" s="83"/>
      <c r="G838" s="83"/>
    </row>
    <row r="839" spans="1:7" s="70" customFormat="1">
      <c r="A839" s="227"/>
      <c r="C839" s="83"/>
      <c r="D839" s="83"/>
      <c r="E839" s="83"/>
      <c r="F839" s="83"/>
      <c r="G839" s="83"/>
    </row>
    <row r="840" spans="1:7" s="70" customFormat="1">
      <c r="A840" s="227"/>
      <c r="C840" s="83"/>
      <c r="D840" s="83"/>
      <c r="E840" s="83"/>
      <c r="F840" s="83"/>
      <c r="G840" s="83"/>
    </row>
    <row r="841" spans="1:7" s="70" customFormat="1">
      <c r="A841" s="227"/>
      <c r="C841" s="83"/>
      <c r="D841" s="83"/>
      <c r="E841" s="83"/>
      <c r="F841" s="83"/>
      <c r="G841" s="83"/>
    </row>
    <row r="842" spans="1:7" s="70" customFormat="1">
      <c r="A842" s="227"/>
      <c r="C842" s="83"/>
      <c r="D842" s="83"/>
      <c r="E842" s="83"/>
      <c r="F842" s="83"/>
      <c r="G842" s="83"/>
    </row>
    <row r="843" spans="1:7" s="70" customFormat="1">
      <c r="A843" s="227"/>
      <c r="C843" s="83"/>
      <c r="D843" s="83"/>
      <c r="E843" s="83"/>
      <c r="F843" s="83"/>
      <c r="G843" s="83"/>
    </row>
    <row r="844" spans="1:7" s="70" customFormat="1">
      <c r="A844" s="227"/>
      <c r="C844" s="83"/>
      <c r="D844" s="83"/>
      <c r="E844" s="83"/>
      <c r="F844" s="83"/>
      <c r="G844" s="83"/>
    </row>
    <row r="845" spans="1:7" s="70" customFormat="1">
      <c r="A845" s="227"/>
      <c r="C845" s="83"/>
      <c r="D845" s="83"/>
      <c r="E845" s="83"/>
      <c r="F845" s="83"/>
      <c r="G845" s="83"/>
    </row>
    <row r="846" spans="1:7" s="70" customFormat="1">
      <c r="A846" s="227"/>
      <c r="C846" s="83"/>
      <c r="D846" s="83"/>
      <c r="E846" s="83"/>
      <c r="F846" s="83"/>
      <c r="G846" s="83"/>
    </row>
    <row r="847" spans="1:7" s="70" customFormat="1">
      <c r="A847" s="227"/>
      <c r="C847" s="83"/>
      <c r="D847" s="83"/>
      <c r="E847" s="83"/>
      <c r="F847" s="83"/>
      <c r="G847" s="83"/>
    </row>
    <row r="848" spans="1:7" s="70" customFormat="1">
      <c r="A848" s="227"/>
      <c r="C848" s="83"/>
      <c r="D848" s="83"/>
      <c r="E848" s="83"/>
      <c r="F848" s="83"/>
      <c r="G848" s="83"/>
    </row>
    <row r="849" spans="1:7" s="70" customFormat="1">
      <c r="A849" s="227"/>
      <c r="C849" s="83"/>
      <c r="D849" s="83"/>
      <c r="E849" s="83"/>
      <c r="F849" s="83"/>
      <c r="G849" s="83"/>
    </row>
    <row r="850" spans="1:7" s="70" customFormat="1">
      <c r="A850" s="227"/>
      <c r="C850" s="83"/>
      <c r="D850" s="83"/>
      <c r="E850" s="83"/>
      <c r="F850" s="83"/>
      <c r="G850" s="83"/>
    </row>
    <row r="851" spans="1:7" s="70" customFormat="1">
      <c r="A851" s="227"/>
      <c r="C851" s="83"/>
      <c r="D851" s="83"/>
      <c r="E851" s="83"/>
      <c r="F851" s="83"/>
      <c r="G851" s="83"/>
    </row>
    <row r="852" spans="1:7" s="70" customFormat="1">
      <c r="A852" s="227"/>
      <c r="C852" s="83"/>
      <c r="D852" s="83"/>
      <c r="E852" s="83"/>
      <c r="F852" s="83"/>
      <c r="G852" s="83"/>
    </row>
    <row r="853" spans="1:7" s="70" customFormat="1">
      <c r="A853" s="227"/>
      <c r="C853" s="83"/>
      <c r="D853" s="83"/>
      <c r="E853" s="83"/>
      <c r="F853" s="83"/>
      <c r="G853" s="83"/>
    </row>
    <row r="854" spans="1:7" s="70" customFormat="1">
      <c r="A854" s="227"/>
      <c r="C854" s="83"/>
      <c r="D854" s="83"/>
      <c r="E854" s="83"/>
      <c r="F854" s="83"/>
      <c r="G854" s="83"/>
    </row>
    <row r="855" spans="1:7" s="70" customFormat="1">
      <c r="A855" s="227"/>
      <c r="C855" s="83"/>
      <c r="D855" s="83"/>
      <c r="E855" s="83"/>
      <c r="F855" s="83"/>
      <c r="G855" s="83"/>
    </row>
    <row r="856" spans="1:7" s="70" customFormat="1">
      <c r="A856" s="227"/>
      <c r="C856" s="83"/>
      <c r="D856" s="83"/>
      <c r="E856" s="83"/>
      <c r="F856" s="83"/>
      <c r="G856" s="83"/>
    </row>
    <row r="857" spans="1:7" s="70" customFormat="1">
      <c r="A857" s="227"/>
      <c r="C857" s="83"/>
      <c r="D857" s="83"/>
      <c r="E857" s="83"/>
      <c r="F857" s="83"/>
      <c r="G857" s="83"/>
    </row>
    <row r="858" spans="1:7" s="70" customFormat="1">
      <c r="A858" s="227"/>
      <c r="C858" s="83"/>
      <c r="D858" s="83"/>
      <c r="E858" s="83"/>
      <c r="F858" s="83"/>
      <c r="G858" s="83"/>
    </row>
    <row r="859" spans="1:7" s="70" customFormat="1">
      <c r="A859" s="227"/>
      <c r="C859" s="83"/>
      <c r="D859" s="83"/>
      <c r="E859" s="83"/>
      <c r="F859" s="83"/>
      <c r="G859" s="83"/>
    </row>
    <row r="860" spans="1:7" s="70" customFormat="1">
      <c r="A860" s="227"/>
      <c r="C860" s="83"/>
      <c r="D860" s="83"/>
      <c r="E860" s="83"/>
      <c r="F860" s="83"/>
      <c r="G860" s="83"/>
    </row>
    <row r="861" spans="1:7" s="70" customFormat="1">
      <c r="A861" s="227"/>
      <c r="C861" s="83"/>
      <c r="D861" s="83"/>
      <c r="E861" s="83"/>
      <c r="F861" s="83"/>
      <c r="G861" s="83"/>
    </row>
    <row r="862" spans="1:7" s="70" customFormat="1">
      <c r="A862" s="227"/>
      <c r="C862" s="83"/>
      <c r="D862" s="83"/>
      <c r="E862" s="83"/>
      <c r="F862" s="83"/>
      <c r="G862" s="83"/>
    </row>
    <row r="863" spans="1:7" s="70" customFormat="1">
      <c r="A863" s="227"/>
      <c r="C863" s="83"/>
      <c r="D863" s="83"/>
      <c r="E863" s="83"/>
      <c r="F863" s="83"/>
      <c r="G863" s="83"/>
    </row>
    <row r="864" spans="1:7" s="70" customFormat="1">
      <c r="A864" s="227"/>
      <c r="C864" s="83"/>
      <c r="D864" s="83"/>
      <c r="E864" s="83"/>
      <c r="F864" s="83"/>
      <c r="G864" s="83"/>
    </row>
    <row r="865" spans="1:7" s="70" customFormat="1">
      <c r="A865" s="227"/>
      <c r="C865" s="83"/>
      <c r="D865" s="83"/>
      <c r="E865" s="83"/>
      <c r="F865" s="83"/>
      <c r="G865" s="83"/>
    </row>
    <row r="866" spans="1:7" s="70" customFormat="1">
      <c r="A866" s="227"/>
      <c r="C866" s="83"/>
      <c r="D866" s="83"/>
      <c r="E866" s="83"/>
      <c r="F866" s="83"/>
      <c r="G866" s="83"/>
    </row>
    <row r="867" spans="1:7" s="70" customFormat="1">
      <c r="A867" s="227"/>
      <c r="C867" s="83"/>
      <c r="D867" s="83"/>
      <c r="E867" s="83"/>
      <c r="F867" s="83"/>
      <c r="G867" s="83"/>
    </row>
    <row r="868" spans="1:7" s="70" customFormat="1">
      <c r="A868" s="227"/>
      <c r="C868" s="83"/>
      <c r="D868" s="83"/>
      <c r="E868" s="83"/>
      <c r="F868" s="83"/>
      <c r="G868" s="83"/>
    </row>
    <row r="869" spans="1:7" s="70" customFormat="1">
      <c r="A869" s="227"/>
      <c r="C869" s="83"/>
      <c r="D869" s="83"/>
      <c r="E869" s="83"/>
      <c r="F869" s="83"/>
      <c r="G869" s="83"/>
    </row>
    <row r="870" spans="1:7" s="70" customFormat="1">
      <c r="A870" s="227"/>
      <c r="C870" s="83"/>
      <c r="D870" s="83"/>
      <c r="E870" s="83"/>
      <c r="F870" s="83"/>
      <c r="G870" s="83"/>
    </row>
    <row r="871" spans="1:7" s="70" customFormat="1">
      <c r="A871" s="227"/>
      <c r="C871" s="83"/>
      <c r="D871" s="83"/>
      <c r="E871" s="83"/>
      <c r="F871" s="83"/>
      <c r="G871" s="83"/>
    </row>
    <row r="872" spans="1:7" s="70" customFormat="1">
      <c r="A872" s="227"/>
      <c r="C872" s="83"/>
      <c r="D872" s="83"/>
      <c r="E872" s="83"/>
      <c r="F872" s="83"/>
      <c r="G872" s="83"/>
    </row>
    <row r="873" spans="1:7" s="70" customFormat="1">
      <c r="A873" s="227"/>
      <c r="C873" s="83"/>
      <c r="D873" s="83"/>
      <c r="E873" s="83"/>
      <c r="F873" s="83"/>
      <c r="G873" s="83"/>
    </row>
    <row r="874" spans="1:7" s="70" customFormat="1">
      <c r="A874" s="227"/>
      <c r="C874" s="83"/>
      <c r="D874" s="83"/>
      <c r="E874" s="83"/>
      <c r="F874" s="83"/>
      <c r="G874" s="83"/>
    </row>
    <row r="875" spans="1:7" s="70" customFormat="1">
      <c r="A875" s="227"/>
      <c r="C875" s="83"/>
      <c r="D875" s="83"/>
      <c r="E875" s="83"/>
      <c r="F875" s="83"/>
      <c r="G875" s="83"/>
    </row>
    <row r="876" spans="1:7" s="70" customFormat="1">
      <c r="A876" s="227"/>
      <c r="C876" s="83"/>
      <c r="D876" s="83"/>
      <c r="E876" s="83"/>
      <c r="F876" s="83"/>
      <c r="G876" s="83"/>
    </row>
    <row r="877" spans="1:7" s="70" customFormat="1">
      <c r="A877" s="227"/>
      <c r="C877" s="83"/>
      <c r="D877" s="83"/>
      <c r="E877" s="83"/>
      <c r="F877" s="83"/>
      <c r="G877" s="83"/>
    </row>
    <row r="878" spans="1:7" s="70" customFormat="1">
      <c r="A878" s="227"/>
      <c r="C878" s="83"/>
      <c r="D878" s="83"/>
      <c r="E878" s="83"/>
      <c r="F878" s="83"/>
      <c r="G878" s="83"/>
    </row>
    <row r="879" spans="1:7" s="70" customFormat="1">
      <c r="A879" s="227"/>
      <c r="C879" s="83"/>
      <c r="D879" s="83"/>
      <c r="E879" s="83"/>
      <c r="F879" s="83"/>
      <c r="G879" s="83"/>
    </row>
    <row r="880" spans="1:7" s="70" customFormat="1">
      <c r="A880" s="227"/>
      <c r="C880" s="83"/>
      <c r="D880" s="83"/>
      <c r="E880" s="83"/>
      <c r="F880" s="83"/>
      <c r="G880" s="83"/>
    </row>
    <row r="881" spans="1:7" s="70" customFormat="1">
      <c r="A881" s="227"/>
      <c r="C881" s="83"/>
      <c r="D881" s="83"/>
      <c r="E881" s="83"/>
      <c r="F881" s="83"/>
      <c r="G881" s="83"/>
    </row>
    <row r="882" spans="1:7" s="70" customFormat="1">
      <c r="A882" s="227"/>
      <c r="C882" s="83"/>
      <c r="D882" s="83"/>
      <c r="E882" s="83"/>
      <c r="F882" s="83"/>
      <c r="G882" s="83"/>
    </row>
    <row r="883" spans="1:7" s="70" customFormat="1">
      <c r="A883" s="227"/>
      <c r="C883" s="83"/>
      <c r="D883" s="83"/>
      <c r="E883" s="83"/>
      <c r="F883" s="83"/>
      <c r="G883" s="83"/>
    </row>
    <row r="884" spans="1:7" s="70" customFormat="1">
      <c r="A884" s="227"/>
      <c r="C884" s="83"/>
      <c r="D884" s="83"/>
      <c r="E884" s="83"/>
      <c r="F884" s="83"/>
      <c r="G884" s="83"/>
    </row>
    <row r="885" spans="1:7" s="70" customFormat="1">
      <c r="A885" s="227"/>
      <c r="C885" s="83"/>
      <c r="D885" s="83"/>
      <c r="E885" s="83"/>
      <c r="F885" s="83"/>
      <c r="G885" s="83"/>
    </row>
    <row r="886" spans="1:7" s="70" customFormat="1">
      <c r="A886" s="227"/>
      <c r="C886" s="83"/>
      <c r="D886" s="83"/>
      <c r="E886" s="83"/>
      <c r="F886" s="83"/>
      <c r="G886" s="83"/>
    </row>
    <row r="887" spans="1:7" s="70" customFormat="1">
      <c r="A887" s="227"/>
      <c r="C887" s="83"/>
      <c r="D887" s="83"/>
      <c r="E887" s="83"/>
      <c r="F887" s="83"/>
      <c r="G887" s="83"/>
    </row>
    <row r="888" spans="1:7" s="70" customFormat="1">
      <c r="A888" s="227"/>
      <c r="C888" s="83"/>
      <c r="D888" s="83"/>
      <c r="E888" s="83"/>
      <c r="F888" s="83"/>
      <c r="G888" s="83"/>
    </row>
    <row r="889" spans="1:7" s="70" customFormat="1">
      <c r="A889" s="227"/>
      <c r="C889" s="83"/>
      <c r="D889" s="83"/>
      <c r="E889" s="83"/>
      <c r="F889" s="83"/>
      <c r="G889" s="83"/>
    </row>
    <row r="890" spans="1:7" s="70" customFormat="1">
      <c r="A890" s="227"/>
      <c r="C890" s="83"/>
      <c r="D890" s="83"/>
      <c r="E890" s="83"/>
      <c r="F890" s="83"/>
      <c r="G890" s="83"/>
    </row>
    <row r="891" spans="1:7" s="70" customFormat="1">
      <c r="A891" s="227"/>
      <c r="C891" s="83"/>
      <c r="D891" s="83"/>
      <c r="E891" s="83"/>
      <c r="F891" s="83"/>
      <c r="G891" s="83"/>
    </row>
    <row r="892" spans="1:7" s="70" customFormat="1">
      <c r="A892" s="227"/>
      <c r="C892" s="83"/>
      <c r="D892" s="83"/>
      <c r="E892" s="83"/>
      <c r="F892" s="83"/>
      <c r="G892" s="83"/>
    </row>
    <row r="893" spans="1:7" s="70" customFormat="1">
      <c r="A893" s="227"/>
      <c r="C893" s="83"/>
      <c r="D893" s="83"/>
      <c r="E893" s="83"/>
      <c r="F893" s="83"/>
      <c r="G893" s="83"/>
    </row>
    <row r="894" spans="1:7" s="70" customFormat="1">
      <c r="A894" s="227"/>
      <c r="C894" s="83"/>
      <c r="D894" s="83"/>
      <c r="E894" s="83"/>
      <c r="F894" s="83"/>
      <c r="G894" s="83"/>
    </row>
    <row r="895" spans="1:7" s="70" customFormat="1">
      <c r="A895" s="227"/>
      <c r="C895" s="83"/>
      <c r="D895" s="83"/>
      <c r="E895" s="83"/>
      <c r="F895" s="83"/>
      <c r="G895" s="83"/>
    </row>
    <row r="896" spans="1:7" s="70" customFormat="1">
      <c r="A896" s="227"/>
      <c r="C896" s="83"/>
      <c r="D896" s="83"/>
      <c r="E896" s="83"/>
      <c r="F896" s="83"/>
      <c r="G896" s="83"/>
    </row>
    <row r="897" spans="1:7" s="70" customFormat="1">
      <c r="A897" s="227"/>
      <c r="C897" s="83"/>
      <c r="D897" s="83"/>
      <c r="E897" s="83"/>
      <c r="F897" s="83"/>
      <c r="G897" s="83"/>
    </row>
    <row r="898" spans="1:7" s="70" customFormat="1">
      <c r="A898" s="227"/>
      <c r="C898" s="83"/>
      <c r="D898" s="83"/>
      <c r="E898" s="83"/>
      <c r="F898" s="83"/>
      <c r="G898" s="83"/>
    </row>
    <row r="899" spans="1:7" s="70" customFormat="1">
      <c r="A899" s="227"/>
      <c r="C899" s="83"/>
      <c r="D899" s="83"/>
      <c r="E899" s="83"/>
      <c r="F899" s="83"/>
      <c r="G899" s="83"/>
    </row>
    <row r="900" spans="1:7" s="70" customFormat="1">
      <c r="A900" s="227"/>
      <c r="C900" s="83"/>
      <c r="D900" s="83"/>
      <c r="E900" s="83"/>
      <c r="F900" s="83"/>
      <c r="G900" s="83"/>
    </row>
    <row r="901" spans="1:7" s="70" customFormat="1">
      <c r="A901" s="227"/>
      <c r="C901" s="83"/>
      <c r="D901" s="83"/>
      <c r="E901" s="83"/>
      <c r="F901" s="83"/>
      <c r="G901" s="83"/>
    </row>
    <row r="902" spans="1:7" s="70" customFormat="1">
      <c r="A902" s="227"/>
      <c r="C902" s="83"/>
      <c r="D902" s="83"/>
      <c r="E902" s="83"/>
      <c r="F902" s="83"/>
      <c r="G902" s="83"/>
    </row>
    <row r="903" spans="1:7" s="70" customFormat="1">
      <c r="A903" s="227"/>
      <c r="C903" s="83"/>
      <c r="D903" s="83"/>
      <c r="E903" s="83"/>
      <c r="F903" s="83"/>
      <c r="G903" s="83"/>
    </row>
    <row r="904" spans="1:7" s="70" customFormat="1">
      <c r="A904" s="227"/>
      <c r="C904" s="83"/>
      <c r="D904" s="83"/>
      <c r="E904" s="83"/>
      <c r="F904" s="83"/>
      <c r="G904" s="83"/>
    </row>
    <row r="905" spans="1:7" s="70" customFormat="1">
      <c r="A905" s="227"/>
      <c r="C905" s="83"/>
      <c r="D905" s="83"/>
      <c r="E905" s="83"/>
      <c r="F905" s="83"/>
      <c r="G905" s="83"/>
    </row>
    <row r="906" spans="1:7" s="70" customFormat="1">
      <c r="A906" s="227"/>
      <c r="C906" s="83"/>
      <c r="D906" s="83"/>
      <c r="E906" s="83"/>
      <c r="F906" s="83"/>
      <c r="G906" s="83"/>
    </row>
    <row r="907" spans="1:7" s="70" customFormat="1">
      <c r="A907" s="227"/>
      <c r="C907" s="83"/>
      <c r="D907" s="83"/>
      <c r="E907" s="83"/>
      <c r="F907" s="83"/>
      <c r="G907" s="83"/>
    </row>
    <row r="908" spans="1:7" s="70" customFormat="1">
      <c r="A908" s="227"/>
      <c r="C908" s="83"/>
      <c r="D908" s="83"/>
      <c r="E908" s="83"/>
      <c r="F908" s="83"/>
      <c r="G908" s="83"/>
    </row>
    <row r="909" spans="1:7" s="70" customFormat="1">
      <c r="A909" s="227"/>
      <c r="C909" s="83"/>
      <c r="D909" s="83"/>
      <c r="E909" s="83"/>
      <c r="F909" s="83"/>
      <c r="G909" s="83"/>
    </row>
    <row r="910" spans="1:7" s="70" customFormat="1">
      <c r="A910" s="227"/>
      <c r="C910" s="83"/>
      <c r="D910" s="83"/>
      <c r="E910" s="83"/>
      <c r="F910" s="83"/>
      <c r="G910" s="83"/>
    </row>
    <row r="911" spans="1:7" s="70" customFormat="1">
      <c r="A911" s="227"/>
      <c r="C911" s="83"/>
      <c r="D911" s="83"/>
      <c r="E911" s="83"/>
      <c r="F911" s="83"/>
      <c r="G911" s="83"/>
    </row>
    <row r="912" spans="1:7" s="70" customFormat="1">
      <c r="A912" s="227"/>
      <c r="C912" s="83"/>
      <c r="D912" s="83"/>
      <c r="E912" s="83"/>
      <c r="F912" s="83"/>
      <c r="G912" s="83"/>
    </row>
    <row r="913" spans="1:7" s="70" customFormat="1">
      <c r="A913" s="227"/>
      <c r="C913" s="83"/>
      <c r="D913" s="83"/>
      <c r="E913" s="83"/>
      <c r="F913" s="83"/>
      <c r="G913" s="83"/>
    </row>
    <row r="914" spans="1:7" s="70" customFormat="1">
      <c r="A914" s="227"/>
      <c r="C914" s="83"/>
      <c r="D914" s="83"/>
      <c r="E914" s="83"/>
      <c r="F914" s="83"/>
      <c r="G914" s="83"/>
    </row>
    <row r="915" spans="1:7" s="70" customFormat="1">
      <c r="A915" s="227"/>
      <c r="C915" s="83"/>
      <c r="D915" s="83"/>
      <c r="E915" s="83"/>
      <c r="F915" s="83"/>
      <c r="G915" s="83"/>
    </row>
    <row r="916" spans="1:7" s="70" customFormat="1">
      <c r="A916" s="227"/>
      <c r="C916" s="83"/>
      <c r="D916" s="83"/>
      <c r="E916" s="83"/>
      <c r="F916" s="83"/>
      <c r="G916" s="83"/>
    </row>
    <row r="917" spans="1:7" s="70" customFormat="1">
      <c r="A917" s="227"/>
      <c r="C917" s="83"/>
      <c r="D917" s="83"/>
      <c r="E917" s="83"/>
      <c r="F917" s="83"/>
      <c r="G917" s="83"/>
    </row>
    <row r="918" spans="1:7" s="70" customFormat="1">
      <c r="A918" s="227"/>
      <c r="C918" s="83"/>
      <c r="D918" s="83"/>
      <c r="E918" s="83"/>
      <c r="F918" s="83"/>
      <c r="G918" s="83"/>
    </row>
    <row r="919" spans="1:7" s="70" customFormat="1">
      <c r="A919" s="227"/>
      <c r="C919" s="83"/>
      <c r="D919" s="83"/>
      <c r="E919" s="83"/>
      <c r="F919" s="83"/>
      <c r="G919" s="83"/>
    </row>
    <row r="920" spans="1:7" s="70" customFormat="1">
      <c r="A920" s="227"/>
      <c r="C920" s="83"/>
      <c r="D920" s="83"/>
      <c r="E920" s="83"/>
      <c r="F920" s="83"/>
      <c r="G920" s="83"/>
    </row>
    <row r="921" spans="1:7" s="70" customFormat="1">
      <c r="A921" s="227"/>
      <c r="C921" s="83"/>
      <c r="D921" s="83"/>
      <c r="E921" s="83"/>
      <c r="F921" s="83"/>
      <c r="G921" s="83"/>
    </row>
    <row r="922" spans="1:7" s="70" customFormat="1">
      <c r="A922" s="227"/>
      <c r="C922" s="83"/>
      <c r="D922" s="83"/>
      <c r="E922" s="83"/>
      <c r="F922" s="83"/>
      <c r="G922" s="83"/>
    </row>
    <row r="923" spans="1:7" s="70" customFormat="1">
      <c r="A923" s="227"/>
      <c r="C923" s="83"/>
      <c r="D923" s="83"/>
      <c r="E923" s="83"/>
      <c r="F923" s="83"/>
      <c r="G923" s="83"/>
    </row>
    <row r="924" spans="1:7" s="70" customFormat="1">
      <c r="A924" s="227"/>
      <c r="C924" s="83"/>
      <c r="D924" s="83"/>
      <c r="E924" s="83"/>
      <c r="F924" s="83"/>
      <c r="G924" s="83"/>
    </row>
    <row r="925" spans="1:7" s="70" customFormat="1">
      <c r="A925" s="227"/>
      <c r="C925" s="83"/>
      <c r="D925" s="83"/>
      <c r="E925" s="83"/>
      <c r="F925" s="83"/>
      <c r="G925" s="83"/>
    </row>
    <row r="926" spans="1:7" s="70" customFormat="1">
      <c r="A926" s="227"/>
      <c r="C926" s="83"/>
      <c r="D926" s="83"/>
      <c r="E926" s="83"/>
      <c r="F926" s="83"/>
      <c r="G926" s="83"/>
    </row>
    <row r="927" spans="1:7" s="70" customFormat="1">
      <c r="A927" s="227"/>
      <c r="C927" s="83"/>
      <c r="D927" s="83"/>
      <c r="E927" s="83"/>
      <c r="F927" s="83"/>
      <c r="G927" s="83"/>
    </row>
    <row r="928" spans="1:7" s="70" customFormat="1">
      <c r="A928" s="227"/>
      <c r="C928" s="83"/>
      <c r="D928" s="83"/>
      <c r="E928" s="83"/>
      <c r="F928" s="83"/>
      <c r="G928" s="83"/>
    </row>
    <row r="929" spans="1:7" s="70" customFormat="1">
      <c r="A929" s="227"/>
      <c r="C929" s="83"/>
      <c r="D929" s="83"/>
      <c r="E929" s="83"/>
      <c r="F929" s="83"/>
      <c r="G929" s="83"/>
    </row>
    <row r="930" spans="1:7" s="70" customFormat="1">
      <c r="A930" s="227"/>
      <c r="C930" s="83"/>
      <c r="D930" s="83"/>
      <c r="E930" s="83"/>
      <c r="F930" s="83"/>
      <c r="G930" s="83"/>
    </row>
    <row r="931" spans="1:7" s="70" customFormat="1">
      <c r="A931" s="227"/>
      <c r="C931" s="83"/>
      <c r="D931" s="83"/>
      <c r="E931" s="83"/>
      <c r="F931" s="83"/>
      <c r="G931" s="83"/>
    </row>
    <row r="932" spans="1:7" s="70" customFormat="1">
      <c r="A932" s="227"/>
      <c r="C932" s="83"/>
      <c r="D932" s="83"/>
      <c r="E932" s="83"/>
      <c r="F932" s="83"/>
      <c r="G932" s="83"/>
    </row>
    <row r="933" spans="1:7" s="70" customFormat="1">
      <c r="A933" s="227"/>
      <c r="C933" s="83"/>
      <c r="D933" s="83"/>
      <c r="E933" s="83"/>
      <c r="F933" s="83"/>
      <c r="G933" s="83"/>
    </row>
    <row r="934" spans="1:7" s="70" customFormat="1">
      <c r="A934" s="227"/>
      <c r="C934" s="83"/>
      <c r="D934" s="83"/>
      <c r="E934" s="83"/>
      <c r="F934" s="83"/>
      <c r="G934" s="83"/>
    </row>
    <row r="935" spans="1:7" s="70" customFormat="1">
      <c r="A935" s="227"/>
      <c r="C935" s="83"/>
      <c r="D935" s="83"/>
      <c r="E935" s="83"/>
      <c r="F935" s="83"/>
      <c r="G935" s="83"/>
    </row>
    <row r="936" spans="1:7" s="70" customFormat="1">
      <c r="A936" s="227"/>
      <c r="C936" s="83"/>
      <c r="D936" s="83"/>
      <c r="E936" s="83"/>
      <c r="F936" s="83"/>
      <c r="G936" s="83"/>
    </row>
    <row r="937" spans="1:7" s="70" customFormat="1">
      <c r="A937" s="227"/>
      <c r="C937" s="83"/>
      <c r="D937" s="83"/>
      <c r="E937" s="83"/>
      <c r="F937" s="83"/>
      <c r="G937" s="83"/>
    </row>
    <row r="938" spans="1:7" s="70" customFormat="1">
      <c r="A938" s="227"/>
      <c r="C938" s="83"/>
      <c r="D938" s="83"/>
      <c r="E938" s="83"/>
      <c r="F938" s="83"/>
      <c r="G938" s="83"/>
    </row>
    <row r="939" spans="1:7" s="70" customFormat="1">
      <c r="A939" s="227"/>
      <c r="C939" s="83"/>
      <c r="D939" s="83"/>
      <c r="E939" s="83"/>
      <c r="F939" s="83"/>
      <c r="G939" s="83"/>
    </row>
    <row r="940" spans="1:7" s="70" customFormat="1">
      <c r="A940" s="227"/>
      <c r="C940" s="83"/>
      <c r="D940" s="83"/>
      <c r="E940" s="83"/>
      <c r="F940" s="83"/>
      <c r="G940" s="83"/>
    </row>
    <row r="941" spans="1:7" s="70" customFormat="1">
      <c r="A941" s="227"/>
      <c r="C941" s="83"/>
      <c r="D941" s="83"/>
      <c r="E941" s="83"/>
      <c r="F941" s="83"/>
      <c r="G941" s="83"/>
    </row>
    <row r="942" spans="1:7" s="70" customFormat="1">
      <c r="A942" s="227"/>
      <c r="C942" s="83"/>
      <c r="D942" s="83"/>
      <c r="E942" s="83"/>
      <c r="F942" s="83"/>
      <c r="G942" s="83"/>
    </row>
    <row r="943" spans="1:7" s="70" customFormat="1">
      <c r="A943" s="227"/>
      <c r="C943" s="83"/>
      <c r="D943" s="83"/>
      <c r="E943" s="83"/>
      <c r="F943" s="83"/>
      <c r="G943" s="83"/>
    </row>
    <row r="944" spans="1:7" s="70" customFormat="1">
      <c r="A944" s="227"/>
      <c r="C944" s="83"/>
      <c r="D944" s="83"/>
      <c r="E944" s="83"/>
      <c r="F944" s="83"/>
      <c r="G944" s="83"/>
    </row>
    <row r="945" spans="1:7" s="70" customFormat="1">
      <c r="A945" s="227"/>
      <c r="C945" s="83"/>
      <c r="D945" s="83"/>
      <c r="E945" s="83"/>
      <c r="F945" s="83"/>
      <c r="G945" s="83"/>
    </row>
    <row r="946" spans="1:7" s="70" customFormat="1">
      <c r="A946" s="227"/>
      <c r="C946" s="83"/>
      <c r="D946" s="83"/>
      <c r="E946" s="83"/>
      <c r="F946" s="83"/>
      <c r="G946" s="83"/>
    </row>
    <row r="947" spans="1:7" s="70" customFormat="1">
      <c r="A947" s="227"/>
      <c r="C947" s="83"/>
      <c r="D947" s="83"/>
      <c r="E947" s="83"/>
      <c r="F947" s="83"/>
      <c r="G947" s="83"/>
    </row>
    <row r="948" spans="1:7" s="70" customFormat="1">
      <c r="A948" s="227"/>
      <c r="C948" s="83"/>
      <c r="D948" s="83"/>
      <c r="E948" s="83"/>
      <c r="F948" s="83"/>
      <c r="G948" s="83"/>
    </row>
    <row r="949" spans="1:7" s="70" customFormat="1">
      <c r="A949" s="227"/>
      <c r="C949" s="83"/>
      <c r="D949" s="83"/>
      <c r="E949" s="83"/>
      <c r="F949" s="83"/>
      <c r="G949" s="83"/>
    </row>
    <row r="950" spans="1:7" s="70" customFormat="1">
      <c r="A950" s="227"/>
      <c r="C950" s="83"/>
      <c r="D950" s="83"/>
      <c r="E950" s="83"/>
      <c r="F950" s="83"/>
      <c r="G950" s="83"/>
    </row>
    <row r="951" spans="1:7" s="70" customFormat="1">
      <c r="A951" s="227"/>
      <c r="C951" s="83"/>
      <c r="D951" s="83"/>
      <c r="E951" s="83"/>
      <c r="F951" s="83"/>
      <c r="G951" s="83"/>
    </row>
    <row r="952" spans="1:7" s="70" customFormat="1">
      <c r="A952" s="227"/>
      <c r="C952" s="83"/>
      <c r="D952" s="83"/>
      <c r="E952" s="83"/>
      <c r="F952" s="83"/>
      <c r="G952" s="83"/>
    </row>
    <row r="953" spans="1:7" s="70" customFormat="1">
      <c r="A953" s="227"/>
      <c r="C953" s="83"/>
      <c r="D953" s="83"/>
      <c r="E953" s="83"/>
      <c r="F953" s="83"/>
      <c r="G953" s="83"/>
    </row>
    <row r="954" spans="1:7" s="70" customFormat="1">
      <c r="A954" s="227"/>
      <c r="C954" s="83"/>
      <c r="D954" s="83"/>
      <c r="E954" s="83"/>
      <c r="F954" s="83"/>
      <c r="G954" s="83"/>
    </row>
    <row r="955" spans="1:7" s="70" customFormat="1">
      <c r="A955" s="227"/>
      <c r="C955" s="83"/>
      <c r="D955" s="83"/>
      <c r="E955" s="83"/>
      <c r="F955" s="83"/>
      <c r="G955" s="83"/>
    </row>
    <row r="956" spans="1:7" s="70" customFormat="1">
      <c r="A956" s="227"/>
      <c r="C956" s="83"/>
      <c r="D956" s="83"/>
      <c r="E956" s="83"/>
      <c r="F956" s="83"/>
      <c r="G956" s="83"/>
    </row>
    <row r="957" spans="1:7" s="70" customFormat="1">
      <c r="A957" s="227"/>
      <c r="C957" s="83"/>
      <c r="D957" s="83"/>
      <c r="E957" s="83"/>
      <c r="F957" s="83"/>
      <c r="G957" s="83"/>
    </row>
    <row r="958" spans="1:7" s="70" customFormat="1">
      <c r="A958" s="227"/>
      <c r="C958" s="83"/>
      <c r="D958" s="83"/>
      <c r="E958" s="83"/>
      <c r="F958" s="83"/>
      <c r="G958" s="83"/>
    </row>
    <row r="959" spans="1:7" s="70" customFormat="1">
      <c r="A959" s="227"/>
      <c r="C959" s="83"/>
      <c r="D959" s="83"/>
      <c r="E959" s="83"/>
      <c r="F959" s="83"/>
      <c r="G959" s="83"/>
    </row>
    <row r="960" spans="1:7" s="70" customFormat="1">
      <c r="A960" s="227"/>
      <c r="C960" s="83"/>
      <c r="D960" s="83"/>
      <c r="E960" s="83"/>
      <c r="F960" s="83"/>
      <c r="G960" s="83"/>
    </row>
    <row r="961" spans="1:7" s="70" customFormat="1">
      <c r="A961" s="227"/>
      <c r="C961" s="83"/>
      <c r="D961" s="83"/>
      <c r="E961" s="83"/>
      <c r="F961" s="83"/>
      <c r="G961" s="83"/>
    </row>
    <row r="962" spans="1:7" s="70" customFormat="1">
      <c r="A962" s="227"/>
      <c r="C962" s="83"/>
      <c r="D962" s="83"/>
      <c r="E962" s="83"/>
      <c r="F962" s="83"/>
      <c r="G962" s="83"/>
    </row>
    <row r="963" spans="1:7" s="70" customFormat="1">
      <c r="A963" s="227"/>
      <c r="C963" s="83"/>
      <c r="D963" s="83"/>
      <c r="E963" s="83"/>
      <c r="F963" s="83"/>
      <c r="G963" s="83"/>
    </row>
    <row r="964" spans="1:7" s="70" customFormat="1">
      <c r="A964" s="227"/>
      <c r="C964" s="83"/>
      <c r="D964" s="83"/>
      <c r="E964" s="83"/>
      <c r="F964" s="83"/>
      <c r="G964" s="83"/>
    </row>
    <row r="965" spans="1:7" s="70" customFormat="1">
      <c r="A965" s="227"/>
      <c r="C965" s="83"/>
      <c r="D965" s="83"/>
      <c r="E965" s="83"/>
      <c r="F965" s="83"/>
      <c r="G965" s="83"/>
    </row>
    <row r="966" spans="1:7" s="70" customFormat="1">
      <c r="A966" s="227"/>
      <c r="C966" s="83"/>
      <c r="D966" s="83"/>
      <c r="E966" s="83"/>
      <c r="F966" s="83"/>
      <c r="G966" s="83"/>
    </row>
    <row r="967" spans="1:7" s="70" customFormat="1">
      <c r="A967" s="227"/>
      <c r="C967" s="83"/>
      <c r="D967" s="83"/>
      <c r="E967" s="83"/>
      <c r="F967" s="83"/>
      <c r="G967" s="83"/>
    </row>
    <row r="968" spans="1:7" s="70" customFormat="1">
      <c r="A968" s="227"/>
      <c r="C968" s="83"/>
      <c r="D968" s="83"/>
      <c r="E968" s="83"/>
      <c r="F968" s="83"/>
      <c r="G968" s="83"/>
    </row>
    <row r="969" spans="1:7" s="70" customFormat="1">
      <c r="A969" s="227"/>
      <c r="C969" s="83"/>
      <c r="D969" s="83"/>
      <c r="E969" s="83"/>
      <c r="F969" s="83"/>
      <c r="G969" s="83"/>
    </row>
    <row r="970" spans="1:7" s="70" customFormat="1">
      <c r="A970" s="227"/>
      <c r="C970" s="83"/>
      <c r="D970" s="83"/>
      <c r="E970" s="83"/>
      <c r="F970" s="83"/>
      <c r="G970" s="83"/>
    </row>
    <row r="971" spans="1:7" s="70" customFormat="1">
      <c r="A971" s="227"/>
      <c r="C971" s="83"/>
      <c r="D971" s="83"/>
      <c r="E971" s="83"/>
      <c r="F971" s="83"/>
      <c r="G971" s="83"/>
    </row>
    <row r="972" spans="1:7" s="70" customFormat="1">
      <c r="A972" s="227"/>
      <c r="C972" s="83"/>
      <c r="D972" s="83"/>
      <c r="E972" s="83"/>
      <c r="F972" s="83"/>
      <c r="G972" s="83"/>
    </row>
    <row r="973" spans="1:7" s="70" customFormat="1">
      <c r="A973" s="227"/>
      <c r="C973" s="83"/>
      <c r="D973" s="83"/>
      <c r="E973" s="83"/>
      <c r="F973" s="83"/>
      <c r="G973" s="83"/>
    </row>
    <row r="974" spans="1:7" s="70" customFormat="1">
      <c r="A974" s="227"/>
      <c r="C974" s="83"/>
      <c r="D974" s="83"/>
      <c r="E974" s="83"/>
      <c r="F974" s="83"/>
      <c r="G974" s="83"/>
    </row>
    <row r="975" spans="1:7" s="70" customFormat="1">
      <c r="A975" s="227"/>
      <c r="C975" s="83"/>
      <c r="D975" s="83"/>
      <c r="E975" s="83"/>
      <c r="F975" s="83"/>
      <c r="G975" s="83"/>
    </row>
    <row r="976" spans="1:7" s="70" customFormat="1">
      <c r="A976" s="227"/>
      <c r="C976" s="83"/>
      <c r="D976" s="83"/>
      <c r="E976" s="83"/>
      <c r="F976" s="83"/>
      <c r="G976" s="83"/>
    </row>
    <row r="977" spans="1:7" s="70" customFormat="1">
      <c r="A977" s="227"/>
      <c r="C977" s="83"/>
      <c r="D977" s="83"/>
      <c r="E977" s="83"/>
      <c r="F977" s="83"/>
      <c r="G977" s="83"/>
    </row>
    <row r="978" spans="1:7" s="70" customFormat="1">
      <c r="A978" s="227"/>
      <c r="C978" s="83"/>
      <c r="D978" s="83"/>
      <c r="E978" s="83"/>
      <c r="F978" s="83"/>
      <c r="G978" s="83"/>
    </row>
    <row r="979" spans="1:7" s="70" customFormat="1">
      <c r="A979" s="227"/>
      <c r="C979" s="83"/>
      <c r="D979" s="83"/>
      <c r="E979" s="83"/>
      <c r="F979" s="83"/>
      <c r="G979" s="83"/>
    </row>
    <row r="980" spans="1:7" s="70" customFormat="1">
      <c r="A980" s="227"/>
      <c r="C980" s="83"/>
      <c r="D980" s="83"/>
      <c r="E980" s="83"/>
      <c r="F980" s="83"/>
      <c r="G980" s="83"/>
    </row>
    <row r="981" spans="1:7" s="70" customFormat="1">
      <c r="A981" s="227"/>
      <c r="C981" s="83"/>
      <c r="D981" s="83"/>
      <c r="E981" s="83"/>
      <c r="F981" s="83"/>
      <c r="G981" s="83"/>
    </row>
    <row r="982" spans="1:7" s="70" customFormat="1">
      <c r="A982" s="227"/>
      <c r="C982" s="83"/>
      <c r="D982" s="83"/>
      <c r="E982" s="83"/>
      <c r="F982" s="83"/>
      <c r="G982" s="83"/>
    </row>
    <row r="983" spans="1:7" s="70" customFormat="1">
      <c r="A983" s="227"/>
      <c r="C983" s="83"/>
      <c r="D983" s="83"/>
      <c r="E983" s="83"/>
      <c r="F983" s="83"/>
      <c r="G983" s="83"/>
    </row>
    <row r="984" spans="1:7" s="70" customFormat="1">
      <c r="A984" s="227"/>
      <c r="C984" s="83"/>
      <c r="D984" s="83"/>
      <c r="E984" s="83"/>
      <c r="F984" s="83"/>
      <c r="G984" s="83"/>
    </row>
    <row r="985" spans="1:7" s="70" customFormat="1">
      <c r="A985" s="227"/>
      <c r="C985" s="83"/>
      <c r="D985" s="83"/>
      <c r="E985" s="83"/>
      <c r="F985" s="83"/>
      <c r="G985" s="83"/>
    </row>
    <row r="986" spans="1:7" s="70" customFormat="1">
      <c r="A986" s="227"/>
      <c r="C986" s="83"/>
      <c r="D986" s="83"/>
      <c r="E986" s="83"/>
      <c r="F986" s="83"/>
      <c r="G986" s="83"/>
    </row>
    <row r="987" spans="1:7" s="70" customFormat="1">
      <c r="A987" s="227"/>
      <c r="C987" s="83"/>
      <c r="D987" s="83"/>
      <c r="E987" s="83"/>
      <c r="F987" s="83"/>
      <c r="G987" s="83"/>
    </row>
    <row r="988" spans="1:7" s="70" customFormat="1">
      <c r="A988" s="227"/>
      <c r="C988" s="83"/>
      <c r="D988" s="83"/>
      <c r="E988" s="83"/>
      <c r="F988" s="83"/>
      <c r="G988" s="83"/>
    </row>
    <row r="989" spans="1:7" s="70" customFormat="1">
      <c r="A989" s="227"/>
      <c r="C989" s="83"/>
      <c r="D989" s="83"/>
      <c r="E989" s="83"/>
      <c r="F989" s="83"/>
      <c r="G989" s="83"/>
    </row>
    <row r="990" spans="1:7" s="70" customFormat="1">
      <c r="A990" s="227"/>
      <c r="C990" s="83"/>
      <c r="D990" s="83"/>
      <c r="E990" s="83"/>
      <c r="F990" s="83"/>
      <c r="G990" s="83"/>
    </row>
    <row r="991" spans="1:7" s="70" customFormat="1">
      <c r="A991" s="227"/>
      <c r="C991" s="83"/>
      <c r="D991" s="83"/>
      <c r="E991" s="83"/>
      <c r="F991" s="83"/>
      <c r="G991" s="83"/>
    </row>
    <row r="992" spans="1:7" s="70" customFormat="1">
      <c r="A992" s="227"/>
      <c r="C992" s="83"/>
      <c r="D992" s="83"/>
      <c r="E992" s="83"/>
      <c r="F992" s="83"/>
      <c r="G992" s="83"/>
    </row>
    <row r="993" spans="1:7" s="70" customFormat="1">
      <c r="A993" s="227"/>
      <c r="C993" s="83"/>
      <c r="D993" s="83"/>
      <c r="E993" s="83"/>
      <c r="F993" s="83"/>
      <c r="G993" s="83"/>
    </row>
    <row r="994" spans="1:7" s="70" customFormat="1">
      <c r="A994" s="227"/>
      <c r="C994" s="83"/>
      <c r="D994" s="83"/>
      <c r="E994" s="83"/>
      <c r="F994" s="83"/>
      <c r="G994" s="83"/>
    </row>
    <row r="995" spans="1:7" s="70" customFormat="1">
      <c r="A995" s="227"/>
      <c r="C995" s="83"/>
      <c r="D995" s="83"/>
      <c r="E995" s="83"/>
      <c r="F995" s="83"/>
      <c r="G995" s="83"/>
    </row>
    <row r="996" spans="1:7" s="70" customFormat="1">
      <c r="A996" s="227"/>
      <c r="C996" s="83"/>
      <c r="D996" s="83"/>
      <c r="E996" s="83"/>
      <c r="F996" s="83"/>
      <c r="G996" s="83"/>
    </row>
    <row r="997" spans="1:7" s="70" customFormat="1">
      <c r="A997" s="227"/>
      <c r="C997" s="83"/>
      <c r="D997" s="83"/>
      <c r="E997" s="83"/>
      <c r="F997" s="83"/>
      <c r="G997" s="83"/>
    </row>
    <row r="998" spans="1:7" s="70" customFormat="1">
      <c r="A998" s="227"/>
      <c r="C998" s="83"/>
      <c r="D998" s="83"/>
      <c r="E998" s="83"/>
      <c r="F998" s="83"/>
      <c r="G998" s="83"/>
    </row>
    <row r="999" spans="1:7" s="70" customFormat="1">
      <c r="A999" s="227"/>
      <c r="C999" s="83"/>
      <c r="D999" s="83"/>
      <c r="E999" s="83"/>
      <c r="F999" s="83"/>
      <c r="G999" s="83"/>
    </row>
    <row r="1000" spans="1:7" s="70" customFormat="1">
      <c r="A1000" s="227"/>
      <c r="C1000" s="83"/>
      <c r="D1000" s="83"/>
      <c r="E1000" s="83"/>
      <c r="F1000" s="83"/>
      <c r="G1000" s="83"/>
    </row>
    <row r="1001" spans="1:7" s="70" customFormat="1">
      <c r="A1001" s="227"/>
      <c r="C1001" s="83"/>
      <c r="D1001" s="83"/>
      <c r="E1001" s="83"/>
      <c r="F1001" s="83"/>
      <c r="G1001" s="83"/>
    </row>
    <row r="1002" spans="1:7" s="70" customFormat="1">
      <c r="A1002" s="227"/>
      <c r="C1002" s="83"/>
      <c r="D1002" s="83"/>
      <c r="E1002" s="83"/>
      <c r="F1002" s="83"/>
      <c r="G1002" s="83"/>
    </row>
    <row r="1003" spans="1:7" s="70" customFormat="1">
      <c r="A1003" s="227"/>
      <c r="C1003" s="83"/>
      <c r="D1003" s="83"/>
      <c r="E1003" s="83"/>
      <c r="F1003" s="83"/>
      <c r="G1003" s="83"/>
    </row>
    <row r="1004" spans="1:7" s="70" customFormat="1">
      <c r="A1004" s="227"/>
      <c r="C1004" s="83"/>
      <c r="D1004" s="83"/>
      <c r="E1004" s="83"/>
      <c r="F1004" s="83"/>
      <c r="G1004" s="83"/>
    </row>
    <row r="1005" spans="1:7" s="70" customFormat="1">
      <c r="A1005" s="227"/>
      <c r="C1005" s="83"/>
      <c r="D1005" s="83"/>
      <c r="E1005" s="83"/>
      <c r="F1005" s="83"/>
      <c r="G1005" s="83"/>
    </row>
    <row r="1006" spans="1:7" s="70" customFormat="1">
      <c r="A1006" s="227"/>
      <c r="C1006" s="83"/>
      <c r="D1006" s="83"/>
      <c r="E1006" s="83"/>
      <c r="F1006" s="83"/>
      <c r="G1006" s="83"/>
    </row>
    <row r="1007" spans="1:7" s="70" customFormat="1">
      <c r="A1007" s="227"/>
      <c r="C1007" s="83"/>
      <c r="D1007" s="83"/>
      <c r="E1007" s="83"/>
      <c r="F1007" s="83"/>
      <c r="G1007" s="83"/>
    </row>
    <row r="1008" spans="1:7" s="70" customFormat="1">
      <c r="A1008" s="227"/>
      <c r="C1008" s="83"/>
      <c r="D1008" s="83"/>
      <c r="E1008" s="83"/>
      <c r="F1008" s="83"/>
      <c r="G1008" s="83"/>
    </row>
    <row r="1009" spans="1:7" s="70" customFormat="1">
      <c r="A1009" s="227"/>
      <c r="C1009" s="83"/>
      <c r="D1009" s="83"/>
      <c r="E1009" s="83"/>
      <c r="F1009" s="83"/>
      <c r="G1009" s="83"/>
    </row>
    <row r="1010" spans="1:7" s="70" customFormat="1">
      <c r="A1010" s="227"/>
      <c r="C1010" s="83"/>
      <c r="D1010" s="83"/>
      <c r="E1010" s="83"/>
      <c r="F1010" s="83"/>
      <c r="G1010" s="83"/>
    </row>
    <row r="1011" spans="1:7" s="70" customFormat="1">
      <c r="A1011" s="227"/>
      <c r="C1011" s="83"/>
      <c r="D1011" s="83"/>
      <c r="E1011" s="83"/>
      <c r="F1011" s="83"/>
      <c r="G1011" s="83"/>
    </row>
    <row r="1012" spans="1:7" s="70" customFormat="1">
      <c r="A1012" s="227"/>
      <c r="C1012" s="83"/>
      <c r="D1012" s="83"/>
      <c r="E1012" s="83"/>
      <c r="F1012" s="83"/>
      <c r="G1012" s="83"/>
    </row>
    <row r="1013" spans="1:7" s="70" customFormat="1">
      <c r="A1013" s="227"/>
      <c r="C1013" s="83"/>
      <c r="D1013" s="83"/>
      <c r="E1013" s="83"/>
      <c r="F1013" s="83"/>
      <c r="G1013" s="83"/>
    </row>
    <row r="1014" spans="1:7" s="70" customFormat="1">
      <c r="A1014" s="227"/>
      <c r="C1014" s="83"/>
      <c r="D1014" s="83"/>
      <c r="E1014" s="83"/>
      <c r="F1014" s="83"/>
      <c r="G1014" s="83"/>
    </row>
    <row r="1015" spans="1:7" s="70" customFormat="1">
      <c r="A1015" s="227"/>
      <c r="C1015" s="83"/>
      <c r="D1015" s="83"/>
      <c r="E1015" s="83"/>
      <c r="F1015" s="83"/>
      <c r="G1015" s="83"/>
    </row>
    <row r="1016" spans="1:7" s="70" customFormat="1">
      <c r="A1016" s="227"/>
      <c r="C1016" s="83"/>
      <c r="D1016" s="83"/>
      <c r="E1016" s="83"/>
      <c r="F1016" s="83"/>
      <c r="G1016" s="83"/>
    </row>
    <row r="1017" spans="1:7" s="70" customFormat="1">
      <c r="A1017" s="227"/>
      <c r="C1017" s="83"/>
      <c r="D1017" s="83"/>
      <c r="E1017" s="83"/>
      <c r="F1017" s="83"/>
      <c r="G1017" s="83"/>
    </row>
    <row r="1018" spans="1:7" s="70" customFormat="1">
      <c r="A1018" s="227"/>
      <c r="C1018" s="83"/>
      <c r="D1018" s="83"/>
      <c r="E1018" s="83"/>
      <c r="F1018" s="83"/>
      <c r="G1018" s="83"/>
    </row>
    <row r="1019" spans="1:7" s="70" customFormat="1">
      <c r="A1019" s="227"/>
      <c r="C1019" s="83"/>
      <c r="D1019" s="83"/>
      <c r="E1019" s="83"/>
      <c r="F1019" s="83"/>
      <c r="G1019" s="83"/>
    </row>
    <row r="1020" spans="1:7" s="70" customFormat="1">
      <c r="A1020" s="227"/>
      <c r="C1020" s="83"/>
      <c r="D1020" s="83"/>
      <c r="E1020" s="83"/>
      <c r="F1020" s="83"/>
      <c r="G1020" s="83"/>
    </row>
    <row r="1021" spans="1:7" s="70" customFormat="1">
      <c r="A1021" s="227"/>
      <c r="C1021" s="83"/>
      <c r="D1021" s="83"/>
      <c r="E1021" s="83"/>
      <c r="F1021" s="83"/>
      <c r="G1021" s="83"/>
    </row>
    <row r="1022" spans="1:7" s="70" customFormat="1">
      <c r="A1022" s="227"/>
      <c r="C1022" s="83"/>
      <c r="D1022" s="83"/>
      <c r="E1022" s="83"/>
      <c r="F1022" s="83"/>
      <c r="G1022" s="83"/>
    </row>
    <row r="1023" spans="1:7" s="70" customFormat="1">
      <c r="A1023" s="227"/>
      <c r="C1023" s="83"/>
      <c r="D1023" s="83"/>
      <c r="E1023" s="83"/>
      <c r="F1023" s="83"/>
      <c r="G1023" s="83"/>
    </row>
    <row r="1024" spans="1:7" s="70" customFormat="1">
      <c r="A1024" s="227"/>
      <c r="C1024" s="83"/>
      <c r="D1024" s="83"/>
      <c r="E1024" s="83"/>
      <c r="F1024" s="83"/>
      <c r="G1024" s="83"/>
    </row>
    <row r="1025" spans="1:7" s="70" customFormat="1">
      <c r="A1025" s="227"/>
      <c r="C1025" s="83"/>
      <c r="D1025" s="83"/>
      <c r="E1025" s="83"/>
      <c r="F1025" s="83"/>
      <c r="G1025" s="83"/>
    </row>
    <row r="1026" spans="1:7" s="70" customFormat="1">
      <c r="A1026" s="227"/>
      <c r="C1026" s="83"/>
      <c r="D1026" s="83"/>
      <c r="E1026" s="83"/>
      <c r="F1026" s="83"/>
      <c r="G1026" s="83"/>
    </row>
    <row r="1027" spans="1:7" s="70" customFormat="1">
      <c r="A1027" s="227"/>
      <c r="C1027" s="83"/>
      <c r="D1027" s="83"/>
      <c r="E1027" s="83"/>
      <c r="F1027" s="83"/>
      <c r="G1027" s="83"/>
    </row>
    <row r="1028" spans="1:7" s="70" customFormat="1">
      <c r="A1028" s="227"/>
      <c r="C1028" s="83"/>
      <c r="D1028" s="83"/>
      <c r="E1028" s="83"/>
      <c r="F1028" s="83"/>
      <c r="G1028" s="83"/>
    </row>
    <row r="1029" spans="1:7" s="70" customFormat="1">
      <c r="A1029" s="227"/>
      <c r="C1029" s="83"/>
      <c r="D1029" s="83"/>
      <c r="E1029" s="83"/>
      <c r="F1029" s="83"/>
      <c r="G1029" s="83"/>
    </row>
    <row r="1030" spans="1:7" s="70" customFormat="1">
      <c r="A1030" s="227"/>
      <c r="C1030" s="83"/>
      <c r="D1030" s="83"/>
      <c r="E1030" s="83"/>
      <c r="F1030" s="83"/>
      <c r="G1030" s="83"/>
    </row>
    <row r="1031" spans="1:7" s="70" customFormat="1">
      <c r="A1031" s="227"/>
      <c r="C1031" s="83"/>
      <c r="D1031" s="83"/>
      <c r="E1031" s="83"/>
      <c r="F1031" s="83"/>
      <c r="G1031" s="83"/>
    </row>
    <row r="1032" spans="1:7" s="70" customFormat="1">
      <c r="A1032" s="227"/>
      <c r="C1032" s="83"/>
      <c r="D1032" s="83"/>
      <c r="E1032" s="83"/>
      <c r="F1032" s="83"/>
      <c r="G1032" s="83"/>
    </row>
    <row r="1033" spans="1:7" s="70" customFormat="1">
      <c r="A1033" s="227"/>
      <c r="C1033" s="83"/>
      <c r="D1033" s="83"/>
      <c r="E1033" s="83"/>
      <c r="F1033" s="83"/>
      <c r="G1033" s="83"/>
    </row>
    <row r="1034" spans="1:7" s="70" customFormat="1">
      <c r="A1034" s="227"/>
      <c r="C1034" s="83"/>
      <c r="D1034" s="83"/>
      <c r="E1034" s="83"/>
      <c r="F1034" s="83"/>
      <c r="G1034" s="83"/>
    </row>
    <row r="1035" spans="1:7" s="70" customFormat="1">
      <c r="A1035" s="227"/>
      <c r="C1035" s="83"/>
      <c r="D1035" s="83"/>
      <c r="E1035" s="83"/>
      <c r="F1035" s="83"/>
      <c r="G1035" s="83"/>
    </row>
    <row r="1036" spans="1:7" s="70" customFormat="1">
      <c r="A1036" s="227"/>
      <c r="C1036" s="83"/>
      <c r="D1036" s="83"/>
      <c r="E1036" s="83"/>
      <c r="F1036" s="83"/>
      <c r="G1036" s="83"/>
    </row>
    <row r="1037" spans="1:7" s="70" customFormat="1">
      <c r="A1037" s="227"/>
      <c r="C1037" s="83"/>
      <c r="D1037" s="83"/>
      <c r="E1037" s="83"/>
      <c r="F1037" s="83"/>
      <c r="G1037" s="83"/>
    </row>
    <row r="1038" spans="1:7" s="70" customFormat="1">
      <c r="A1038" s="227"/>
      <c r="C1038" s="83"/>
      <c r="D1038" s="83"/>
      <c r="E1038" s="83"/>
      <c r="F1038" s="83"/>
      <c r="G1038" s="83"/>
    </row>
    <row r="1039" spans="1:7" s="70" customFormat="1">
      <c r="A1039" s="227"/>
      <c r="C1039" s="83"/>
      <c r="D1039" s="83"/>
      <c r="E1039" s="83"/>
      <c r="F1039" s="83"/>
      <c r="G1039" s="83"/>
    </row>
    <row r="1040" spans="1:7" s="70" customFormat="1">
      <c r="A1040" s="227"/>
      <c r="C1040" s="83"/>
      <c r="D1040" s="83"/>
      <c r="E1040" s="83"/>
      <c r="F1040" s="83"/>
      <c r="G1040" s="83"/>
    </row>
    <row r="1041" spans="1:7" s="70" customFormat="1">
      <c r="A1041" s="227"/>
      <c r="C1041" s="83"/>
      <c r="D1041" s="83"/>
      <c r="E1041" s="83"/>
      <c r="F1041" s="83"/>
      <c r="G1041" s="83"/>
    </row>
    <row r="1042" spans="1:7" s="70" customFormat="1">
      <c r="A1042" s="227"/>
      <c r="C1042" s="83"/>
      <c r="D1042" s="83"/>
      <c r="E1042" s="83"/>
      <c r="F1042" s="83"/>
      <c r="G1042" s="83"/>
    </row>
    <row r="1043" spans="1:7" s="70" customFormat="1">
      <c r="A1043" s="227"/>
      <c r="C1043" s="83"/>
      <c r="D1043" s="83"/>
      <c r="E1043" s="83"/>
      <c r="F1043" s="83"/>
      <c r="G1043" s="83"/>
    </row>
    <row r="1044" spans="1:7" s="70" customFormat="1">
      <c r="A1044" s="227"/>
      <c r="C1044" s="83"/>
      <c r="D1044" s="83"/>
      <c r="E1044" s="83"/>
      <c r="F1044" s="83"/>
      <c r="G1044" s="83"/>
    </row>
    <row r="1045" spans="1:7" s="70" customFormat="1">
      <c r="A1045" s="227"/>
      <c r="C1045" s="83"/>
      <c r="D1045" s="83"/>
      <c r="E1045" s="83"/>
      <c r="F1045" s="83"/>
      <c r="G1045" s="83"/>
    </row>
    <row r="1046" spans="1:7" s="70" customFormat="1">
      <c r="A1046" s="227"/>
      <c r="C1046" s="83"/>
      <c r="D1046" s="83"/>
      <c r="E1046" s="83"/>
      <c r="F1046" s="83"/>
      <c r="G1046" s="83"/>
    </row>
    <row r="1047" spans="1:7" s="70" customFormat="1">
      <c r="A1047" s="227"/>
      <c r="C1047" s="83"/>
      <c r="D1047" s="83"/>
      <c r="E1047" s="83"/>
      <c r="F1047" s="83"/>
      <c r="G1047" s="83"/>
    </row>
    <row r="1048" spans="1:7" s="70" customFormat="1">
      <c r="A1048" s="227"/>
      <c r="C1048" s="83"/>
      <c r="D1048" s="83"/>
      <c r="E1048" s="83"/>
      <c r="F1048" s="83"/>
      <c r="G1048" s="83"/>
    </row>
    <row r="1049" spans="1:7" s="70" customFormat="1">
      <c r="A1049" s="227"/>
      <c r="C1049" s="83"/>
      <c r="D1049" s="83"/>
      <c r="E1049" s="83"/>
      <c r="F1049" s="83"/>
      <c r="G1049" s="83"/>
    </row>
    <row r="1050" spans="1:7" s="70" customFormat="1">
      <c r="A1050" s="227"/>
      <c r="C1050" s="83"/>
      <c r="D1050" s="83"/>
      <c r="E1050" s="83"/>
      <c r="F1050" s="83"/>
      <c r="G1050" s="83"/>
    </row>
    <row r="1051" spans="1:7" s="70" customFormat="1">
      <c r="A1051" s="227"/>
      <c r="C1051" s="83"/>
      <c r="D1051" s="83"/>
      <c r="E1051" s="83"/>
      <c r="F1051" s="83"/>
      <c r="G1051" s="83"/>
    </row>
    <row r="1052" spans="1:7" s="70" customFormat="1">
      <c r="A1052" s="227"/>
      <c r="C1052" s="83"/>
      <c r="D1052" s="83"/>
      <c r="E1052" s="83"/>
      <c r="F1052" s="83"/>
      <c r="G1052" s="83"/>
    </row>
    <row r="1053" spans="1:7" s="70" customFormat="1">
      <c r="A1053" s="227"/>
      <c r="C1053" s="83"/>
      <c r="D1053" s="83"/>
      <c r="E1053" s="83"/>
      <c r="F1053" s="83"/>
      <c r="G1053" s="83"/>
    </row>
    <row r="1054" spans="1:7" s="70" customFormat="1">
      <c r="A1054" s="227"/>
      <c r="C1054" s="83"/>
      <c r="D1054" s="83"/>
      <c r="E1054" s="83"/>
      <c r="F1054" s="83"/>
      <c r="G1054" s="83"/>
    </row>
    <row r="1055" spans="1:7" s="70" customFormat="1">
      <c r="A1055" s="227"/>
      <c r="C1055" s="83"/>
      <c r="D1055" s="83"/>
      <c r="E1055" s="83"/>
      <c r="F1055" s="83"/>
      <c r="G1055" s="83"/>
    </row>
    <row r="1056" spans="1:7" s="70" customFormat="1">
      <c r="A1056" s="227"/>
      <c r="C1056" s="83"/>
      <c r="D1056" s="83"/>
      <c r="E1056" s="83"/>
      <c r="F1056" s="83"/>
      <c r="G1056" s="83"/>
    </row>
    <row r="1057" spans="1:7" s="70" customFormat="1">
      <c r="A1057" s="227"/>
      <c r="C1057" s="83"/>
      <c r="D1057" s="83"/>
      <c r="E1057" s="83"/>
      <c r="F1057" s="83"/>
      <c r="G1057" s="83"/>
    </row>
    <row r="1058" spans="1:7" s="70" customFormat="1">
      <c r="A1058" s="227"/>
      <c r="C1058" s="83"/>
      <c r="D1058" s="83"/>
      <c r="E1058" s="83"/>
      <c r="F1058" s="83"/>
      <c r="G1058" s="83"/>
    </row>
    <row r="1059" spans="1:7" s="70" customFormat="1">
      <c r="A1059" s="227"/>
      <c r="C1059" s="83"/>
      <c r="D1059" s="83"/>
      <c r="E1059" s="83"/>
      <c r="F1059" s="83"/>
      <c r="G1059" s="83"/>
    </row>
    <row r="1060" spans="1:7" s="70" customFormat="1">
      <c r="A1060" s="227"/>
      <c r="C1060" s="83"/>
      <c r="D1060" s="83"/>
      <c r="E1060" s="83"/>
      <c r="F1060" s="83"/>
      <c r="G1060" s="83"/>
    </row>
    <row r="1061" spans="1:7" s="70" customFormat="1">
      <c r="A1061" s="227"/>
      <c r="C1061" s="83"/>
      <c r="D1061" s="83"/>
      <c r="E1061" s="83"/>
      <c r="F1061" s="83"/>
      <c r="G1061" s="83"/>
    </row>
    <row r="1062" spans="1:7" s="70" customFormat="1">
      <c r="A1062" s="227"/>
      <c r="C1062" s="83"/>
      <c r="D1062" s="83"/>
      <c r="E1062" s="83"/>
      <c r="F1062" s="83"/>
      <c r="G1062" s="83"/>
    </row>
    <row r="1063" spans="1:7" s="70" customFormat="1">
      <c r="A1063" s="227"/>
      <c r="C1063" s="83"/>
      <c r="D1063" s="83"/>
      <c r="E1063" s="83"/>
      <c r="F1063" s="83"/>
      <c r="G1063" s="83"/>
    </row>
    <row r="1064" spans="1:7" s="70" customFormat="1">
      <c r="A1064" s="227"/>
      <c r="C1064" s="83"/>
      <c r="D1064" s="83"/>
      <c r="E1064" s="83"/>
      <c r="F1064" s="83"/>
      <c r="G1064" s="83"/>
    </row>
    <row r="1065" spans="1:7" s="70" customFormat="1">
      <c r="A1065" s="227"/>
      <c r="C1065" s="83"/>
      <c r="D1065" s="83"/>
      <c r="E1065" s="83"/>
      <c r="F1065" s="83"/>
      <c r="G1065" s="83"/>
    </row>
    <row r="1066" spans="1:7" s="70" customFormat="1">
      <c r="A1066" s="227"/>
      <c r="C1066" s="83"/>
      <c r="D1066" s="83"/>
      <c r="E1066" s="83"/>
      <c r="F1066" s="83"/>
      <c r="G1066" s="83"/>
    </row>
    <row r="1067" spans="1:7" s="70" customFormat="1">
      <c r="A1067" s="227"/>
      <c r="C1067" s="83"/>
      <c r="D1067" s="83"/>
      <c r="E1067" s="83"/>
      <c r="F1067" s="83"/>
      <c r="G1067" s="83"/>
    </row>
    <row r="1068" spans="1:7" s="70" customFormat="1">
      <c r="A1068" s="227"/>
      <c r="C1068" s="83"/>
      <c r="D1068" s="83"/>
      <c r="E1068" s="83"/>
      <c r="F1068" s="83"/>
      <c r="G1068" s="83"/>
    </row>
    <row r="1069" spans="1:7" s="70" customFormat="1">
      <c r="A1069" s="227"/>
      <c r="C1069" s="83"/>
      <c r="D1069" s="83"/>
      <c r="E1069" s="83"/>
      <c r="F1069" s="83"/>
      <c r="G1069" s="83"/>
    </row>
    <row r="1070" spans="1:7" s="70" customFormat="1">
      <c r="A1070" s="227"/>
      <c r="C1070" s="83"/>
      <c r="D1070" s="83"/>
      <c r="E1070" s="83"/>
      <c r="F1070" s="83"/>
      <c r="G1070" s="83"/>
    </row>
    <row r="1071" spans="1:7" s="70" customFormat="1">
      <c r="A1071" s="227"/>
      <c r="C1071" s="83"/>
      <c r="D1071" s="83"/>
      <c r="E1071" s="83"/>
      <c r="F1071" s="83"/>
      <c r="G1071" s="83"/>
    </row>
    <row r="1072" spans="1:7" s="70" customFormat="1">
      <c r="A1072" s="227"/>
      <c r="C1072" s="83"/>
      <c r="D1072" s="83"/>
      <c r="E1072" s="83"/>
      <c r="F1072" s="83"/>
      <c r="G1072" s="83"/>
    </row>
    <row r="1073" spans="1:7" s="70" customFormat="1">
      <c r="A1073" s="227"/>
      <c r="C1073" s="83"/>
      <c r="D1073" s="83"/>
      <c r="E1073" s="83"/>
      <c r="F1073" s="83"/>
      <c r="G1073" s="83"/>
    </row>
    <row r="1074" spans="1:7" s="70" customFormat="1">
      <c r="A1074" s="227"/>
      <c r="C1074" s="83"/>
      <c r="D1074" s="83"/>
      <c r="E1074" s="83"/>
      <c r="F1074" s="83"/>
      <c r="G1074" s="83"/>
    </row>
    <row r="1075" spans="1:7" s="70" customFormat="1">
      <c r="A1075" s="227"/>
      <c r="C1075" s="83"/>
      <c r="D1075" s="83"/>
      <c r="E1075" s="83"/>
      <c r="F1075" s="83"/>
      <c r="G1075" s="83"/>
    </row>
    <row r="1076" spans="1:7" s="70" customFormat="1">
      <c r="A1076" s="227"/>
      <c r="C1076" s="83"/>
      <c r="D1076" s="83"/>
      <c r="E1076" s="83"/>
      <c r="F1076" s="83"/>
      <c r="G1076" s="83"/>
    </row>
    <row r="1077" spans="1:7" s="70" customFormat="1">
      <c r="A1077" s="227"/>
      <c r="C1077" s="83"/>
      <c r="D1077" s="83"/>
      <c r="E1077" s="83"/>
      <c r="F1077" s="83"/>
      <c r="G1077" s="83"/>
    </row>
    <row r="1078" spans="1:7" s="70" customFormat="1">
      <c r="A1078" s="227"/>
      <c r="C1078" s="83"/>
      <c r="D1078" s="83"/>
      <c r="E1078" s="83"/>
      <c r="F1078" s="83"/>
      <c r="G1078" s="83"/>
    </row>
    <row r="1079" spans="1:7" s="70" customFormat="1">
      <c r="A1079" s="227"/>
      <c r="C1079" s="83"/>
      <c r="D1079" s="83"/>
      <c r="E1079" s="83"/>
      <c r="F1079" s="83"/>
      <c r="G1079" s="83"/>
    </row>
    <row r="1080" spans="1:7" s="70" customFormat="1">
      <c r="A1080" s="227"/>
      <c r="C1080" s="83"/>
      <c r="D1080" s="83"/>
      <c r="E1080" s="83"/>
      <c r="F1080" s="83"/>
      <c r="G1080" s="83"/>
    </row>
    <row r="1081" spans="1:7" s="70" customFormat="1">
      <c r="A1081" s="227"/>
      <c r="C1081" s="83"/>
      <c r="D1081" s="83"/>
      <c r="E1081" s="83"/>
      <c r="F1081" s="83"/>
      <c r="G1081" s="83"/>
    </row>
    <row r="1082" spans="1:7" s="70" customFormat="1">
      <c r="A1082" s="227"/>
      <c r="C1082" s="83"/>
      <c r="D1082" s="83"/>
      <c r="E1082" s="83"/>
      <c r="F1082" s="83"/>
      <c r="G1082" s="83"/>
    </row>
    <row r="1083" spans="1:7" s="70" customFormat="1">
      <c r="A1083" s="227"/>
      <c r="C1083" s="83"/>
      <c r="D1083" s="83"/>
      <c r="E1083" s="83"/>
      <c r="F1083" s="83"/>
      <c r="G1083" s="83"/>
    </row>
    <row r="1084" spans="1:7" s="70" customFormat="1">
      <c r="A1084" s="227"/>
      <c r="C1084" s="83"/>
      <c r="D1084" s="83"/>
      <c r="E1084" s="83"/>
      <c r="F1084" s="83"/>
      <c r="G1084" s="83"/>
    </row>
    <row r="1085" spans="1:7" s="70" customFormat="1">
      <c r="A1085" s="227"/>
      <c r="C1085" s="83"/>
      <c r="D1085" s="83"/>
      <c r="E1085" s="83"/>
      <c r="F1085" s="83"/>
      <c r="G1085" s="83"/>
    </row>
    <row r="1086" spans="1:7" s="70" customFormat="1">
      <c r="A1086" s="227"/>
      <c r="C1086" s="83"/>
      <c r="D1086" s="83"/>
      <c r="E1086" s="83"/>
      <c r="F1086" s="83"/>
      <c r="G1086" s="83"/>
    </row>
    <row r="1087" spans="1:7" s="70" customFormat="1">
      <c r="A1087" s="227"/>
      <c r="C1087" s="83"/>
      <c r="D1087" s="83"/>
      <c r="E1087" s="83"/>
      <c r="F1087" s="83"/>
      <c r="G1087" s="83"/>
    </row>
    <row r="1088" spans="1:7" s="70" customFormat="1">
      <c r="A1088" s="227"/>
      <c r="C1088" s="83"/>
      <c r="D1088" s="83"/>
      <c r="E1088" s="83"/>
      <c r="F1088" s="83"/>
      <c r="G1088" s="83"/>
    </row>
    <row r="1089" spans="1:7" s="70" customFormat="1">
      <c r="A1089" s="227"/>
      <c r="C1089" s="83"/>
      <c r="D1089" s="83"/>
      <c r="E1089" s="83"/>
      <c r="F1089" s="83"/>
      <c r="G1089" s="83"/>
    </row>
    <row r="1090" spans="1:7" s="70" customFormat="1">
      <c r="A1090" s="227"/>
      <c r="C1090" s="83"/>
      <c r="D1090" s="83"/>
      <c r="E1090" s="83"/>
      <c r="F1090" s="83"/>
      <c r="G1090" s="83"/>
    </row>
    <row r="1091" spans="1:7" s="70" customFormat="1">
      <c r="A1091" s="227"/>
      <c r="C1091" s="83"/>
      <c r="D1091" s="83"/>
      <c r="E1091" s="83"/>
      <c r="F1091" s="83"/>
      <c r="G1091" s="83"/>
    </row>
    <row r="1092" spans="1:7" s="70" customFormat="1">
      <c r="A1092" s="227"/>
      <c r="C1092" s="83"/>
      <c r="D1092" s="83"/>
      <c r="E1092" s="83"/>
      <c r="F1092" s="83"/>
      <c r="G1092" s="83"/>
    </row>
    <row r="1093" spans="1:7" s="70" customFormat="1">
      <c r="A1093" s="227"/>
      <c r="C1093" s="83"/>
      <c r="D1093" s="83"/>
      <c r="E1093" s="83"/>
      <c r="F1093" s="83"/>
      <c r="G1093" s="83"/>
    </row>
    <row r="1094" spans="1:7" s="70" customFormat="1">
      <c r="A1094" s="227"/>
      <c r="C1094" s="83"/>
      <c r="D1094" s="83"/>
      <c r="E1094" s="83"/>
      <c r="F1094" s="83"/>
      <c r="G1094" s="83"/>
    </row>
    <row r="1095" spans="1:7" s="70" customFormat="1">
      <c r="A1095" s="227"/>
      <c r="C1095" s="83"/>
      <c r="D1095" s="83"/>
      <c r="E1095" s="83"/>
      <c r="F1095" s="83"/>
      <c r="G1095" s="83"/>
    </row>
    <row r="1096" spans="1:7" s="70" customFormat="1">
      <c r="A1096" s="227"/>
      <c r="C1096" s="83"/>
      <c r="D1096" s="83"/>
      <c r="E1096" s="83"/>
      <c r="F1096" s="83"/>
      <c r="G1096" s="83"/>
    </row>
    <row r="1097" spans="1:7" s="70" customFormat="1">
      <c r="A1097" s="227"/>
      <c r="C1097" s="83"/>
      <c r="D1097" s="83"/>
      <c r="E1097" s="83"/>
      <c r="F1097" s="83"/>
      <c r="G1097" s="83"/>
    </row>
    <row r="1098" spans="1:7" s="70" customFormat="1">
      <c r="A1098" s="227"/>
      <c r="C1098" s="83"/>
      <c r="D1098" s="83"/>
      <c r="E1098" s="83"/>
      <c r="F1098" s="83"/>
      <c r="G1098" s="83"/>
    </row>
    <row r="1099" spans="1:7" s="70" customFormat="1">
      <c r="A1099" s="227"/>
      <c r="C1099" s="83"/>
      <c r="D1099" s="83"/>
      <c r="E1099" s="83"/>
      <c r="F1099" s="83"/>
      <c r="G1099" s="83"/>
    </row>
    <row r="1100" spans="1:7" s="70" customFormat="1">
      <c r="A1100" s="227"/>
      <c r="C1100" s="83"/>
      <c r="D1100" s="83"/>
      <c r="E1100" s="83"/>
      <c r="F1100" s="83"/>
      <c r="G1100" s="83"/>
    </row>
    <row r="1101" spans="1:7" s="70" customFormat="1">
      <c r="A1101" s="227"/>
      <c r="C1101" s="83"/>
      <c r="D1101" s="83"/>
      <c r="E1101" s="83"/>
      <c r="F1101" s="83"/>
      <c r="G1101" s="83"/>
    </row>
    <row r="1102" spans="1:7" s="70" customFormat="1">
      <c r="A1102" s="227"/>
      <c r="C1102" s="83"/>
      <c r="D1102" s="83"/>
      <c r="E1102" s="83"/>
      <c r="F1102" s="83"/>
      <c r="G1102" s="83"/>
    </row>
    <row r="1103" spans="1:7" s="70" customFormat="1">
      <c r="A1103" s="227"/>
      <c r="C1103" s="83"/>
      <c r="D1103" s="83"/>
      <c r="E1103" s="83"/>
      <c r="F1103" s="83"/>
      <c r="G1103" s="83"/>
    </row>
    <row r="1104" spans="1:7" s="70" customFormat="1">
      <c r="A1104" s="227"/>
      <c r="C1104" s="83"/>
      <c r="D1104" s="83"/>
      <c r="E1104" s="83"/>
      <c r="F1104" s="83"/>
      <c r="G1104" s="83"/>
    </row>
    <row r="1105" spans="1:7" s="70" customFormat="1">
      <c r="A1105" s="227"/>
      <c r="C1105" s="83"/>
      <c r="D1105" s="83"/>
      <c r="E1105" s="83"/>
      <c r="F1105" s="83"/>
      <c r="G1105" s="83"/>
    </row>
    <row r="1106" spans="1:7" s="70" customFormat="1">
      <c r="A1106" s="227"/>
      <c r="C1106" s="83"/>
      <c r="D1106" s="83"/>
      <c r="E1106" s="83"/>
      <c r="F1106" s="83"/>
      <c r="G1106" s="83"/>
    </row>
    <row r="1107" spans="1:7" s="70" customFormat="1">
      <c r="A1107" s="227"/>
      <c r="C1107" s="83"/>
      <c r="D1107" s="83"/>
      <c r="E1107" s="83"/>
      <c r="F1107" s="83"/>
      <c r="G1107" s="83"/>
    </row>
    <row r="1108" spans="1:7" s="70" customFormat="1">
      <c r="A1108" s="227"/>
      <c r="C1108" s="83"/>
      <c r="D1108" s="83"/>
      <c r="E1108" s="83"/>
      <c r="F1108" s="83"/>
      <c r="G1108" s="83"/>
    </row>
    <row r="1109" spans="1:7" s="70" customFormat="1">
      <c r="A1109" s="227"/>
      <c r="C1109" s="83"/>
      <c r="D1109" s="83"/>
      <c r="E1109" s="83"/>
      <c r="F1109" s="83"/>
      <c r="G1109" s="83"/>
    </row>
    <row r="1110" spans="1:7" s="70" customFormat="1">
      <c r="A1110" s="227"/>
      <c r="C1110" s="83"/>
      <c r="D1110" s="83"/>
      <c r="E1110" s="83"/>
      <c r="F1110" s="83"/>
      <c r="G1110" s="83"/>
    </row>
    <row r="1111" spans="1:7" s="70" customFormat="1">
      <c r="A1111" s="227"/>
      <c r="C1111" s="83"/>
      <c r="D1111" s="83"/>
      <c r="E1111" s="83"/>
      <c r="F1111" s="83"/>
      <c r="G1111" s="83"/>
    </row>
    <row r="1112" spans="1:7" s="70" customFormat="1">
      <c r="A1112" s="227"/>
      <c r="C1112" s="83"/>
      <c r="D1112" s="83"/>
      <c r="E1112" s="83"/>
      <c r="F1112" s="83"/>
      <c r="G1112" s="83"/>
    </row>
    <row r="1113" spans="1:7" s="70" customFormat="1">
      <c r="A1113" s="227"/>
      <c r="C1113" s="83"/>
      <c r="D1113" s="83"/>
      <c r="E1113" s="83"/>
      <c r="F1113" s="83"/>
      <c r="G1113" s="83"/>
    </row>
    <row r="1114" spans="1:7" s="70" customFormat="1">
      <c r="A1114" s="227"/>
      <c r="C1114" s="83"/>
      <c r="D1114" s="83"/>
      <c r="E1114" s="83"/>
      <c r="F1114" s="83"/>
      <c r="G1114" s="83"/>
    </row>
    <row r="1115" spans="1:7" s="70" customFormat="1">
      <c r="A1115" s="227"/>
      <c r="C1115" s="83"/>
      <c r="D1115" s="83"/>
      <c r="E1115" s="83"/>
      <c r="F1115" s="83"/>
      <c r="G1115" s="83"/>
    </row>
    <row r="1116" spans="1:7" s="70" customFormat="1">
      <c r="A1116" s="227"/>
      <c r="C1116" s="83"/>
      <c r="D1116" s="83"/>
      <c r="E1116" s="83"/>
      <c r="F1116" s="83"/>
      <c r="G1116" s="83"/>
    </row>
    <row r="1117" spans="1:7" s="70" customFormat="1">
      <c r="A1117" s="227"/>
      <c r="C1117" s="83"/>
      <c r="D1117" s="83"/>
      <c r="E1117" s="83"/>
      <c r="F1117" s="83"/>
      <c r="G1117" s="83"/>
    </row>
    <row r="1118" spans="1:7" s="70" customFormat="1">
      <c r="A1118" s="227"/>
      <c r="C1118" s="83"/>
      <c r="D1118" s="83"/>
      <c r="E1118" s="83"/>
      <c r="F1118" s="83"/>
      <c r="G1118" s="83"/>
    </row>
    <row r="1119" spans="1:7" s="70" customFormat="1">
      <c r="A1119" s="227"/>
      <c r="C1119" s="83"/>
      <c r="D1119" s="83"/>
      <c r="E1119" s="83"/>
      <c r="F1119" s="83"/>
      <c r="G1119" s="83"/>
    </row>
    <row r="1120" spans="1:7" s="70" customFormat="1">
      <c r="A1120" s="227"/>
      <c r="C1120" s="83"/>
      <c r="D1120" s="83"/>
      <c r="E1120" s="83"/>
      <c r="F1120" s="83"/>
      <c r="G1120" s="83"/>
    </row>
    <row r="1121" spans="1:7" s="70" customFormat="1">
      <c r="A1121" s="227"/>
      <c r="C1121" s="83"/>
      <c r="D1121" s="83"/>
      <c r="E1121" s="83"/>
      <c r="F1121" s="83"/>
      <c r="G1121" s="83"/>
    </row>
    <row r="1122" spans="1:7" s="70" customFormat="1">
      <c r="A1122" s="227"/>
      <c r="C1122" s="83"/>
      <c r="D1122" s="83"/>
      <c r="E1122" s="83"/>
      <c r="F1122" s="83"/>
      <c r="G1122" s="83"/>
    </row>
    <row r="1123" spans="1:7" s="70" customFormat="1">
      <c r="A1123" s="227"/>
      <c r="C1123" s="83"/>
      <c r="D1123" s="83"/>
      <c r="E1123" s="83"/>
      <c r="F1123" s="83"/>
      <c r="G1123" s="83"/>
    </row>
    <row r="1124" spans="1:7" s="70" customFormat="1">
      <c r="A1124" s="227"/>
      <c r="C1124" s="83"/>
      <c r="D1124" s="83"/>
      <c r="E1124" s="83"/>
      <c r="F1124" s="83"/>
      <c r="G1124" s="83"/>
    </row>
    <row r="1125" spans="1:7" s="70" customFormat="1">
      <c r="A1125" s="227"/>
      <c r="C1125" s="83"/>
      <c r="D1125" s="83"/>
      <c r="E1125" s="83"/>
      <c r="F1125" s="83"/>
      <c r="G1125" s="83"/>
    </row>
    <row r="1126" spans="1:7" s="70" customFormat="1">
      <c r="A1126" s="227"/>
      <c r="C1126" s="83"/>
      <c r="D1126" s="83"/>
      <c r="E1126" s="83"/>
      <c r="F1126" s="83"/>
      <c r="G1126" s="83"/>
    </row>
    <row r="1127" spans="1:7" s="70" customFormat="1">
      <c r="A1127" s="227"/>
      <c r="C1127" s="83"/>
      <c r="D1127" s="83"/>
      <c r="E1127" s="83"/>
      <c r="F1127" s="83"/>
      <c r="G1127" s="83"/>
    </row>
    <row r="1128" spans="1:7" s="70" customFormat="1">
      <c r="A1128" s="227"/>
      <c r="C1128" s="83"/>
      <c r="D1128" s="83"/>
      <c r="E1128" s="83"/>
      <c r="F1128" s="83"/>
      <c r="G1128" s="83"/>
    </row>
    <row r="1129" spans="1:7" s="70" customFormat="1">
      <c r="A1129" s="227"/>
      <c r="C1129" s="83"/>
      <c r="D1129" s="83"/>
      <c r="E1129" s="83"/>
      <c r="F1129" s="83"/>
      <c r="G1129" s="83"/>
    </row>
    <row r="1130" spans="1:7" s="70" customFormat="1">
      <c r="A1130" s="227"/>
      <c r="C1130" s="83"/>
      <c r="D1130" s="83"/>
      <c r="E1130" s="83"/>
      <c r="F1130" s="83"/>
      <c r="G1130" s="83"/>
    </row>
    <row r="1131" spans="1:7" s="70" customFormat="1">
      <c r="A1131" s="227"/>
      <c r="C1131" s="83"/>
      <c r="D1131" s="83"/>
      <c r="E1131" s="83"/>
      <c r="F1131" s="83"/>
      <c r="G1131" s="83"/>
    </row>
    <row r="1132" spans="1:7" s="70" customFormat="1">
      <c r="A1132" s="227"/>
      <c r="C1132" s="83"/>
      <c r="D1132" s="83"/>
      <c r="E1132" s="83"/>
      <c r="F1132" s="83"/>
      <c r="G1132" s="83"/>
    </row>
    <row r="1133" spans="1:7" s="70" customFormat="1">
      <c r="A1133" s="227"/>
      <c r="C1133" s="83"/>
      <c r="D1133" s="83"/>
      <c r="E1133" s="83"/>
      <c r="F1133" s="83"/>
      <c r="G1133" s="83"/>
    </row>
    <row r="1134" spans="1:7" s="70" customFormat="1">
      <c r="A1134" s="227"/>
      <c r="C1134" s="83"/>
      <c r="D1134" s="83"/>
      <c r="E1134" s="83"/>
      <c r="F1134" s="83"/>
      <c r="G1134" s="83"/>
    </row>
    <row r="1135" spans="1:7" s="70" customFormat="1">
      <c r="A1135" s="227"/>
      <c r="C1135" s="83"/>
      <c r="D1135" s="83"/>
      <c r="E1135" s="83"/>
      <c r="F1135" s="83"/>
      <c r="G1135" s="83"/>
    </row>
    <row r="1136" spans="1:7" s="70" customFormat="1">
      <c r="A1136" s="227"/>
      <c r="C1136" s="83"/>
      <c r="D1136" s="83"/>
      <c r="E1136" s="83"/>
      <c r="F1136" s="83"/>
      <c r="G1136" s="83"/>
    </row>
    <row r="1137" spans="1:7" s="70" customFormat="1">
      <c r="A1137" s="227"/>
      <c r="C1137" s="83"/>
      <c r="D1137" s="83"/>
      <c r="E1137" s="83"/>
      <c r="F1137" s="83"/>
      <c r="G1137" s="83"/>
    </row>
    <row r="1138" spans="1:7" s="70" customFormat="1">
      <c r="A1138" s="227"/>
      <c r="C1138" s="83"/>
      <c r="D1138" s="83"/>
      <c r="E1138" s="83"/>
      <c r="F1138" s="83"/>
      <c r="G1138" s="83"/>
    </row>
    <row r="1139" spans="1:7" s="70" customFormat="1">
      <c r="A1139" s="227"/>
      <c r="C1139" s="83"/>
      <c r="D1139" s="83"/>
      <c r="E1139" s="83"/>
      <c r="F1139" s="83"/>
      <c r="G1139" s="83"/>
    </row>
    <row r="1140" spans="1:7" s="70" customFormat="1">
      <c r="A1140" s="227"/>
      <c r="C1140" s="83"/>
      <c r="D1140" s="83"/>
      <c r="E1140" s="83"/>
      <c r="F1140" s="83"/>
      <c r="G1140" s="83"/>
    </row>
    <row r="1141" spans="1:7" s="70" customFormat="1">
      <c r="A1141" s="227"/>
      <c r="C1141" s="83"/>
      <c r="D1141" s="83"/>
      <c r="E1141" s="83"/>
      <c r="F1141" s="83"/>
      <c r="G1141" s="83"/>
    </row>
    <row r="1142" spans="1:7" s="70" customFormat="1">
      <c r="A1142" s="227"/>
      <c r="C1142" s="83"/>
      <c r="D1142" s="83"/>
      <c r="E1142" s="83"/>
      <c r="F1142" s="83"/>
      <c r="G1142" s="83"/>
    </row>
    <row r="1143" spans="1:7" s="70" customFormat="1">
      <c r="A1143" s="227"/>
      <c r="C1143" s="83"/>
      <c r="D1143" s="83"/>
      <c r="E1143" s="83"/>
      <c r="F1143" s="83"/>
      <c r="G1143" s="83"/>
    </row>
    <row r="1144" spans="1:7" s="70" customFormat="1">
      <c r="A1144" s="227"/>
      <c r="C1144" s="83"/>
      <c r="D1144" s="83"/>
      <c r="E1144" s="83"/>
      <c r="F1144" s="83"/>
      <c r="G1144" s="83"/>
    </row>
    <row r="1145" spans="1:7" s="70" customFormat="1">
      <c r="A1145" s="227"/>
      <c r="C1145" s="83"/>
      <c r="D1145" s="83"/>
      <c r="E1145" s="83"/>
      <c r="F1145" s="83"/>
      <c r="G1145" s="83"/>
    </row>
    <row r="1146" spans="1:7" s="70" customFormat="1">
      <c r="A1146" s="227"/>
      <c r="C1146" s="83"/>
      <c r="D1146" s="83"/>
      <c r="E1146" s="83"/>
      <c r="F1146" s="83"/>
      <c r="G1146" s="83"/>
    </row>
    <row r="1147" spans="1:7" s="70" customFormat="1">
      <c r="A1147" s="227"/>
      <c r="C1147" s="83"/>
      <c r="D1147" s="83"/>
      <c r="E1147" s="83"/>
      <c r="F1147" s="83"/>
      <c r="G1147" s="83"/>
    </row>
    <row r="1148" spans="1:7" s="70" customFormat="1">
      <c r="A1148" s="227"/>
      <c r="C1148" s="83"/>
      <c r="D1148" s="83"/>
      <c r="E1148" s="83"/>
      <c r="F1148" s="83"/>
      <c r="G1148" s="83"/>
    </row>
    <row r="1149" spans="1:7" s="70" customFormat="1">
      <c r="A1149" s="227"/>
      <c r="C1149" s="83"/>
      <c r="D1149" s="83"/>
      <c r="E1149" s="83"/>
      <c r="F1149" s="83"/>
      <c r="G1149" s="83"/>
    </row>
    <row r="1150" spans="1:7">
      <c r="A1150" s="142"/>
    </row>
    <row r="1151" spans="1:7">
      <c r="A1151" s="142"/>
    </row>
    <row r="1152" spans="1:7">
      <c r="A1152" s="142"/>
    </row>
    <row r="1153" spans="1:1">
      <c r="A1153" s="142"/>
    </row>
    <row r="1154" spans="1:1">
      <c r="A1154" s="142"/>
    </row>
    <row r="1155" spans="1:1">
      <c r="A1155" s="142"/>
    </row>
    <row r="1156" spans="1:1">
      <c r="A1156" s="142"/>
    </row>
    <row r="1157" spans="1:1">
      <c r="A1157" s="142"/>
    </row>
    <row r="1158" spans="1:1">
      <c r="A1158" s="142"/>
    </row>
    <row r="1159" spans="1:1">
      <c r="A1159" s="142"/>
    </row>
    <row r="1160" spans="1:1">
      <c r="A1160" s="142"/>
    </row>
    <row r="1161" spans="1:1">
      <c r="A1161" s="142"/>
    </row>
    <row r="1162" spans="1:1">
      <c r="A1162" s="142"/>
    </row>
    <row r="1163" spans="1:1">
      <c r="A1163" s="142"/>
    </row>
    <row r="1164" spans="1:1">
      <c r="A1164" s="142"/>
    </row>
    <row r="1165" spans="1:1">
      <c r="A1165" s="142"/>
    </row>
    <row r="1166" spans="1:1">
      <c r="A1166" s="142"/>
    </row>
    <row r="1167" spans="1:1">
      <c r="A1167" s="142"/>
    </row>
    <row r="1168" spans="1:1">
      <c r="A1168" s="142"/>
    </row>
    <row r="1169" spans="1:1">
      <c r="A1169" s="142"/>
    </row>
    <row r="1170" spans="1:1">
      <c r="A1170" s="142"/>
    </row>
    <row r="1171" spans="1:1">
      <c r="A1171" s="142"/>
    </row>
    <row r="1172" spans="1:1">
      <c r="A1172" s="142"/>
    </row>
    <row r="1173" spans="1:1">
      <c r="A1173" s="142"/>
    </row>
    <row r="1174" spans="1:1">
      <c r="A1174" s="142"/>
    </row>
    <row r="1175" spans="1:1">
      <c r="A1175" s="142"/>
    </row>
    <row r="1176" spans="1:1">
      <c r="A1176" s="142"/>
    </row>
    <row r="1177" spans="1:1">
      <c r="A1177" s="142"/>
    </row>
    <row r="1178" spans="1:1">
      <c r="A1178" s="142"/>
    </row>
    <row r="1179" spans="1:1">
      <c r="A1179" s="142"/>
    </row>
    <row r="1180" spans="1:1">
      <c r="A1180" s="142"/>
    </row>
    <row r="1181" spans="1:1">
      <c r="A1181" s="142"/>
    </row>
    <row r="1182" spans="1:1">
      <c r="A1182" s="142"/>
    </row>
    <row r="1183" spans="1:1">
      <c r="A1183" s="142"/>
    </row>
    <row r="1184" spans="1:1">
      <c r="A1184" s="142"/>
    </row>
    <row r="1185" spans="1:1">
      <c r="A1185" s="142"/>
    </row>
    <row r="1186" spans="1:1">
      <c r="A1186" s="142"/>
    </row>
    <row r="1187" spans="1:1">
      <c r="A1187" s="142"/>
    </row>
    <row r="1188" spans="1:1">
      <c r="A1188" s="142"/>
    </row>
    <row r="1189" spans="1:1">
      <c r="A1189" s="142"/>
    </row>
    <row r="1190" spans="1:1">
      <c r="A1190" s="142"/>
    </row>
    <row r="1191" spans="1:1">
      <c r="A1191" s="142"/>
    </row>
    <row r="1192" spans="1:1">
      <c r="A1192" s="142"/>
    </row>
    <row r="1193" spans="1:1">
      <c r="A1193" s="142"/>
    </row>
    <row r="1194" spans="1:1">
      <c r="A1194" s="142"/>
    </row>
    <row r="1195" spans="1:1">
      <c r="A1195" s="142"/>
    </row>
    <row r="1196" spans="1:1">
      <c r="A1196" s="142"/>
    </row>
    <row r="1197" spans="1:1">
      <c r="A1197" s="142"/>
    </row>
    <row r="1198" spans="1:1">
      <c r="A1198" s="142"/>
    </row>
    <row r="1199" spans="1:1">
      <c r="A1199" s="142"/>
    </row>
    <row r="1200" spans="1:1">
      <c r="A1200" s="142"/>
    </row>
    <row r="1201" spans="1:1">
      <c r="A1201" s="142"/>
    </row>
    <row r="1202" spans="1:1">
      <c r="A1202" s="142"/>
    </row>
    <row r="1203" spans="1:1">
      <c r="A1203" s="142"/>
    </row>
    <row r="1204" spans="1:1">
      <c r="A1204" s="142"/>
    </row>
    <row r="1205" spans="1:1">
      <c r="A1205" s="142"/>
    </row>
    <row r="1206" spans="1:1">
      <c r="A1206" s="142"/>
    </row>
    <row r="1207" spans="1:1">
      <c r="A1207" s="142"/>
    </row>
    <row r="1208" spans="1:1">
      <c r="A1208" s="142"/>
    </row>
    <row r="1209" spans="1:1">
      <c r="A1209" s="142"/>
    </row>
    <row r="1210" spans="1:1">
      <c r="A1210" s="142"/>
    </row>
    <row r="1211" spans="1:1">
      <c r="A1211" s="142"/>
    </row>
    <row r="1212" spans="1:1">
      <c r="A1212" s="142"/>
    </row>
    <row r="1213" spans="1:1">
      <c r="A1213" s="142"/>
    </row>
    <row r="1214" spans="1:1">
      <c r="A1214" s="142"/>
    </row>
    <row r="1215" spans="1:1">
      <c r="A1215" s="142"/>
    </row>
    <row r="1216" spans="1:1">
      <c r="A1216" s="142"/>
    </row>
    <row r="1217" spans="1:1">
      <c r="A1217" s="142"/>
    </row>
    <row r="1218" spans="1:1">
      <c r="A1218" s="142"/>
    </row>
    <row r="1219" spans="1:1">
      <c r="A1219" s="142"/>
    </row>
    <row r="1220" spans="1:1">
      <c r="A1220" s="142"/>
    </row>
    <row r="1221" spans="1:1">
      <c r="A1221" s="142"/>
    </row>
    <row r="1222" spans="1:1">
      <c r="A1222" s="142"/>
    </row>
    <row r="1223" spans="1:1">
      <c r="A1223" s="142"/>
    </row>
    <row r="1224" spans="1:1">
      <c r="A1224" s="142"/>
    </row>
    <row r="1225" spans="1:1">
      <c r="A1225" s="142"/>
    </row>
    <row r="1226" spans="1:1">
      <c r="A1226" s="142"/>
    </row>
    <row r="1227" spans="1:1">
      <c r="A1227" s="142"/>
    </row>
    <row r="1228" spans="1:1">
      <c r="A1228" s="142"/>
    </row>
    <row r="1229" spans="1:1">
      <c r="A1229" s="142"/>
    </row>
    <row r="1230" spans="1:1">
      <c r="A1230" s="142"/>
    </row>
    <row r="1231" spans="1:1">
      <c r="A1231" s="142"/>
    </row>
    <row r="1232" spans="1:1">
      <c r="A1232" s="142"/>
    </row>
    <row r="1233" spans="1:1">
      <c r="A1233" s="142"/>
    </row>
    <row r="1234" spans="1:1">
      <c r="A1234" s="142"/>
    </row>
    <row r="1235" spans="1:1">
      <c r="A1235" s="142"/>
    </row>
    <row r="1236" spans="1:1">
      <c r="A1236" s="142"/>
    </row>
    <row r="1237" spans="1:1">
      <c r="A1237" s="142"/>
    </row>
    <row r="1238" spans="1:1">
      <c r="A1238" s="142"/>
    </row>
    <row r="1239" spans="1:1">
      <c r="A1239" s="142"/>
    </row>
    <row r="1240" spans="1:1">
      <c r="A1240" s="142"/>
    </row>
    <row r="1241" spans="1:1">
      <c r="A1241" s="142"/>
    </row>
    <row r="1242" spans="1:1">
      <c r="A1242" s="142"/>
    </row>
    <row r="1243" spans="1:1">
      <c r="A1243" s="142"/>
    </row>
    <row r="1244" spans="1:1">
      <c r="A1244" s="142"/>
    </row>
    <row r="1245" spans="1:1">
      <c r="A1245" s="142"/>
    </row>
    <row r="1246" spans="1:1">
      <c r="A1246" s="142"/>
    </row>
    <row r="1247" spans="1:1">
      <c r="A1247" s="142"/>
    </row>
    <row r="1248" spans="1:1">
      <c r="A1248" s="142"/>
    </row>
    <row r="1249" spans="1:1">
      <c r="A1249" s="142"/>
    </row>
    <row r="1250" spans="1:1">
      <c r="A1250" s="142"/>
    </row>
    <row r="1251" spans="1:1">
      <c r="A1251" s="142"/>
    </row>
    <row r="1252" spans="1:1">
      <c r="A1252" s="142"/>
    </row>
    <row r="1253" spans="1:1">
      <c r="A1253" s="142"/>
    </row>
    <row r="1254" spans="1:1">
      <c r="A1254" s="142"/>
    </row>
    <row r="1255" spans="1:1">
      <c r="A1255" s="142"/>
    </row>
    <row r="1256" spans="1:1">
      <c r="A1256" s="142"/>
    </row>
    <row r="1257" spans="1:1">
      <c r="A1257" s="142"/>
    </row>
    <row r="1258" spans="1:1">
      <c r="A1258" s="142"/>
    </row>
    <row r="1259" spans="1:1">
      <c r="A1259" s="142"/>
    </row>
    <row r="1260" spans="1:1">
      <c r="A1260" s="142"/>
    </row>
    <row r="1261" spans="1:1">
      <c r="A1261" s="142"/>
    </row>
    <row r="1262" spans="1:1">
      <c r="A1262" s="142"/>
    </row>
    <row r="1263" spans="1:1">
      <c r="A1263" s="142"/>
    </row>
    <row r="1264" spans="1:1">
      <c r="A1264" s="142"/>
    </row>
    <row r="1265" spans="1:1">
      <c r="A1265" s="142"/>
    </row>
    <row r="1266" spans="1:1">
      <c r="A1266" s="142"/>
    </row>
    <row r="1267" spans="1:1">
      <c r="A1267" s="142"/>
    </row>
    <row r="1268" spans="1:1">
      <c r="A1268" s="142"/>
    </row>
    <row r="1269" spans="1:1">
      <c r="A1269" s="142"/>
    </row>
    <row r="1270" spans="1:1">
      <c r="A1270" s="142"/>
    </row>
    <row r="1271" spans="1:1">
      <c r="A1271" s="142"/>
    </row>
    <row r="1272" spans="1:1">
      <c r="A1272" s="142"/>
    </row>
    <row r="1273" spans="1:1">
      <c r="A1273" s="142"/>
    </row>
    <row r="1274" spans="1:1">
      <c r="A1274" s="142"/>
    </row>
    <row r="1275" spans="1:1">
      <c r="A1275" s="142"/>
    </row>
    <row r="1276" spans="1:1">
      <c r="A1276" s="142"/>
    </row>
    <row r="1277" spans="1:1">
      <c r="A1277" s="142"/>
    </row>
    <row r="1278" spans="1:1">
      <c r="A1278" s="142"/>
    </row>
    <row r="1279" spans="1:1">
      <c r="A1279" s="142"/>
    </row>
    <row r="1280" spans="1:1">
      <c r="A1280" s="142"/>
    </row>
    <row r="1281" spans="1:1">
      <c r="A1281" s="142"/>
    </row>
    <row r="1282" spans="1:1">
      <c r="A1282" s="142"/>
    </row>
    <row r="1283" spans="1:1">
      <c r="A1283" s="142"/>
    </row>
    <row r="1284" spans="1:1">
      <c r="A1284" s="142"/>
    </row>
    <row r="1285" spans="1:1">
      <c r="A1285" s="142"/>
    </row>
    <row r="1286" spans="1:1">
      <c r="A1286" s="142"/>
    </row>
    <row r="1287" spans="1:1">
      <c r="A1287" s="142"/>
    </row>
    <row r="1288" spans="1:1">
      <c r="A1288" s="142"/>
    </row>
    <row r="1289" spans="1:1">
      <c r="A1289" s="142"/>
    </row>
    <row r="1290" spans="1:1">
      <c r="A1290" s="142"/>
    </row>
    <row r="1291" spans="1:1">
      <c r="A1291" s="142"/>
    </row>
    <row r="1292" spans="1:1">
      <c r="A1292" s="142"/>
    </row>
    <row r="1293" spans="1:1">
      <c r="A1293" s="142"/>
    </row>
    <row r="1294" spans="1:1">
      <c r="A1294" s="142"/>
    </row>
    <row r="1295" spans="1:1">
      <c r="A1295" s="142"/>
    </row>
    <row r="1296" spans="1:1">
      <c r="A1296" s="142"/>
    </row>
    <row r="1297" spans="1:1">
      <c r="A1297" s="142"/>
    </row>
    <row r="1298" spans="1:1">
      <c r="A1298" s="142"/>
    </row>
    <row r="1299" spans="1:1">
      <c r="A1299" s="142"/>
    </row>
    <row r="1300" spans="1:1">
      <c r="A1300" s="142"/>
    </row>
    <row r="1301" spans="1:1">
      <c r="A1301" s="142"/>
    </row>
    <row r="1302" spans="1:1">
      <c r="A1302" s="142"/>
    </row>
    <row r="1303" spans="1:1">
      <c r="A1303" s="142"/>
    </row>
    <row r="1304" spans="1:1">
      <c r="A1304" s="142"/>
    </row>
    <row r="1305" spans="1:1">
      <c r="A1305" s="142"/>
    </row>
    <row r="1306" spans="1:1">
      <c r="A1306" s="142"/>
    </row>
    <row r="1307" spans="1:1">
      <c r="A1307" s="142"/>
    </row>
    <row r="1308" spans="1:1">
      <c r="A1308" s="142"/>
    </row>
    <row r="1309" spans="1:1">
      <c r="A1309" s="142"/>
    </row>
    <row r="1310" spans="1:1">
      <c r="A1310" s="142"/>
    </row>
    <row r="1311" spans="1:1">
      <c r="A1311" s="142"/>
    </row>
    <row r="1312" spans="1:1">
      <c r="A1312" s="142"/>
    </row>
    <row r="1313" spans="1:1">
      <c r="A1313" s="142"/>
    </row>
    <row r="1314" spans="1:1">
      <c r="A1314" s="142"/>
    </row>
    <row r="1315" spans="1:1">
      <c r="A1315" s="142"/>
    </row>
    <row r="1316" spans="1:1">
      <c r="A1316" s="142"/>
    </row>
    <row r="1317" spans="1:1">
      <c r="A1317" s="142"/>
    </row>
    <row r="1318" spans="1:1">
      <c r="A1318" s="142"/>
    </row>
    <row r="1319" spans="1:1">
      <c r="A1319" s="142"/>
    </row>
    <row r="1320" spans="1:1">
      <c r="A1320" s="142"/>
    </row>
    <row r="1321" spans="1:1">
      <c r="A1321" s="142"/>
    </row>
    <row r="1322" spans="1:1">
      <c r="A1322" s="142"/>
    </row>
    <row r="1323" spans="1:1">
      <c r="A1323" s="142"/>
    </row>
    <row r="1324" spans="1:1">
      <c r="A1324" s="142"/>
    </row>
    <row r="1325" spans="1:1">
      <c r="A1325" s="142"/>
    </row>
    <row r="1326" spans="1:1">
      <c r="A1326" s="142"/>
    </row>
    <row r="1327" spans="1:1">
      <c r="A1327" s="142"/>
    </row>
    <row r="1328" spans="1:1">
      <c r="A1328" s="142"/>
    </row>
    <row r="1329" spans="1:1">
      <c r="A1329" s="142"/>
    </row>
    <row r="1330" spans="1:1">
      <c r="A1330" s="142"/>
    </row>
    <row r="1331" spans="1:1">
      <c r="A1331" s="142"/>
    </row>
    <row r="1332" spans="1:1">
      <c r="A1332" s="142"/>
    </row>
    <row r="1333" spans="1:1">
      <c r="A1333" s="142"/>
    </row>
    <row r="1334" spans="1:1">
      <c r="A1334" s="142"/>
    </row>
    <row r="1335" spans="1:1">
      <c r="A1335" s="142"/>
    </row>
    <row r="1336" spans="1:1">
      <c r="A1336" s="142"/>
    </row>
    <row r="1337" spans="1:1">
      <c r="A1337" s="142"/>
    </row>
    <row r="1338" spans="1:1">
      <c r="A1338" s="142"/>
    </row>
    <row r="1339" spans="1:1">
      <c r="A1339" s="142"/>
    </row>
    <row r="1340" spans="1:1">
      <c r="A1340" s="142"/>
    </row>
    <row r="1341" spans="1:1">
      <c r="A1341" s="142"/>
    </row>
    <row r="1342" spans="1:1">
      <c r="A1342" s="142"/>
    </row>
    <row r="1343" spans="1:1">
      <c r="A1343" s="142"/>
    </row>
    <row r="1344" spans="1:1">
      <c r="A1344" s="142"/>
    </row>
    <row r="1345" spans="1:1">
      <c r="A1345" s="142"/>
    </row>
    <row r="1346" spans="1:1">
      <c r="A1346" s="142"/>
    </row>
    <row r="1347" spans="1:1">
      <c r="A1347" s="142"/>
    </row>
    <row r="1348" spans="1:1">
      <c r="A1348" s="142"/>
    </row>
    <row r="1349" spans="1:1">
      <c r="A1349" s="142"/>
    </row>
    <row r="1350" spans="1:1">
      <c r="A1350" s="142"/>
    </row>
    <row r="1351" spans="1:1">
      <c r="A1351" s="142"/>
    </row>
    <row r="1352" spans="1:1">
      <c r="A1352" s="142"/>
    </row>
    <row r="1353" spans="1:1">
      <c r="A1353" s="142"/>
    </row>
    <row r="1354" spans="1:1">
      <c r="A1354" s="142"/>
    </row>
    <row r="1355" spans="1:1">
      <c r="A1355" s="142"/>
    </row>
    <row r="1356" spans="1:1">
      <c r="A1356" s="142"/>
    </row>
    <row r="1357" spans="1:1">
      <c r="A1357" s="142"/>
    </row>
    <row r="1358" spans="1:1">
      <c r="A1358" s="142"/>
    </row>
    <row r="1359" spans="1:1">
      <c r="A1359" s="142"/>
    </row>
    <row r="1360" spans="1:1">
      <c r="A1360" s="142"/>
    </row>
    <row r="1361" spans="1:1">
      <c r="A1361" s="142"/>
    </row>
    <row r="1362" spans="1:1">
      <c r="A1362" s="142"/>
    </row>
    <row r="1363" spans="1:1">
      <c r="A1363" s="142"/>
    </row>
    <row r="1364" spans="1:1">
      <c r="A1364" s="142"/>
    </row>
    <row r="1365" spans="1:1">
      <c r="A1365" s="142"/>
    </row>
    <row r="1366" spans="1:1">
      <c r="A1366" s="142"/>
    </row>
    <row r="1367" spans="1:1">
      <c r="A1367" s="142"/>
    </row>
    <row r="1368" spans="1:1">
      <c r="A1368" s="142"/>
    </row>
    <row r="1369" spans="1:1">
      <c r="A1369" s="142"/>
    </row>
    <row r="1370" spans="1:1">
      <c r="A1370" s="142"/>
    </row>
    <row r="1371" spans="1:1">
      <c r="A1371" s="142"/>
    </row>
    <row r="1372" spans="1:1">
      <c r="A1372" s="142"/>
    </row>
    <row r="1373" spans="1:1">
      <c r="A1373" s="142"/>
    </row>
    <row r="1374" spans="1:1">
      <c r="A1374" s="142"/>
    </row>
    <row r="1375" spans="1:1">
      <c r="A1375" s="142"/>
    </row>
    <row r="1376" spans="1:1">
      <c r="A1376" s="142"/>
    </row>
    <row r="1377" spans="1:1">
      <c r="A1377" s="142"/>
    </row>
    <row r="1378" spans="1:1">
      <c r="A1378" s="142"/>
    </row>
    <row r="1379" spans="1:1">
      <c r="A1379" s="142"/>
    </row>
    <row r="1380" spans="1:1">
      <c r="A1380" s="142"/>
    </row>
    <row r="1381" spans="1:1">
      <c r="A1381" s="142"/>
    </row>
    <row r="1382" spans="1:1">
      <c r="A1382" s="142"/>
    </row>
    <row r="1383" spans="1:1">
      <c r="A1383" s="142"/>
    </row>
    <row r="1384" spans="1:1">
      <c r="A1384" s="142"/>
    </row>
    <row r="1385" spans="1:1">
      <c r="A1385" s="142"/>
    </row>
    <row r="1386" spans="1:1">
      <c r="A1386" s="142"/>
    </row>
    <row r="1387" spans="1:1">
      <c r="A1387" s="142"/>
    </row>
    <row r="1388" spans="1:1">
      <c r="A1388" s="142"/>
    </row>
    <row r="1389" spans="1:1">
      <c r="A1389" s="142"/>
    </row>
    <row r="1390" spans="1:1">
      <c r="A1390" s="142"/>
    </row>
    <row r="1391" spans="1:1">
      <c r="A1391" s="142"/>
    </row>
    <row r="1392" spans="1:1">
      <c r="A1392" s="142"/>
    </row>
    <row r="1393" spans="1:1">
      <c r="A1393" s="142"/>
    </row>
    <row r="1394" spans="1:1">
      <c r="A1394" s="142"/>
    </row>
    <row r="1395" spans="1:1">
      <c r="A1395" s="142"/>
    </row>
    <row r="1396" spans="1:1">
      <c r="A1396" s="142"/>
    </row>
    <row r="1397" spans="1:1">
      <c r="A1397" s="142"/>
    </row>
    <row r="1398" spans="1:1">
      <c r="A1398" s="142"/>
    </row>
    <row r="1399" spans="1:1">
      <c r="A1399" s="142"/>
    </row>
    <row r="1400" spans="1:1">
      <c r="A1400" s="142"/>
    </row>
    <row r="1401" spans="1:1">
      <c r="A1401" s="142"/>
    </row>
    <row r="1402" spans="1:1">
      <c r="A1402" s="142"/>
    </row>
    <row r="1403" spans="1:1">
      <c r="A1403" s="142"/>
    </row>
    <row r="1404" spans="1:1">
      <c r="A1404" s="142"/>
    </row>
    <row r="1405" spans="1:1">
      <c r="A1405" s="142"/>
    </row>
    <row r="1406" spans="1:1">
      <c r="A1406" s="142"/>
    </row>
    <row r="1407" spans="1:1">
      <c r="A1407" s="142"/>
    </row>
    <row r="1408" spans="1:1">
      <c r="A1408" s="142"/>
    </row>
    <row r="1409" spans="1:1">
      <c r="A1409" s="142"/>
    </row>
    <row r="1410" spans="1:1">
      <c r="A1410" s="142"/>
    </row>
    <row r="1411" spans="1:1">
      <c r="A1411" s="142"/>
    </row>
    <row r="1412" spans="1:1">
      <c r="A1412" s="142"/>
    </row>
    <row r="1413" spans="1:1">
      <c r="A1413" s="142"/>
    </row>
    <row r="1414" spans="1:1">
      <c r="A1414" s="142"/>
    </row>
    <row r="1415" spans="1:1">
      <c r="A1415" s="142"/>
    </row>
    <row r="1416" spans="1:1">
      <c r="A1416" s="142"/>
    </row>
    <row r="1417" spans="1:1">
      <c r="A1417" s="142"/>
    </row>
    <row r="1418" spans="1:1">
      <c r="A1418" s="142"/>
    </row>
    <row r="1419" spans="1:1">
      <c r="A1419" s="142"/>
    </row>
    <row r="1420" spans="1:1">
      <c r="A1420" s="142"/>
    </row>
    <row r="1421" spans="1:1">
      <c r="A1421" s="142"/>
    </row>
    <row r="1422" spans="1:1">
      <c r="A1422" s="142"/>
    </row>
    <row r="1423" spans="1:1">
      <c r="A1423" s="142"/>
    </row>
    <row r="1424" spans="1:1">
      <c r="A1424" s="142"/>
    </row>
    <row r="1425" spans="1:192">
      <c r="A1425" s="142"/>
    </row>
    <row r="1426" spans="1:192">
      <c r="A1426" s="142"/>
    </row>
    <row r="1427" spans="1:192">
      <c r="A1427" s="142"/>
    </row>
    <row r="1428" spans="1:192">
      <c r="A1428" s="142"/>
    </row>
    <row r="1429" spans="1:192">
      <c r="A1429" s="142"/>
    </row>
    <row r="1430" spans="1:192">
      <c r="A1430" s="142"/>
    </row>
    <row r="1431" spans="1:192">
      <c r="A1431" s="142"/>
    </row>
    <row r="1432" spans="1:192">
      <c r="A1432" s="142"/>
    </row>
    <row r="1433" spans="1:192">
      <c r="A1433" s="142"/>
    </row>
    <row r="1434" spans="1:192">
      <c r="A1434" s="142"/>
    </row>
    <row r="1435" spans="1:192">
      <c r="A1435" s="142"/>
    </row>
    <row r="1436" spans="1:192">
      <c r="A1436" s="142"/>
      <c r="GJ1436" s="10" t="s">
        <v>40</v>
      </c>
    </row>
  </sheetData>
  <mergeCells count="32">
    <mergeCell ref="G87:G89"/>
    <mergeCell ref="F163:F165"/>
    <mergeCell ref="G163:G165"/>
    <mergeCell ref="F238:F240"/>
    <mergeCell ref="G238:G240"/>
    <mergeCell ref="A233:G233"/>
    <mergeCell ref="A237:A240"/>
    <mergeCell ref="B237:B240"/>
    <mergeCell ref="C237:E237"/>
    <mergeCell ref="C239:C240"/>
    <mergeCell ref="A235:G235"/>
    <mergeCell ref="C86:E86"/>
    <mergeCell ref="A5:A8"/>
    <mergeCell ref="B86:B89"/>
    <mergeCell ref="C162:E162"/>
    <mergeCell ref="C164:C165"/>
    <mergeCell ref="B162:B165"/>
    <mergeCell ref="A160:G160"/>
    <mergeCell ref="C88:C89"/>
    <mergeCell ref="A86:A89"/>
    <mergeCell ref="C5:E5"/>
    <mergeCell ref="A82:G82"/>
    <mergeCell ref="A158:G158"/>
    <mergeCell ref="A162:A165"/>
    <mergeCell ref="F6:F8"/>
    <mergeCell ref="G6:G8"/>
    <mergeCell ref="F87:F89"/>
    <mergeCell ref="A1:C1"/>
    <mergeCell ref="A3:G3"/>
    <mergeCell ref="A84:G84"/>
    <mergeCell ref="C7:C8"/>
    <mergeCell ref="B5:B8"/>
  </mergeCells>
  <printOptions horizontalCentered="1"/>
  <pageMargins left="0.19685039370078741" right="0.19685039370078741" top="0.39370078740157483" bottom="0.35433070866141736" header="0.23622047244094491" footer="0.19685039370078741"/>
  <pageSetup paperSize="9" scale="91" fitToHeight="7" orientation="portrait" horizontalDpi="4294967295" verticalDpi="4294967295" r:id="rId1"/>
  <headerFooter alignWithMargins="0">
    <oddHeader xml:space="preserve">&amp;R&amp;"Arial,Standard"&amp;10   &amp;"Times New Roman,Standard"&amp;8       </oddHeader>
    <oddFooter>&amp;R&amp;14
...</oddFooter>
  </headerFooter>
  <rowBreaks count="3" manualBreakCount="3">
    <brk id="81" max="6" man="1"/>
    <brk id="157" max="6" man="1"/>
    <brk id="231" max="16383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44">
    <tabColor theme="0" tint="-0.499984740745262"/>
  </sheetPr>
  <dimension ref="A1:AQ92"/>
  <sheetViews>
    <sheetView zoomScaleNormal="100" zoomScaleSheetLayoutView="100" workbookViewId="0">
      <selection activeCell="G15" sqref="G15"/>
    </sheetView>
  </sheetViews>
  <sheetFormatPr baseColWidth="10" defaultColWidth="11.3828125" defaultRowHeight="12.45"/>
  <cols>
    <col min="1" max="1" width="6.3046875" style="137" customWidth="1"/>
    <col min="2" max="2" width="0.84375" style="137" customWidth="1"/>
    <col min="3" max="14" width="11.69140625" style="137" customWidth="1"/>
    <col min="15" max="15" width="3.3828125" style="137" customWidth="1"/>
    <col min="16" max="16384" width="11.3828125" style="137"/>
  </cols>
  <sheetData>
    <row r="1" spans="1:43" ht="13.2" customHeight="1"/>
    <row r="2" spans="1:43" ht="13.2" customHeight="1">
      <c r="A2" s="1061" t="s">
        <v>213</v>
      </c>
      <c r="B2" s="1002"/>
    </row>
    <row r="3" spans="1:43" ht="10.95" customHeight="1">
      <c r="A3" s="728"/>
      <c r="B3" s="63"/>
      <c r="C3" s="63"/>
      <c r="D3" s="116"/>
      <c r="E3" s="235"/>
      <c r="F3" s="235"/>
      <c r="G3" s="235"/>
      <c r="H3" s="235"/>
      <c r="I3" s="235"/>
      <c r="J3" s="856"/>
      <c r="L3" s="857"/>
      <c r="N3" s="534"/>
      <c r="O3" s="1003"/>
      <c r="Q3" s="1004"/>
    </row>
    <row r="4" spans="1:43" ht="13.95" customHeight="1">
      <c r="A4" s="1649" t="s">
        <v>359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  <c r="O4" s="1005"/>
    </row>
    <row r="5" spans="1:43" ht="10.95" customHeight="1" thickBo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43" ht="24.65" customHeight="1">
      <c r="A6" s="1501" t="s">
        <v>43</v>
      </c>
      <c r="B6" s="1532"/>
      <c r="C6" s="1652" t="s">
        <v>358</v>
      </c>
      <c r="D6" s="1652"/>
      <c r="E6" s="1653"/>
      <c r="F6" s="1646" t="s">
        <v>222</v>
      </c>
      <c r="G6" s="1647"/>
      <c r="H6" s="1647"/>
      <c r="I6" s="1647"/>
      <c r="J6" s="1647"/>
      <c r="K6" s="1647"/>
      <c r="L6" s="1647"/>
      <c r="M6" s="1647"/>
      <c r="N6" s="1648"/>
      <c r="O6" s="29"/>
    </row>
    <row r="7" spans="1:43" ht="12" customHeight="1">
      <c r="A7" s="1533"/>
      <c r="B7" s="1534"/>
      <c r="C7" s="1654"/>
      <c r="D7" s="1654"/>
      <c r="E7" s="1655"/>
      <c r="F7" s="701"/>
      <c r="G7" s="930"/>
      <c r="H7" s="922" t="s">
        <v>6</v>
      </c>
      <c r="I7" s="931"/>
      <c r="J7" s="932"/>
      <c r="K7" s="930"/>
      <c r="L7" s="850"/>
      <c r="M7" s="724"/>
      <c r="N7" s="933"/>
      <c r="O7" s="29"/>
    </row>
    <row r="8" spans="1:43" ht="12" customHeight="1">
      <c r="A8" s="1533"/>
      <c r="B8" s="1534"/>
      <c r="C8" s="1656"/>
      <c r="D8" s="1656"/>
      <c r="E8" s="1657"/>
      <c r="F8" s="1254" t="s">
        <v>9</v>
      </c>
      <c r="G8" s="934"/>
      <c r="H8" s="852" t="s">
        <v>10</v>
      </c>
      <c r="I8" s="1060" t="s">
        <v>11</v>
      </c>
      <c r="J8" s="852" t="s">
        <v>12</v>
      </c>
      <c r="K8" s="934"/>
      <c r="L8" s="921" t="s">
        <v>13</v>
      </c>
      <c r="M8" s="935"/>
      <c r="N8" s="936" t="s">
        <v>27</v>
      </c>
      <c r="O8" s="46"/>
    </row>
    <row r="9" spans="1:43" ht="12" customHeight="1">
      <c r="A9" s="1533"/>
      <c r="B9" s="1534"/>
      <c r="C9" s="1651" t="s">
        <v>14</v>
      </c>
      <c r="D9" s="1650" t="s">
        <v>92</v>
      </c>
      <c r="E9" s="1650" t="s">
        <v>93</v>
      </c>
      <c r="F9" s="1254" t="s">
        <v>21</v>
      </c>
      <c r="G9" s="851" t="s">
        <v>21</v>
      </c>
      <c r="H9" s="852" t="s">
        <v>22</v>
      </c>
      <c r="I9" s="1060" t="s">
        <v>23</v>
      </c>
      <c r="J9" s="852" t="s">
        <v>24</v>
      </c>
      <c r="K9" s="851" t="s">
        <v>25</v>
      </c>
      <c r="L9" s="921" t="s">
        <v>26</v>
      </c>
      <c r="M9" s="25" t="s">
        <v>7</v>
      </c>
      <c r="N9" s="533" t="s">
        <v>38</v>
      </c>
      <c r="O9" s="1006"/>
      <c r="U9" s="1007"/>
      <c r="V9" s="245"/>
      <c r="W9" s="235"/>
      <c r="X9" s="235"/>
      <c r="Y9" s="235"/>
      <c r="Z9" s="235"/>
      <c r="AA9" s="235"/>
      <c r="AB9" s="235"/>
      <c r="AC9" s="856"/>
      <c r="AD9" s="856"/>
      <c r="AE9" s="857"/>
      <c r="AF9" s="235"/>
      <c r="AG9" s="235"/>
      <c r="AH9" s="235"/>
      <c r="AI9" s="235"/>
      <c r="AJ9" s="235"/>
      <c r="AK9" s="235"/>
      <c r="AL9" s="235"/>
      <c r="AM9" s="235"/>
      <c r="AN9" s="856"/>
      <c r="AO9" s="235"/>
      <c r="AP9" s="235"/>
      <c r="AQ9" s="1004" t="s">
        <v>110</v>
      </c>
    </row>
    <row r="10" spans="1:43" ht="12" customHeight="1">
      <c r="A10" s="1533"/>
      <c r="B10" s="1534"/>
      <c r="C10" s="1518"/>
      <c r="D10" s="1650"/>
      <c r="E10" s="1650"/>
      <c r="F10" s="1254" t="s">
        <v>223</v>
      </c>
      <c r="G10" s="851" t="s">
        <v>103</v>
      </c>
      <c r="H10" s="852" t="s">
        <v>104</v>
      </c>
      <c r="I10" s="1060" t="s">
        <v>224</v>
      </c>
      <c r="J10" s="852" t="s">
        <v>35</v>
      </c>
      <c r="K10" s="851" t="s">
        <v>36</v>
      </c>
      <c r="L10" s="921" t="s">
        <v>37</v>
      </c>
      <c r="M10" s="25"/>
      <c r="N10" s="533"/>
      <c r="O10" s="75"/>
    </row>
    <row r="11" spans="1:43" ht="10.95" customHeight="1">
      <c r="A11" s="1535"/>
      <c r="B11" s="1536"/>
      <c r="C11" s="1529"/>
      <c r="D11" s="1650"/>
      <c r="E11" s="1650"/>
      <c r="F11" s="46"/>
      <c r="G11" s="855"/>
      <c r="H11" s="937"/>
      <c r="I11" s="937"/>
      <c r="J11" s="938"/>
      <c r="K11" s="855"/>
      <c r="L11" s="937"/>
      <c r="M11" s="935"/>
      <c r="N11" s="939"/>
      <c r="O11" s="29"/>
    </row>
    <row r="12" spans="1:43" ht="3" customHeight="1">
      <c r="A12" s="1008"/>
      <c r="B12" s="923"/>
      <c r="C12" s="923"/>
      <c r="D12" s="940"/>
      <c r="E12" s="941"/>
      <c r="F12" s="942"/>
      <c r="G12" s="943"/>
      <c r="H12" s="942"/>
      <c r="I12" s="942"/>
      <c r="J12" s="942"/>
      <c r="K12" s="944"/>
      <c r="L12" s="942"/>
      <c r="M12" s="945"/>
      <c r="N12" s="1025"/>
      <c r="O12" s="1009"/>
    </row>
    <row r="13" spans="1:43" ht="15" customHeight="1">
      <c r="A13" s="592" t="s">
        <v>58</v>
      </c>
      <c r="B13" s="595"/>
      <c r="C13" s="1037">
        <f>45+363+36+6+3+27+9+9+18+3+12+9+3+45+9+3+21+27+12+105+24+18+12</f>
        <v>819</v>
      </c>
      <c r="D13" s="1037">
        <f>45+297+36+3+3+6+12+9+3+42+12+12+3+93+18+3</f>
        <v>597</v>
      </c>
      <c r="E13" s="1037">
        <f>66+3+3+24+9+9+12+3+3+9+3+9+12+9+12+9+12+12</f>
        <v>219</v>
      </c>
      <c r="F13" s="1037">
        <f>3+12+30+6+21+3+3</f>
        <v>78</v>
      </c>
      <c r="G13" s="1037">
        <f>24+102+6+3+9+3+6+3+6+21+3+9+6+48+3+3</f>
        <v>255</v>
      </c>
      <c r="H13" s="1037">
        <f>15+147+15+3+6+3+6+3+3+3+12+9+6+36+15+9+6</f>
        <v>297</v>
      </c>
      <c r="I13" s="1037">
        <f>3+99+3+3+3+3+6+3+6+3+6+6+15+9+9</f>
        <v>177</v>
      </c>
      <c r="J13" s="520">
        <v>0</v>
      </c>
      <c r="K13" s="520">
        <v>0</v>
      </c>
      <c r="L13" s="520">
        <v>0</v>
      </c>
      <c r="M13" s="1037">
        <v>0</v>
      </c>
      <c r="N13" s="1048">
        <v>0</v>
      </c>
      <c r="O13" s="149"/>
    </row>
    <row r="14" spans="1:43" ht="15" customHeight="1">
      <c r="A14" s="592" t="s">
        <v>49</v>
      </c>
      <c r="B14" s="595"/>
      <c r="C14" s="1037">
        <f>3+6+3+6+3+6+3+6+87</f>
        <v>123</v>
      </c>
      <c r="D14" s="1037">
        <f>3+3+3+3+3+3+3+81</f>
        <v>102</v>
      </c>
      <c r="E14" s="1037">
        <f>6+3+3+3+3+6</f>
        <v>24</v>
      </c>
      <c r="F14" s="396">
        <f>6+3+3</f>
        <v>12</v>
      </c>
      <c r="G14" s="396">
        <f>3+51</f>
        <v>54</v>
      </c>
      <c r="H14" s="396">
        <f>3+3+3+3+3+18</f>
        <v>33</v>
      </c>
      <c r="I14" s="396">
        <f>3+15</f>
        <v>18</v>
      </c>
      <c r="J14" s="520">
        <v>0</v>
      </c>
      <c r="K14" s="520">
        <v>0</v>
      </c>
      <c r="L14" s="520">
        <v>0</v>
      </c>
      <c r="M14" s="396">
        <v>0</v>
      </c>
      <c r="N14" s="1048">
        <v>0</v>
      </c>
      <c r="O14" s="149"/>
    </row>
    <row r="15" spans="1:43" ht="15" customHeight="1">
      <c r="A15" s="592" t="s">
        <v>52</v>
      </c>
      <c r="B15" s="595"/>
      <c r="C15" s="1037">
        <v>2061</v>
      </c>
      <c r="D15" s="1037">
        <v>1608</v>
      </c>
      <c r="E15" s="1037">
        <v>444</v>
      </c>
      <c r="F15" s="396">
        <v>123</v>
      </c>
      <c r="G15" s="396">
        <v>549</v>
      </c>
      <c r="H15" s="396">
        <v>852</v>
      </c>
      <c r="I15" s="396">
        <v>492</v>
      </c>
      <c r="J15" s="520">
        <v>0</v>
      </c>
      <c r="K15" s="520">
        <v>0</v>
      </c>
      <c r="L15" s="520">
        <v>0</v>
      </c>
      <c r="M15" s="396">
        <v>39</v>
      </c>
      <c r="N15" s="1048">
        <v>0</v>
      </c>
      <c r="O15" s="149"/>
    </row>
    <row r="16" spans="1:43" ht="15" customHeight="1">
      <c r="A16" s="592" t="s">
        <v>48</v>
      </c>
      <c r="B16" s="595"/>
      <c r="C16" s="1037">
        <v>54</v>
      </c>
      <c r="D16" s="1037">
        <v>36</v>
      </c>
      <c r="E16" s="1037">
        <v>15</v>
      </c>
      <c r="F16" s="396">
        <v>3</v>
      </c>
      <c r="G16" s="396">
        <v>21</v>
      </c>
      <c r="H16" s="396">
        <v>15</v>
      </c>
      <c r="I16" s="396">
        <v>9</v>
      </c>
      <c r="J16" s="520">
        <v>0</v>
      </c>
      <c r="K16" s="520">
        <v>0</v>
      </c>
      <c r="L16" s="520">
        <v>0</v>
      </c>
      <c r="M16" s="396">
        <v>0</v>
      </c>
      <c r="N16" s="1048">
        <v>0</v>
      </c>
      <c r="O16" s="149"/>
    </row>
    <row r="17" spans="1:15" s="217" customFormat="1" ht="15" customHeight="1">
      <c r="A17" s="592" t="s">
        <v>53</v>
      </c>
      <c r="B17" s="595"/>
      <c r="C17" s="1037">
        <f>48+552+12+9+3+6+48+9+99+9+3+3+84+6+6+246+24+15+75+15+129+75+948+18+15+3</f>
        <v>2460</v>
      </c>
      <c r="D17" s="1037">
        <f>48+498+12+3+3+3+3+15+6+3+78+6+3+216+15+12+57+9+72+63+876+15+3</f>
        <v>2019</v>
      </c>
      <c r="E17" s="1037">
        <f>54+6+3+3+45+6+84+6+3+6+30+6+3+18+6+57+12+72+12+3</f>
        <v>435</v>
      </c>
      <c r="F17" s="396">
        <f>9+12+135+3+3+3+24</f>
        <v>189</v>
      </c>
      <c r="G17" s="396">
        <f>18+129+12+3+9+9+6+108+6+21+36+36+345</f>
        <v>738</v>
      </c>
      <c r="H17" s="396">
        <f>21+267+3+15+33+6+48+6+3+3+6+33+3+51+21+369+9+6</f>
        <v>903</v>
      </c>
      <c r="I17" s="396">
        <f>6+147+3+3+24+3+57+3+3+27+12+6+21+9+36+15+204+6+9</f>
        <v>594</v>
      </c>
      <c r="J17" s="520">
        <v>0</v>
      </c>
      <c r="K17" s="520">
        <v>0</v>
      </c>
      <c r="L17" s="520">
        <v>0</v>
      </c>
      <c r="M17" s="396">
        <v>6</v>
      </c>
      <c r="N17" s="1048">
        <v>0</v>
      </c>
      <c r="O17" s="149"/>
    </row>
    <row r="18" spans="1:15" ht="15" customHeight="1">
      <c r="A18" s="592" t="s">
        <v>50</v>
      </c>
      <c r="B18" s="595"/>
      <c r="C18" s="1037">
        <f>42+3+6+3+174+3+3+3+18+9+12+3+36+39+9+15+15+51+12+213+6+6</f>
        <v>681</v>
      </c>
      <c r="D18" s="1037">
        <f>39+3+6+3+150+3+3+3+27+36+6+12+9+27+9+189+3+6</f>
        <v>534</v>
      </c>
      <c r="E18" s="1037">
        <f>6+27+3+3+15+9+9+3+6+3+3+6+6+24+3+24+3+3</f>
        <v>156</v>
      </c>
      <c r="F18" s="396">
        <f>6+12+18+3+3</f>
        <v>42</v>
      </c>
      <c r="G18" s="396">
        <f>3+48+3+3+18+3+6+18+6+93</f>
        <v>201</v>
      </c>
      <c r="H18" s="396">
        <f>24+3+3+66+3+6+9+3+12+6+6+3+15+6+81+3+3</f>
        <v>252</v>
      </c>
      <c r="I18" s="396">
        <f>15+3+51+3+3+15+18+6+3+15+39+3</f>
        <v>174</v>
      </c>
      <c r="J18" s="520">
        <v>0</v>
      </c>
      <c r="K18" s="520">
        <v>0</v>
      </c>
      <c r="L18" s="520">
        <v>0</v>
      </c>
      <c r="M18" s="396">
        <v>0</v>
      </c>
      <c r="N18" s="1048">
        <v>0</v>
      </c>
      <c r="O18" s="149"/>
    </row>
    <row r="19" spans="1:15" ht="15" customHeight="1">
      <c r="A19" s="592" t="s">
        <v>54</v>
      </c>
      <c r="B19" s="595"/>
      <c r="C19" s="1037">
        <f>9+12+129+6+3+33+3+18+3+216+39+6+60+6+3+9+3+27+3+120+3+3+3</f>
        <v>717</v>
      </c>
      <c r="D19" s="1037">
        <f>6+12+111+3+3+165+39+6+54+6+3+3+3+15+105+3</f>
        <v>537</v>
      </c>
      <c r="E19" s="1037">
        <f>3+18+3+30+3+15+51+6+6+12+15+3+3</f>
        <v>168</v>
      </c>
      <c r="F19" s="396">
        <f>3+3+3+27+3</f>
        <v>39</v>
      </c>
      <c r="G19" s="396">
        <f>3+9+42+3+12+30+6+30+3+3+15+51+3</f>
        <v>210</v>
      </c>
      <c r="H19" s="396">
        <f>3+54+12+6+69+24+3+3+3+3+9+3+48+3</f>
        <v>243</v>
      </c>
      <c r="I19" s="396">
        <f>27+3+9+12+111+9+3+3+3+3+3+21+3</f>
        <v>210</v>
      </c>
      <c r="J19" s="520">
        <v>0</v>
      </c>
      <c r="K19" s="520">
        <v>0</v>
      </c>
      <c r="L19" s="520">
        <v>0</v>
      </c>
      <c r="M19" s="396">
        <v>6</v>
      </c>
      <c r="N19" s="1048">
        <v>0</v>
      </c>
      <c r="O19" s="149"/>
    </row>
    <row r="20" spans="1:15" ht="15" customHeight="1">
      <c r="A20" s="592" t="s">
        <v>44</v>
      </c>
      <c r="B20" s="595"/>
      <c r="C20" s="1037">
        <f>3+276+12+3+3+3+48+9+33+3+3+3+78+141+147+45+24+33+18+102+18+483+15+9+6</f>
        <v>1518</v>
      </c>
      <c r="D20" s="1037">
        <f>3+222+9+3+3+9+3+6+3+66+132+114+27+21+21+12+48+15+420+15+3</f>
        <v>1155</v>
      </c>
      <c r="E20" s="1037">
        <f>54+3+39+6+24+3+3+12+9+36+18+3+12+9+54+3+63+3+6+6</f>
        <v>366</v>
      </c>
      <c r="F20" s="396">
        <f>3+9+63+3+9</f>
        <v>87</v>
      </c>
      <c r="G20" s="396">
        <f>3+84+3+3+9+3+9+42+81+6+6+9+3+39+6+150</f>
        <v>456</v>
      </c>
      <c r="H20" s="396">
        <f>3+126+3+27+3+15+3+27+63+3+12+12+9+9+39+9+219+9+3+3</f>
        <v>597</v>
      </c>
      <c r="I20" s="396">
        <f>60+3+12+6+12+3+39+36+27+6+15+6+24+108+6+6</f>
        <v>369</v>
      </c>
      <c r="J20" s="520">
        <v>0</v>
      </c>
      <c r="K20" s="520">
        <v>0</v>
      </c>
      <c r="L20" s="520">
        <v>0</v>
      </c>
      <c r="M20" s="396">
        <v>3</v>
      </c>
      <c r="N20" s="1048">
        <v>0</v>
      </c>
      <c r="O20" s="149"/>
    </row>
    <row r="21" spans="1:15" ht="15" customHeight="1">
      <c r="A21" s="592" t="s">
        <v>45</v>
      </c>
      <c r="B21" s="595"/>
      <c r="C21" s="1037">
        <f>30+780+3+9+3+3+36+9+21+6+27+24+48+168+42+6+24+18+180+6+462+120+51+39</f>
        <v>2115</v>
      </c>
      <c r="D21" s="1037">
        <f>30+669+3+6+3+3+3+3+3+24+18+48+132+27+6+21+9+96+3+420+90+6</f>
        <v>1623</v>
      </c>
      <c r="E21" s="1037">
        <f>3+108+3+36+6+18+6+3+9+36+12+6+9+84+6+42+30+45+39</f>
        <v>501</v>
      </c>
      <c r="F21" s="396">
        <f>12+3+69+3+12+15</f>
        <v>114</v>
      </c>
      <c r="G21" s="396">
        <f>12+375+6+3+6+6+15+96+12+12+6+90+3+222+24+3+15</f>
        <v>906</v>
      </c>
      <c r="H21" s="396">
        <f>12+309+3+21+6+12+3+18+9+27+3+12+3+9+3+51+3+144+78+39+21</f>
        <v>786</v>
      </c>
      <c r="I21" s="396">
        <f>3+78+3+12+6+6+3+3+9+6+15+3+6+9+24+3+81+15+12+3</f>
        <v>300</v>
      </c>
      <c r="J21" s="520">
        <v>0</v>
      </c>
      <c r="K21" s="520">
        <v>0</v>
      </c>
      <c r="L21" s="520">
        <v>0</v>
      </c>
      <c r="M21" s="396">
        <v>0</v>
      </c>
      <c r="N21" s="1048">
        <v>0</v>
      </c>
      <c r="O21" s="149"/>
    </row>
    <row r="22" spans="1:15" s="217" customFormat="1" ht="15" customHeight="1">
      <c r="A22" s="592" t="s">
        <v>55</v>
      </c>
      <c r="B22" s="595"/>
      <c r="C22" s="1037">
        <f>15+6+3+3+45+3+6+12+3+63</f>
        <v>159</v>
      </c>
      <c r="D22" s="1037">
        <f>9+3+30+6+9+54</f>
        <v>111</v>
      </c>
      <c r="E22" s="1037">
        <f>3+6+3+15+3+3+3+9</f>
        <v>45</v>
      </c>
      <c r="F22" s="396">
        <f>18+3</f>
        <v>21</v>
      </c>
      <c r="G22" s="396">
        <f>6+3+27+9+45</f>
        <v>90</v>
      </c>
      <c r="H22" s="396">
        <f>6+3+3+3+3+9</f>
        <v>27</v>
      </c>
      <c r="I22" s="396">
        <f>3+9</f>
        <v>12</v>
      </c>
      <c r="J22" s="520">
        <v>0</v>
      </c>
      <c r="K22" s="520">
        <v>0</v>
      </c>
      <c r="L22" s="520">
        <v>0</v>
      </c>
      <c r="M22" s="396">
        <v>0</v>
      </c>
      <c r="N22" s="1048">
        <v>0</v>
      </c>
      <c r="O22" s="149"/>
    </row>
    <row r="23" spans="1:15" ht="15" customHeight="1">
      <c r="A23" s="592" t="s">
        <v>46</v>
      </c>
      <c r="B23" s="595"/>
      <c r="C23" s="1037">
        <f>3+3+9+27+3+21+6+129</f>
        <v>201</v>
      </c>
      <c r="D23" s="1037">
        <f>6+24+3+9+3+108</f>
        <v>153</v>
      </c>
      <c r="E23" s="1037">
        <f>3+3+3+3+15+21</f>
        <v>48</v>
      </c>
      <c r="F23" s="396">
        <f>18+3</f>
        <v>21</v>
      </c>
      <c r="G23" s="396">
        <f>9+3+3+3+54</f>
        <v>72</v>
      </c>
      <c r="H23" s="396">
        <f>3+3+12+3+45</f>
        <v>66</v>
      </c>
      <c r="I23" s="396">
        <f>3+6+3+30</f>
        <v>42</v>
      </c>
      <c r="J23" s="520">
        <v>0</v>
      </c>
      <c r="K23" s="520">
        <v>0</v>
      </c>
      <c r="L23" s="520">
        <v>0</v>
      </c>
      <c r="M23" s="396">
        <v>0</v>
      </c>
      <c r="N23" s="1048">
        <v>0</v>
      </c>
      <c r="O23" s="149"/>
    </row>
    <row r="24" spans="1:15" ht="15" customHeight="1">
      <c r="A24" s="592" t="s">
        <v>47</v>
      </c>
      <c r="B24" s="595"/>
      <c r="C24" s="1037">
        <f>12+12+171+51+3+3+24+15+6+3+42+63+3+6+3+9+12+48+9+6</f>
        <v>501</v>
      </c>
      <c r="D24" s="1037">
        <f>9+12+150+21+3+3+3+3+36+39+3+6+6+42+9</f>
        <v>345</v>
      </c>
      <c r="E24" s="1037">
        <f>6+21+30+21+12+6+6+24+3+3+6+6+6+3</f>
        <v>153</v>
      </c>
      <c r="F24" s="258">
        <f>12+6+9+51+3+3+3</f>
        <v>87</v>
      </c>
      <c r="G24" s="258">
        <f>3+45+24+9+3+3+6+9+3+3+9</f>
        <v>117</v>
      </c>
      <c r="H24" s="258">
        <f>6+96+12+3+9+6+3+3+24+3+3+3+21+6+3</f>
        <v>201</v>
      </c>
      <c r="I24" s="258">
        <f>6+24+6+6+6+12+3+3+18+3</f>
        <v>87</v>
      </c>
      <c r="J24" s="520">
        <v>0</v>
      </c>
      <c r="K24" s="520">
        <v>0</v>
      </c>
      <c r="L24" s="520">
        <v>0</v>
      </c>
      <c r="M24" s="258">
        <v>0</v>
      </c>
      <c r="N24" s="1048">
        <v>0</v>
      </c>
      <c r="O24" s="149"/>
    </row>
    <row r="25" spans="1:15" ht="15" customHeight="1">
      <c r="A25" s="592" t="s">
        <v>51</v>
      </c>
      <c r="B25" s="595"/>
      <c r="C25" s="1037">
        <f>12+21+201+39+3+12+3+9+21+3+12+6+3+36+12+9</f>
        <v>402</v>
      </c>
      <c r="D25" s="1037">
        <f>12+21+171+24+3+3+6+21+3+9+3+33+12+3</f>
        <v>324</v>
      </c>
      <c r="E25" s="1037">
        <f>27+15+6+3+3+3+9</f>
        <v>66</v>
      </c>
      <c r="F25" s="396">
        <f>6+12+3+6</f>
        <v>27</v>
      </c>
      <c r="G25" s="396">
        <f>6+9+63+18+3+3+3+3+3+9</f>
        <v>120</v>
      </c>
      <c r="H25" s="396">
        <f>12+84+15+6+6+12+21+9+3</f>
        <v>168</v>
      </c>
      <c r="I25" s="396">
        <f>42+6+6+3+6+3+6</f>
        <v>72</v>
      </c>
      <c r="J25" s="520">
        <v>0</v>
      </c>
      <c r="K25" s="520">
        <v>0</v>
      </c>
      <c r="L25" s="520">
        <v>0</v>
      </c>
      <c r="M25" s="396">
        <v>0</v>
      </c>
      <c r="N25" s="1048">
        <v>0</v>
      </c>
      <c r="O25" s="149"/>
    </row>
    <row r="26" spans="1:15" ht="15" customHeight="1">
      <c r="A26" s="592" t="s">
        <v>56</v>
      </c>
      <c r="B26" s="595"/>
      <c r="C26" s="1037">
        <f>12+240+36+93+3+27+3+3+6+6+93+6+9+15+24+6+87+24+6+48</f>
        <v>747</v>
      </c>
      <c r="D26" s="1037">
        <f>12+189+30+30+6+6+3+60+3+6+9+9+3+72+15+42</f>
        <v>495</v>
      </c>
      <c r="E26" s="1037">
        <f>51+9+63+3+21+3+3+33+3+3+3+15+3+18+9+3+6</f>
        <v>249</v>
      </c>
      <c r="F26" s="396">
        <f>9+18+3+36+3</f>
        <v>69</v>
      </c>
      <c r="G26" s="396">
        <f>3+78+21+36+3+54+3+9+15+6+3</f>
        <v>231</v>
      </c>
      <c r="H26" s="396">
        <f>6+114+48+3+18+3+3+3+3+3+6+9+6+3+51+12+27</f>
        <v>318</v>
      </c>
      <c r="I26" s="396">
        <f>3+42+3+6+3+3+3+3+3+6+3+21+6+6+15</f>
        <v>126</v>
      </c>
      <c r="J26" s="520">
        <v>0</v>
      </c>
      <c r="K26" s="520">
        <v>0</v>
      </c>
      <c r="L26" s="520">
        <v>0</v>
      </c>
      <c r="M26" s="396">
        <v>0</v>
      </c>
      <c r="N26" s="1048">
        <v>0</v>
      </c>
      <c r="O26" s="149"/>
    </row>
    <row r="27" spans="1:15" ht="15" customHeight="1">
      <c r="A27" s="592" t="s">
        <v>57</v>
      </c>
      <c r="B27" s="595"/>
      <c r="C27" s="1037">
        <f>18+192+6+33+3+6+18+3+3+33+81+3+3+3+6+42+6+6</f>
        <v>465</v>
      </c>
      <c r="D27" s="1037">
        <f>18+174+3+15+3+3+3+30+69+3+3+3+3+33+6</f>
        <v>369</v>
      </c>
      <c r="E27" s="1037">
        <f>18+3+18+3+18+3+12+3+9+3+6</f>
        <v>96</v>
      </c>
      <c r="F27" s="396">
        <f>6+45</f>
        <v>51</v>
      </c>
      <c r="G27" s="396">
        <f>6+45+15+3+3+33+6</f>
        <v>111</v>
      </c>
      <c r="H27" s="396">
        <f>12+123+3+15+3+12+24+3+3+3+3+3+30+6+3</f>
        <v>246</v>
      </c>
      <c r="I27" s="396">
        <f>18+3+3+6+6+3</f>
        <v>39</v>
      </c>
      <c r="J27" s="520">
        <v>0</v>
      </c>
      <c r="K27" s="520">
        <v>0</v>
      </c>
      <c r="L27" s="520">
        <v>0</v>
      </c>
      <c r="M27" s="396">
        <v>0</v>
      </c>
      <c r="N27" s="1048">
        <v>0</v>
      </c>
      <c r="O27" s="149"/>
    </row>
    <row r="28" spans="1:15" s="90" customFormat="1" ht="15" customHeight="1">
      <c r="A28" s="592" t="s">
        <v>59</v>
      </c>
      <c r="B28" s="595"/>
      <c r="C28" s="1037">
        <f>3+6+195+60+18+6+15+3+3+18+33+6+18+39+9</f>
        <v>432</v>
      </c>
      <c r="D28" s="1037">
        <f>3+6+171+24+6+3+3+3+18+24+3+9+33+3</f>
        <v>309</v>
      </c>
      <c r="E28" s="1037">
        <f>24+36+9+3+12+9+3+6+6+3</f>
        <v>111</v>
      </c>
      <c r="F28" s="1037">
        <f>3+3+12</f>
        <v>18</v>
      </c>
      <c r="G28" s="1037">
        <f>3+72+30+6+3+21+3+9+12</f>
        <v>159</v>
      </c>
      <c r="H28" s="1037">
        <f>3+108+27+6+9+12+3+3+18+3</f>
        <v>192</v>
      </c>
      <c r="I28" s="1037">
        <f>12+3+3+3+6+3+6+3+6+3</f>
        <v>48</v>
      </c>
      <c r="J28" s="520">
        <v>0</v>
      </c>
      <c r="K28" s="520">
        <v>0</v>
      </c>
      <c r="L28" s="520">
        <v>0</v>
      </c>
      <c r="M28" s="1037">
        <v>0</v>
      </c>
      <c r="N28" s="1048">
        <v>0</v>
      </c>
      <c r="O28" s="276"/>
    </row>
    <row r="29" spans="1:15" ht="3.65" customHeight="1">
      <c r="A29" s="592"/>
      <c r="B29" s="595"/>
      <c r="C29" s="659"/>
      <c r="D29" s="521"/>
      <c r="E29" s="18"/>
      <c r="F29" s="1079"/>
      <c r="G29" s="1079"/>
      <c r="H29" s="1079"/>
      <c r="I29" s="1079"/>
      <c r="J29" s="522"/>
      <c r="K29" s="522"/>
      <c r="L29" s="522"/>
      <c r="M29" s="1079"/>
      <c r="N29" s="523"/>
      <c r="O29" s="277"/>
    </row>
    <row r="30" spans="1:15" s="90" customFormat="1" ht="21" customHeight="1" thickBot="1">
      <c r="A30" s="593" t="s">
        <v>60</v>
      </c>
      <c r="B30" s="658"/>
      <c r="C30" s="1066">
        <f>SUM(C13:C28)</f>
        <v>13455</v>
      </c>
      <c r="D30" s="1066">
        <f t="shared" ref="D30:I30" si="0">SUM(D13:D28)</f>
        <v>10317</v>
      </c>
      <c r="E30" s="1066">
        <f t="shared" si="0"/>
        <v>3096</v>
      </c>
      <c r="F30" s="1066">
        <f t="shared" si="0"/>
        <v>981</v>
      </c>
      <c r="G30" s="1066">
        <f t="shared" si="0"/>
        <v>4290</v>
      </c>
      <c r="H30" s="1066">
        <f t="shared" si="0"/>
        <v>5196</v>
      </c>
      <c r="I30" s="1066">
        <f t="shared" si="0"/>
        <v>2769</v>
      </c>
      <c r="J30" s="946">
        <v>0</v>
      </c>
      <c r="K30" s="946">
        <v>0</v>
      </c>
      <c r="L30" s="946">
        <v>0</v>
      </c>
      <c r="M30" s="1066">
        <f>SUM(M13:M28)</f>
        <v>54</v>
      </c>
      <c r="N30" s="1049">
        <f>SUM(N13:N28)</f>
        <v>0</v>
      </c>
      <c r="O30" s="145" t="s">
        <v>40</v>
      </c>
    </row>
    <row r="31" spans="1:15" s="90" customFormat="1" ht="3.65" customHeight="1">
      <c r="A31" s="575"/>
      <c r="B31" s="575"/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145"/>
    </row>
    <row r="32" spans="1:15" s="90" customFormat="1" ht="12" customHeight="1">
      <c r="A32" s="70" t="s">
        <v>297</v>
      </c>
      <c r="B32" s="70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145"/>
    </row>
    <row r="33" spans="1:15" s="90" customFormat="1" ht="12" customHeight="1">
      <c r="A33" s="63" t="s">
        <v>314</v>
      </c>
      <c r="B33" s="120"/>
      <c r="C33" s="579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277"/>
    </row>
    <row r="34" spans="1:15" s="90" customFormat="1" ht="12" customHeight="1">
      <c r="A34" s="70" t="s">
        <v>336</v>
      </c>
      <c r="B34" s="6"/>
      <c r="C34" s="57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77"/>
    </row>
    <row r="35" spans="1:15" s="90" customFormat="1" ht="12" customHeight="1">
      <c r="A35" s="70" t="s">
        <v>381</v>
      </c>
      <c r="C35" s="579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277"/>
    </row>
    <row r="36" spans="1:15">
      <c r="C36" s="947"/>
      <c r="D36" s="947"/>
      <c r="E36" s="947"/>
      <c r="F36" s="947"/>
      <c r="G36" s="947"/>
      <c r="H36" s="947"/>
      <c r="I36" s="947"/>
      <c r="J36" s="947"/>
      <c r="K36" s="947"/>
      <c r="L36" s="947"/>
      <c r="M36" s="947"/>
    </row>
    <row r="37" spans="1:15">
      <c r="C37" s="947"/>
      <c r="D37" s="948"/>
      <c r="E37" s="947"/>
      <c r="F37" s="947"/>
      <c r="G37" s="947"/>
      <c r="H37" s="947" t="s">
        <v>40</v>
      </c>
      <c r="I37" s="947"/>
      <c r="J37" s="947"/>
      <c r="K37" s="947"/>
    </row>
    <row r="38" spans="1:15">
      <c r="C38" s="947"/>
      <c r="D38" s="948"/>
      <c r="E38" s="947"/>
      <c r="F38" s="947"/>
      <c r="G38" s="947"/>
      <c r="H38" s="947"/>
      <c r="I38" s="947"/>
      <c r="J38" s="947"/>
      <c r="K38" s="947"/>
    </row>
    <row r="39" spans="1:15">
      <c r="C39" s="947"/>
      <c r="D39" s="948"/>
      <c r="E39" s="948"/>
      <c r="F39" s="149"/>
      <c r="G39" s="149"/>
      <c r="H39" s="149"/>
      <c r="I39" s="149"/>
      <c r="J39" s="149"/>
      <c r="K39" s="948"/>
    </row>
    <row r="40" spans="1:15">
      <c r="C40" s="947"/>
      <c r="D40" s="948"/>
      <c r="E40" s="947"/>
      <c r="F40" s="947"/>
      <c r="G40" s="947"/>
      <c r="H40" s="947"/>
      <c r="I40" s="947"/>
      <c r="J40" s="947"/>
      <c r="K40" s="947"/>
    </row>
    <row r="41" spans="1:15">
      <c r="C41" s="947"/>
      <c r="D41" s="948"/>
      <c r="E41" s="947"/>
      <c r="F41" s="947"/>
      <c r="G41" s="947"/>
      <c r="H41" s="947"/>
      <c r="I41" s="947"/>
      <c r="J41" s="947"/>
      <c r="K41" s="947"/>
    </row>
    <row r="42" spans="1:15">
      <c r="C42" s="947"/>
      <c r="D42" s="948"/>
      <c r="E42" s="947"/>
      <c r="F42" s="947"/>
      <c r="G42" s="947"/>
      <c r="H42" s="947"/>
      <c r="I42" s="947"/>
      <c r="J42" s="947"/>
      <c r="K42" s="947"/>
    </row>
    <row r="43" spans="1:15">
      <c r="C43" s="947"/>
      <c r="D43" s="948"/>
      <c r="E43" s="947"/>
      <c r="F43" s="947"/>
      <c r="G43" s="947"/>
      <c r="H43" s="947"/>
      <c r="I43" s="947"/>
      <c r="J43" s="947"/>
      <c r="K43" s="947"/>
    </row>
    <row r="44" spans="1:15">
      <c r="C44" s="947"/>
      <c r="D44" s="948"/>
      <c r="E44" s="947"/>
      <c r="F44" s="947"/>
      <c r="G44" s="947"/>
      <c r="H44" s="947"/>
      <c r="I44" s="947"/>
      <c r="J44" s="947"/>
      <c r="K44" s="947"/>
    </row>
    <row r="45" spans="1:15">
      <c r="C45" s="947"/>
      <c r="D45" s="948"/>
      <c r="E45" s="947"/>
      <c r="F45" s="947"/>
      <c r="G45" s="947"/>
      <c r="H45" s="947"/>
      <c r="I45" s="947"/>
      <c r="J45" s="947"/>
      <c r="K45" s="947"/>
    </row>
    <row r="46" spans="1:15">
      <c r="C46" s="947"/>
      <c r="D46" s="948"/>
      <c r="E46" s="947"/>
      <c r="F46" s="947"/>
      <c r="G46" s="947"/>
      <c r="H46" s="947"/>
      <c r="I46" s="947"/>
      <c r="J46" s="947"/>
      <c r="K46" s="947"/>
    </row>
    <row r="47" spans="1:15">
      <c r="C47" s="947"/>
      <c r="D47" s="948"/>
      <c r="E47" s="947"/>
      <c r="F47" s="149"/>
      <c r="G47" s="149"/>
      <c r="H47" s="948"/>
      <c r="I47" s="947"/>
      <c r="J47" s="947"/>
      <c r="K47" s="947"/>
    </row>
    <row r="48" spans="1:15">
      <c r="C48" s="947"/>
      <c r="D48" s="948"/>
      <c r="E48" s="947"/>
      <c r="F48" s="947"/>
      <c r="G48" s="947"/>
      <c r="H48" s="947"/>
      <c r="I48" s="947"/>
      <c r="J48" s="947"/>
      <c r="K48" s="947"/>
    </row>
    <row r="49" spans="3:11">
      <c r="C49" s="947"/>
      <c r="D49" s="948"/>
      <c r="E49" s="947"/>
      <c r="F49" s="947"/>
      <c r="G49" s="947"/>
      <c r="H49" s="947"/>
      <c r="I49" s="947"/>
      <c r="J49" s="947"/>
      <c r="K49" s="947"/>
    </row>
    <row r="50" spans="3:11">
      <c r="C50" s="947"/>
      <c r="D50" s="948"/>
      <c r="E50" s="947"/>
      <c r="F50" s="947"/>
      <c r="G50" s="947"/>
      <c r="H50" s="947"/>
      <c r="I50" s="947"/>
      <c r="J50" s="947"/>
      <c r="K50" s="947"/>
    </row>
    <row r="51" spans="3:11">
      <c r="C51" s="947"/>
      <c r="D51" s="948"/>
      <c r="E51" s="947"/>
      <c r="F51" s="947"/>
      <c r="G51" s="947"/>
      <c r="H51" s="947"/>
      <c r="I51" s="947"/>
      <c r="J51" s="947"/>
      <c r="K51" s="947"/>
    </row>
    <row r="52" spans="3:11">
      <c r="C52" s="947"/>
      <c r="D52" s="948"/>
      <c r="E52" s="947"/>
      <c r="F52" s="947"/>
      <c r="G52" s="947"/>
      <c r="H52" s="947"/>
      <c r="I52" s="947"/>
      <c r="J52" s="947"/>
      <c r="K52" s="947"/>
    </row>
    <row r="53" spans="3:11">
      <c r="C53" s="947"/>
      <c r="D53" s="948"/>
      <c r="E53" s="947"/>
      <c r="F53" s="947"/>
      <c r="G53" s="947"/>
      <c r="H53" s="947"/>
      <c r="I53" s="947"/>
      <c r="J53" s="947"/>
      <c r="K53" s="947"/>
    </row>
    <row r="54" spans="3:11">
      <c r="C54" s="947"/>
      <c r="D54" s="948"/>
      <c r="E54" s="947"/>
      <c r="F54" s="947"/>
      <c r="G54" s="947"/>
      <c r="H54" s="947"/>
      <c r="I54" s="947"/>
      <c r="J54" s="947"/>
      <c r="K54" s="947"/>
    </row>
    <row r="55" spans="3:11">
      <c r="C55" s="947"/>
      <c r="D55" s="948"/>
      <c r="E55" s="947"/>
      <c r="F55" s="947"/>
      <c r="G55" s="947"/>
      <c r="H55" s="947"/>
      <c r="I55" s="947"/>
      <c r="J55" s="947"/>
      <c r="K55" s="947"/>
    </row>
    <row r="56" spans="3:11">
      <c r="C56" s="947"/>
      <c r="D56" s="948"/>
      <c r="E56" s="947"/>
      <c r="F56" s="947"/>
      <c r="G56" s="947"/>
      <c r="H56" s="947"/>
      <c r="I56" s="947"/>
      <c r="J56" s="947"/>
      <c r="K56" s="947"/>
    </row>
    <row r="57" spans="3:11">
      <c r="C57" s="947"/>
      <c r="D57" s="948"/>
      <c r="E57" s="947"/>
      <c r="F57" s="947"/>
      <c r="G57" s="947"/>
      <c r="H57" s="947"/>
      <c r="I57" s="947"/>
      <c r="J57" s="947"/>
      <c r="K57" s="947"/>
    </row>
    <row r="58" spans="3:11">
      <c r="C58" s="947"/>
      <c r="D58" s="948"/>
      <c r="E58" s="947"/>
      <c r="F58" s="947"/>
      <c r="G58" s="947"/>
      <c r="H58" s="947"/>
      <c r="I58" s="947"/>
      <c r="J58" s="947"/>
      <c r="K58" s="947"/>
    </row>
    <row r="59" spans="3:11">
      <c r="C59" s="947"/>
      <c r="D59" s="948"/>
      <c r="E59" s="947"/>
      <c r="F59" s="947"/>
      <c r="G59" s="947"/>
      <c r="H59" s="947"/>
      <c r="I59" s="947"/>
      <c r="J59" s="947"/>
      <c r="K59" s="947"/>
    </row>
    <row r="60" spans="3:11">
      <c r="C60" s="947"/>
      <c r="D60" s="948"/>
      <c r="E60" s="947"/>
      <c r="F60" s="947"/>
      <c r="G60" s="947"/>
      <c r="H60" s="947"/>
      <c r="I60" s="947"/>
      <c r="J60" s="947"/>
      <c r="K60" s="947"/>
    </row>
    <row r="61" spans="3:11">
      <c r="C61" s="947"/>
      <c r="D61" s="948"/>
      <c r="E61" s="947"/>
      <c r="F61" s="947"/>
      <c r="G61" s="947"/>
      <c r="H61" s="947"/>
      <c r="I61" s="947"/>
      <c r="J61" s="947"/>
      <c r="K61" s="947"/>
    </row>
    <row r="62" spans="3:11">
      <c r="C62" s="947"/>
      <c r="D62" s="948"/>
      <c r="E62" s="947"/>
      <c r="F62" s="947"/>
      <c r="G62" s="947"/>
      <c r="H62" s="947"/>
      <c r="I62" s="947"/>
      <c r="J62" s="947"/>
      <c r="K62" s="947"/>
    </row>
    <row r="63" spans="3:11">
      <c r="C63" s="947"/>
      <c r="D63" s="948"/>
      <c r="E63" s="947"/>
      <c r="F63" s="947"/>
      <c r="G63" s="947"/>
      <c r="H63" s="947"/>
      <c r="I63" s="947"/>
      <c r="J63" s="947"/>
      <c r="K63" s="947"/>
    </row>
    <row r="64" spans="3:11">
      <c r="C64" s="947"/>
      <c r="D64" s="948"/>
      <c r="E64" s="947"/>
      <c r="F64" s="947"/>
      <c r="G64" s="947"/>
      <c r="H64" s="947"/>
      <c r="I64" s="947"/>
      <c r="J64" s="947"/>
      <c r="K64" s="947"/>
    </row>
    <row r="65" spans="3:11">
      <c r="C65" s="949"/>
      <c r="D65" s="948"/>
      <c r="E65" s="947"/>
      <c r="F65" s="947"/>
      <c r="G65" s="947"/>
      <c r="H65" s="947"/>
      <c r="I65" s="947"/>
      <c r="J65" s="947"/>
      <c r="K65" s="947"/>
    </row>
    <row r="66" spans="3:11">
      <c r="C66" s="947"/>
      <c r="D66" s="948"/>
      <c r="E66" s="947"/>
      <c r="F66" s="947"/>
      <c r="G66" s="947"/>
      <c r="H66" s="947"/>
      <c r="I66" s="947"/>
      <c r="J66" s="947"/>
      <c r="K66" s="947"/>
    </row>
    <row r="67" spans="3:11">
      <c r="C67" s="947"/>
      <c r="D67" s="948"/>
      <c r="E67" s="947"/>
      <c r="F67" s="947"/>
      <c r="G67" s="947"/>
      <c r="H67" s="947"/>
      <c r="I67" s="947"/>
      <c r="J67" s="947"/>
      <c r="K67" s="947"/>
    </row>
    <row r="68" spans="3:11">
      <c r="C68" s="947"/>
      <c r="D68" s="948"/>
      <c r="E68" s="947"/>
      <c r="F68" s="947"/>
      <c r="G68" s="947"/>
      <c r="H68" s="947"/>
      <c r="I68" s="947"/>
      <c r="J68" s="947"/>
      <c r="K68" s="947"/>
    </row>
    <row r="69" spans="3:11">
      <c r="C69" s="947"/>
      <c r="D69" s="948"/>
      <c r="E69" s="947"/>
      <c r="F69" s="947"/>
      <c r="G69" s="947"/>
      <c r="H69" s="947"/>
      <c r="I69" s="947"/>
      <c r="J69" s="947"/>
      <c r="K69" s="947"/>
    </row>
    <row r="70" spans="3:11">
      <c r="C70" s="947"/>
      <c r="D70" s="948"/>
      <c r="E70" s="947"/>
      <c r="F70" s="947"/>
      <c r="G70" s="947"/>
      <c r="H70" s="947"/>
      <c r="I70" s="947"/>
      <c r="J70" s="947"/>
      <c r="K70" s="947"/>
    </row>
    <row r="71" spans="3:11">
      <c r="C71" s="947"/>
      <c r="D71" s="948"/>
      <c r="E71" s="947"/>
      <c r="F71" s="947"/>
      <c r="G71" s="947"/>
      <c r="H71" s="947"/>
      <c r="I71" s="947"/>
      <c r="J71" s="947"/>
      <c r="K71" s="947"/>
    </row>
    <row r="72" spans="3:11">
      <c r="C72" s="947"/>
      <c r="D72" s="948"/>
      <c r="E72" s="947"/>
      <c r="F72" s="947"/>
      <c r="G72" s="947"/>
      <c r="H72" s="947"/>
      <c r="I72" s="947"/>
      <c r="J72" s="947"/>
      <c r="K72" s="947"/>
    </row>
    <row r="73" spans="3:11">
      <c r="C73" s="947"/>
      <c r="D73" s="948"/>
      <c r="E73" s="947"/>
      <c r="F73" s="947"/>
      <c r="G73" s="947"/>
      <c r="H73" s="947"/>
      <c r="I73" s="947"/>
      <c r="J73" s="947"/>
      <c r="K73" s="947"/>
    </row>
    <row r="74" spans="3:11">
      <c r="C74" s="947"/>
      <c r="D74" s="948"/>
      <c r="E74" s="947"/>
      <c r="F74" s="947"/>
      <c r="G74" s="947"/>
      <c r="H74" s="947"/>
      <c r="I74" s="947"/>
      <c r="J74" s="947"/>
      <c r="K74" s="947"/>
    </row>
    <row r="75" spans="3:11">
      <c r="C75" s="947"/>
      <c r="D75" s="948"/>
      <c r="E75" s="947"/>
      <c r="F75" s="947"/>
      <c r="G75" s="947"/>
      <c r="H75" s="947"/>
      <c r="I75" s="947"/>
      <c r="J75" s="947"/>
      <c r="K75" s="947"/>
    </row>
    <row r="76" spans="3:11">
      <c r="C76" s="947"/>
      <c r="D76" s="948"/>
      <c r="E76" s="947"/>
      <c r="F76" s="947"/>
      <c r="G76" s="947"/>
      <c r="H76" s="947"/>
      <c r="I76" s="947"/>
      <c r="J76" s="947"/>
      <c r="K76" s="947"/>
    </row>
    <row r="77" spans="3:11">
      <c r="C77" s="947"/>
      <c r="D77" s="948"/>
      <c r="E77" s="947"/>
      <c r="F77" s="947"/>
      <c r="G77" s="947"/>
      <c r="H77" s="947"/>
      <c r="I77" s="947"/>
      <c r="J77" s="947"/>
      <c r="K77" s="947"/>
    </row>
    <row r="78" spans="3:11">
      <c r="C78" s="947"/>
      <c r="D78" s="948"/>
      <c r="E78" s="947"/>
      <c r="F78" s="947"/>
      <c r="G78" s="947"/>
      <c r="H78" s="947"/>
      <c r="I78" s="947"/>
      <c r="J78" s="947"/>
      <c r="K78" s="947"/>
    </row>
    <row r="79" spans="3:11">
      <c r="C79" s="947"/>
      <c r="D79" s="948"/>
      <c r="E79" s="947"/>
      <c r="F79" s="947"/>
      <c r="G79" s="947"/>
      <c r="H79" s="947"/>
      <c r="I79" s="947"/>
      <c r="J79" s="947"/>
      <c r="K79" s="947"/>
    </row>
    <row r="80" spans="3:11">
      <c r="C80" s="947"/>
      <c r="D80" s="948"/>
      <c r="E80" s="947"/>
      <c r="F80" s="947"/>
      <c r="G80" s="947"/>
      <c r="H80" s="947"/>
      <c r="I80" s="947"/>
      <c r="J80" s="947"/>
      <c r="K80" s="947"/>
    </row>
    <row r="81" spans="3:11">
      <c r="C81" s="947"/>
      <c r="D81" s="948"/>
      <c r="E81" s="947"/>
      <c r="F81" s="947"/>
      <c r="G81" s="947"/>
      <c r="H81" s="947"/>
      <c r="I81" s="947"/>
      <c r="J81" s="947"/>
      <c r="K81" s="947"/>
    </row>
    <row r="82" spans="3:11">
      <c r="C82" s="947"/>
      <c r="D82" s="948"/>
      <c r="E82" s="947"/>
      <c r="F82" s="947"/>
      <c r="G82" s="947"/>
      <c r="H82" s="947"/>
      <c r="I82" s="947"/>
      <c r="J82" s="947"/>
      <c r="K82" s="947"/>
    </row>
    <row r="83" spans="3:11">
      <c r="C83" s="947"/>
      <c r="D83" s="948"/>
      <c r="E83" s="947"/>
      <c r="F83" s="947"/>
      <c r="G83" s="947"/>
      <c r="H83" s="947"/>
      <c r="I83" s="947"/>
      <c r="J83" s="947"/>
      <c r="K83" s="947"/>
    </row>
    <row r="84" spans="3:11">
      <c r="C84" s="947"/>
      <c r="D84" s="947"/>
      <c r="E84" s="947"/>
      <c r="F84" s="947"/>
      <c r="G84" s="947"/>
      <c r="H84" s="947"/>
      <c r="I84" s="947"/>
      <c r="J84" s="947"/>
      <c r="K84" s="947"/>
    </row>
    <row r="85" spans="3:11">
      <c r="C85" s="947"/>
      <c r="D85" s="947"/>
      <c r="E85" s="947"/>
      <c r="F85" s="947"/>
      <c r="G85" s="947"/>
      <c r="H85" s="947"/>
      <c r="I85" s="947"/>
      <c r="J85" s="947"/>
      <c r="K85" s="947"/>
    </row>
    <row r="86" spans="3:11">
      <c r="C86" s="947"/>
      <c r="D86" s="947"/>
      <c r="E86" s="947"/>
      <c r="F86" s="947"/>
      <c r="G86" s="947"/>
      <c r="H86" s="947"/>
      <c r="I86" s="947"/>
      <c r="J86" s="947"/>
      <c r="K86" s="947"/>
    </row>
    <row r="87" spans="3:11">
      <c r="C87" s="947"/>
      <c r="D87" s="947"/>
      <c r="E87" s="947"/>
      <c r="F87" s="947"/>
      <c r="G87" s="947"/>
      <c r="H87" s="947"/>
      <c r="I87" s="947"/>
      <c r="J87" s="947"/>
      <c r="K87" s="947"/>
    </row>
    <row r="88" spans="3:11">
      <c r="C88" s="947"/>
      <c r="D88" s="947"/>
      <c r="E88" s="947"/>
      <c r="F88" s="947"/>
      <c r="G88" s="947"/>
      <c r="H88" s="947"/>
      <c r="I88" s="947"/>
      <c r="J88" s="947"/>
      <c r="K88" s="947"/>
    </row>
    <row r="89" spans="3:11">
      <c r="C89" s="947"/>
      <c r="D89" s="947"/>
      <c r="E89" s="947"/>
      <c r="F89" s="947"/>
      <c r="G89" s="947"/>
      <c r="H89" s="947"/>
      <c r="I89" s="947"/>
      <c r="J89" s="947"/>
      <c r="K89" s="947"/>
    </row>
    <row r="90" spans="3:11">
      <c r="C90" s="947"/>
      <c r="D90" s="947"/>
      <c r="E90" s="947"/>
      <c r="F90" s="947"/>
      <c r="G90" s="947"/>
      <c r="H90" s="947"/>
      <c r="I90" s="947"/>
      <c r="J90" s="947"/>
      <c r="K90" s="947"/>
    </row>
    <row r="91" spans="3:11">
      <c r="C91" s="947"/>
      <c r="D91" s="947"/>
      <c r="E91" s="947"/>
      <c r="F91" s="947"/>
      <c r="G91" s="947"/>
      <c r="H91" s="947"/>
      <c r="I91" s="947"/>
      <c r="J91" s="947"/>
      <c r="K91" s="947"/>
    </row>
    <row r="92" spans="3:11">
      <c r="C92" s="947"/>
      <c r="D92" s="947"/>
      <c r="E92" s="947"/>
      <c r="F92" s="947"/>
      <c r="G92" s="947"/>
      <c r="H92" s="947"/>
      <c r="I92" s="947"/>
      <c r="J92" s="947"/>
      <c r="K92" s="947"/>
    </row>
  </sheetData>
  <mergeCells count="7">
    <mergeCell ref="F6:N6"/>
    <mergeCell ref="A4:N4"/>
    <mergeCell ref="E9:E11"/>
    <mergeCell ref="D9:D11"/>
    <mergeCell ref="C9:C11"/>
    <mergeCell ref="C6:E8"/>
    <mergeCell ref="A6:B11"/>
  </mergeCells>
  <printOptions horizontalCentered="1"/>
  <pageMargins left="0.27559055118110237" right="0.27559055118110237" top="0.78740157480314965" bottom="0.74803149606299213" header="0.43307086614173229" footer="0.51181102362204722"/>
  <pageSetup paperSize="9" scale="95" orientation="landscape" r:id="rId1"/>
  <headerFooter alignWithMargins="0">
    <oddHeader>&amp;C&amp;"Arial,Standard"&amp;8- 28 - &amp;R&amp;8&amp;D</oddHeader>
    <oddFooter>&amp;R
&amp;12...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46">
    <tabColor theme="0" tint="-0.499984740745262"/>
  </sheetPr>
  <dimension ref="A1:AD42"/>
  <sheetViews>
    <sheetView zoomScaleNormal="100" zoomScaleSheetLayoutView="100" workbookViewId="0">
      <selection activeCell="C19" sqref="C19"/>
    </sheetView>
  </sheetViews>
  <sheetFormatPr baseColWidth="10" defaultColWidth="11.3828125" defaultRowHeight="10.3"/>
  <cols>
    <col min="1" max="1" width="1.69140625" style="6" customWidth="1"/>
    <col min="2" max="2" width="28.69140625" style="6" customWidth="1"/>
    <col min="3" max="9" width="11.69140625" style="6" customWidth="1"/>
    <col min="10" max="11" width="8.3046875" style="6" customWidth="1"/>
    <col min="12" max="14" width="7.15234375" style="6" customWidth="1"/>
    <col min="15" max="15" width="10.3046875" style="6" customWidth="1"/>
    <col min="16" max="23" width="6.3046875" style="6" customWidth="1"/>
    <col min="24" max="16384" width="11.3828125" style="6"/>
  </cols>
  <sheetData>
    <row r="1" spans="1:30" ht="13.2" customHeight="1"/>
    <row r="2" spans="1:30" ht="13.2" customHeight="1">
      <c r="A2" s="1598" t="s">
        <v>213</v>
      </c>
      <c r="B2" s="1598"/>
      <c r="C2" s="1598"/>
      <c r="D2" s="41"/>
      <c r="E2" s="41"/>
      <c r="F2" s="42"/>
      <c r="G2" s="41"/>
      <c r="H2" s="950"/>
      <c r="I2" s="534"/>
    </row>
    <row r="3" spans="1:30" ht="10.95" customHeight="1"/>
    <row r="4" spans="1:30" ht="10.95" customHeight="1">
      <c r="A4" s="1661" t="s">
        <v>366</v>
      </c>
      <c r="B4" s="1661"/>
      <c r="C4" s="1661"/>
      <c r="D4" s="1661"/>
      <c r="E4" s="1661"/>
      <c r="F4" s="1661"/>
      <c r="G4" s="1661"/>
      <c r="H4" s="1661"/>
      <c r="I4" s="1661"/>
    </row>
    <row r="5" spans="1:30" ht="13.95" customHeight="1">
      <c r="A5" s="1662"/>
      <c r="B5" s="1662"/>
      <c r="C5" s="1662"/>
      <c r="D5" s="1662"/>
      <c r="E5" s="1662"/>
      <c r="F5" s="1662"/>
      <c r="G5" s="1662"/>
      <c r="H5" s="1662"/>
      <c r="I5" s="1662"/>
    </row>
    <row r="6" spans="1:30" ht="0.75" hidden="1" customHeight="1">
      <c r="A6" s="951"/>
      <c r="B6" s="951"/>
      <c r="C6" s="951"/>
      <c r="D6" s="951"/>
      <c r="E6" s="951"/>
      <c r="F6" s="951"/>
      <c r="G6" s="951"/>
      <c r="H6" s="951"/>
      <c r="I6" s="951"/>
    </row>
    <row r="7" spans="1:30" ht="10.95" customHeight="1" thickBot="1">
      <c r="A7" s="951"/>
      <c r="B7" s="951"/>
      <c r="C7" s="951"/>
      <c r="D7" s="951"/>
      <c r="E7" s="951"/>
      <c r="F7" s="951"/>
      <c r="G7" s="951"/>
      <c r="H7" s="951"/>
      <c r="I7" s="951"/>
    </row>
    <row r="8" spans="1:30" ht="13" customHeight="1">
      <c r="A8" s="1501" t="s">
        <v>16</v>
      </c>
      <c r="B8" s="1532"/>
      <c r="C8" s="1658" t="s">
        <v>225</v>
      </c>
      <c r="D8" s="1659"/>
      <c r="E8" s="1659"/>
      <c r="F8" s="1659"/>
      <c r="G8" s="1659"/>
      <c r="H8" s="1659"/>
      <c r="I8" s="1660"/>
    </row>
    <row r="9" spans="1:30" ht="14.15" customHeight="1">
      <c r="A9" s="1533"/>
      <c r="B9" s="1534"/>
      <c r="C9" s="420"/>
      <c r="D9" s="421"/>
      <c r="E9" s="420"/>
      <c r="F9" s="952" t="s">
        <v>351</v>
      </c>
      <c r="G9" s="953"/>
      <c r="H9" s="655"/>
      <c r="I9" s="504" t="s">
        <v>316</v>
      </c>
    </row>
    <row r="10" spans="1:30" ht="14.15" customHeight="1">
      <c r="A10" s="1533"/>
      <c r="B10" s="1534"/>
      <c r="C10" s="422" t="s">
        <v>94</v>
      </c>
      <c r="D10" s="1059" t="s">
        <v>92</v>
      </c>
      <c r="E10" s="15" t="s">
        <v>93</v>
      </c>
      <c r="F10" s="846" t="s">
        <v>315</v>
      </c>
      <c r="G10" s="517"/>
      <c r="H10" s="915"/>
      <c r="I10" s="1220" t="s">
        <v>350</v>
      </c>
      <c r="J10" s="729"/>
      <c r="K10" s="137"/>
      <c r="L10" s="727"/>
      <c r="M10" s="41"/>
      <c r="N10" s="41"/>
      <c r="O10" s="41"/>
      <c r="P10" s="42"/>
      <c r="Q10" s="42"/>
      <c r="R10" s="43"/>
      <c r="S10" s="41"/>
      <c r="T10" s="41"/>
      <c r="U10" s="41"/>
      <c r="V10" s="41"/>
      <c r="W10" s="41"/>
      <c r="X10" s="41"/>
      <c r="Y10" s="41"/>
      <c r="Z10" s="41"/>
      <c r="AA10" s="42"/>
      <c r="AB10" s="41"/>
      <c r="AC10" s="41"/>
      <c r="AD10" s="64" t="s">
        <v>110</v>
      </c>
    </row>
    <row r="11" spans="1:30" ht="14.15" customHeight="1">
      <c r="A11" s="1535"/>
      <c r="B11" s="1536"/>
      <c r="C11" s="422"/>
      <c r="D11" s="424"/>
      <c r="E11" s="15"/>
      <c r="F11" s="845" t="s">
        <v>30</v>
      </c>
      <c r="G11" s="539" t="s">
        <v>31</v>
      </c>
      <c r="H11" s="954" t="s">
        <v>32</v>
      </c>
      <c r="I11" s="1127" t="s">
        <v>315</v>
      </c>
      <c r="J11" s="730"/>
      <c r="K11" s="731"/>
      <c r="L11" s="731"/>
    </row>
    <row r="12" spans="1:30" ht="15" customHeight="1">
      <c r="A12" s="1010"/>
      <c r="B12" s="1011" t="s">
        <v>73</v>
      </c>
      <c r="C12" s="1128">
        <f>120+111+75+60+24+33+54+6+42+69+18+54+45</f>
        <v>711</v>
      </c>
      <c r="D12" s="1050">
        <f>102+93+66+51+18+21+42+6+39+63+12+51+36</f>
        <v>600</v>
      </c>
      <c r="E12" s="1051">
        <f>18+18+9+6+6+12+9+3+6+6+6+9</f>
        <v>108</v>
      </c>
      <c r="F12" s="1050">
        <f>48+30+42+27+9+6+6+27+33+15+24+18</f>
        <v>285</v>
      </c>
      <c r="G12" s="1052">
        <f>60+51+21+24+3+24+30+12+27+3+24+18</f>
        <v>297</v>
      </c>
      <c r="H12" s="1051">
        <f>15+30+12+9+9+9+18+3+9+3+6+9</f>
        <v>132</v>
      </c>
      <c r="I12" s="704">
        <f>30+39+27+12+12+9+24+3+15+21+12+12+6</f>
        <v>222</v>
      </c>
      <c r="J12" s="310"/>
      <c r="K12" s="310"/>
      <c r="L12" s="310"/>
    </row>
    <row r="13" spans="1:30" ht="15" customHeight="1">
      <c r="A13" s="581"/>
      <c r="B13" s="582" t="s">
        <v>127</v>
      </c>
      <c r="C13" s="1129">
        <f>9+18+6+3+6+6+3+6</f>
        <v>57</v>
      </c>
      <c r="D13" s="338">
        <f>9+15+6+3+6+6+6</f>
        <v>51</v>
      </c>
      <c r="E13" s="583">
        <f>3</f>
        <v>3</v>
      </c>
      <c r="F13" s="338">
        <f>3+12+3+6+6+3+3</f>
        <v>36</v>
      </c>
      <c r="G13" s="339">
        <f>3+3+3</f>
        <v>9</v>
      </c>
      <c r="H13" s="583">
        <f>3</f>
        <v>3</v>
      </c>
      <c r="I13" s="584">
        <f>3+9+3+3+3+3+3</f>
        <v>27</v>
      </c>
      <c r="J13" s="310"/>
      <c r="K13" s="310"/>
      <c r="L13" s="310"/>
    </row>
    <row r="14" spans="1:30" ht="15" customHeight="1">
      <c r="A14" s="581"/>
      <c r="B14" s="582" t="s">
        <v>77</v>
      </c>
      <c r="C14" s="1129">
        <f>3+33+6+3</f>
        <v>45</v>
      </c>
      <c r="D14" s="338">
        <f>3+21+3+3</f>
        <v>30</v>
      </c>
      <c r="E14" s="583">
        <f>12+3</f>
        <v>15</v>
      </c>
      <c r="F14" s="338">
        <f>3+18</f>
        <v>21</v>
      </c>
      <c r="G14" s="339">
        <f>12+6+3</f>
        <v>21</v>
      </c>
      <c r="H14" s="583">
        <f>3+3</f>
        <v>6</v>
      </c>
      <c r="I14" s="584">
        <f>9+3</f>
        <v>12</v>
      </c>
      <c r="J14" s="310"/>
      <c r="L14" s="310"/>
      <c r="M14" s="310"/>
    </row>
    <row r="15" spans="1:30" ht="15" customHeight="1">
      <c r="A15" s="581"/>
      <c r="B15" s="582" t="s">
        <v>226</v>
      </c>
      <c r="C15" s="1129">
        <f>6+6+3+3+3+6+3</f>
        <v>30</v>
      </c>
      <c r="D15" s="338">
        <f>6+6+3+3+3+3+3</f>
        <v>27</v>
      </c>
      <c r="E15" s="583">
        <f>0</f>
        <v>0</v>
      </c>
      <c r="F15" s="338">
        <f>3+3+3+3</f>
        <v>12</v>
      </c>
      <c r="G15" s="339">
        <f>3+3+3+3+3</f>
        <v>15</v>
      </c>
      <c r="H15" s="583">
        <f>0</f>
        <v>0</v>
      </c>
      <c r="I15" s="584">
        <f>3+3</f>
        <v>6</v>
      </c>
      <c r="J15" s="588"/>
      <c r="K15" s="588"/>
      <c r="L15" s="588"/>
    </row>
    <row r="16" spans="1:30" ht="15" customHeight="1">
      <c r="A16" s="581"/>
      <c r="B16" s="582" t="s">
        <v>76</v>
      </c>
      <c r="C16" s="1129">
        <f>3+3+3+3+3+3+3+24+3+12+3+12+3+21+3+27+6+3</f>
        <v>138</v>
      </c>
      <c r="D16" s="338">
        <f>3+3+3+3+3+3+12+3+6+3+6+15+3+12+6</f>
        <v>84</v>
      </c>
      <c r="E16" s="583">
        <f>3+12+6+3+6+3+6+12</f>
        <v>51</v>
      </c>
      <c r="F16" s="338">
        <f>15+6+12+3+15+9+3+3</f>
        <v>66</v>
      </c>
      <c r="G16" s="339">
        <f>3+3+3+6+3+3+3+3+12+3</f>
        <v>42</v>
      </c>
      <c r="H16" s="583">
        <f>3+3+3+3+3</f>
        <v>15</v>
      </c>
      <c r="I16" s="584">
        <f>9+3+12+3+6+3+3</f>
        <v>39</v>
      </c>
      <c r="J16" s="310"/>
      <c r="L16" s="310"/>
    </row>
    <row r="17" spans="1:13" ht="15" customHeight="1">
      <c r="A17" s="581"/>
      <c r="B17" s="582" t="s">
        <v>79</v>
      </c>
      <c r="C17" s="1129">
        <f>3+6+3+3+3</f>
        <v>18</v>
      </c>
      <c r="D17" s="338">
        <f>3+6+3+3+3</f>
        <v>18</v>
      </c>
      <c r="E17" s="583">
        <v>0</v>
      </c>
      <c r="F17" s="338">
        <f>3+3</f>
        <v>6</v>
      </c>
      <c r="G17" s="339">
        <f>3+3+3</f>
        <v>9</v>
      </c>
      <c r="H17" s="583">
        <v>0</v>
      </c>
      <c r="I17" s="584">
        <v>0</v>
      </c>
      <c r="J17" s="310"/>
      <c r="K17" s="310"/>
      <c r="L17" s="310"/>
    </row>
    <row r="18" spans="1:13" ht="15" customHeight="1">
      <c r="A18" s="581"/>
      <c r="B18" s="582" t="s">
        <v>337</v>
      </c>
      <c r="C18" s="1129">
        <f>12+6+6+3+6+3+27+9+27+3+3+3+21+3+30+6+3+15+3+3+15+3+6+6+15+27+18+9+3+3+3+3+9+3+3+6+3+3+6+3</f>
        <v>339</v>
      </c>
      <c r="D18" s="338">
        <f>3+3+3+3+3+3+6+3+3+6+3+3+3</f>
        <v>45</v>
      </c>
      <c r="E18" s="583">
        <f>9+3+3+6+3+24+6+24+3+3+3+21+3+24+3+3+9+3+3+15+6+3+12+21+15+6+3+3+9+3+3+6+3+3+6+3</f>
        <v>276</v>
      </c>
      <c r="F18" s="338">
        <f>6+3+3+3+6+6+9+12+3+21+3+3+3+3+3+6+3+9+9+12+3+3+6+3+3+3+3+3</f>
        <v>153</v>
      </c>
      <c r="G18" s="339">
        <f>3+3+3+3+3+18+3+12+3+3+6+6+3+9+6+3+3+6+9+9+6+3+3+3+3</f>
        <v>132</v>
      </c>
      <c r="H18" s="583">
        <f>3+3+6+3+3+3+6+3+3+9+3+3</f>
        <v>48</v>
      </c>
      <c r="I18" s="584">
        <f>3+3+3+18+3+9+9+12+3+3+3+6+9+3+3+3+3+6+3+3+3</f>
        <v>111</v>
      </c>
      <c r="J18" s="310"/>
      <c r="L18" s="310"/>
    </row>
    <row r="19" spans="1:13" ht="15" customHeight="1">
      <c r="A19" s="581"/>
      <c r="B19" s="582" t="s">
        <v>78</v>
      </c>
      <c r="C19" s="1129">
        <f>3+9+9+3+39+3+3+42+6+15+3+30+6+150+6+21+6+45+27+300+6+3+6+15+6+72+3+3+3+15+48+12+6+9+6+27+6+156+6+12+3+45+3+123+3+3+3+24+6+42+3+3+3+27+3+18+3+3+3+15+3+3+3+3+18+3+9+21</f>
        <v>1545</v>
      </c>
      <c r="D19" s="338">
        <f>3+9+6+3+36+3+39+3+12+3+18+6+126+6+15+3+24+24+279+3+6+6+3+63+3+3+3+12+42+6+6+9+3+18+6+138+6+6+27+3+111+3+21+3+36+3+3+24+3+15+3+12+3+3+15+6+21</f>
        <v>1275</v>
      </c>
      <c r="E19" s="583">
        <f>3+3+3+3+6+12+24+3+6+3+21+3+18+3+9+6+3+6+6+3+3+9+18+6+3+18+12+6+3+6+3+3+3+3+3+3+3+3</f>
        <v>252</v>
      </c>
      <c r="F19" s="338">
        <f>6+6+3+21+18+3+12+21+3+72+6+15+3+24+18+189+3+9+36+3+9+21+3+6+9+3+12+3+93+3+3+3+9+3+27+3+15+3+21+3+3+15+3+9+3+3+3+12+9+3+12</f>
        <v>798</v>
      </c>
      <c r="G19" s="339">
        <f>3+3+3+9+3+12+3+3+6+3+51+3+15+9+69+3+3+6+3+21+3+3+6+21+6+3+12+3+45+3+15+27+6+3+12+3+9+9+6+3+3+3+6</f>
        <v>441</v>
      </c>
      <c r="H19" s="583">
        <f>3+3+9+12+3+3+3+27+3+6+3+42+3+12+3+9+3+3+3+15+3+6+3+21+3+69+3+9+3+6+3+6</f>
        <v>303</v>
      </c>
      <c r="I19" s="584">
        <f>3+3+12+12+3+6+15+3+51+9+15+6+105+3+21+3+3+3+18+3+3+9+42+3+3+3+18+27+3+12+15+3+12+3+3+3+15+3+6+3</f>
        <v>486</v>
      </c>
      <c r="J19" s="310"/>
      <c r="K19" s="310"/>
      <c r="L19" s="310"/>
      <c r="M19" s="310"/>
    </row>
    <row r="20" spans="1:13" ht="15" customHeight="1">
      <c r="A20" s="581"/>
      <c r="B20" s="582" t="s">
        <v>338</v>
      </c>
      <c r="C20" s="1129">
        <f>12+3+51+81+9+9+3+42+33+9+12+12+6+3+3+18+6</f>
        <v>312</v>
      </c>
      <c r="D20" s="338">
        <f>12+3+42+75+6+9+3+33+30+6+12+9+3+3+12+6</f>
        <v>264</v>
      </c>
      <c r="E20" s="583">
        <f>9+6+3+9+3+3+3+3+6+3</f>
        <v>48</v>
      </c>
      <c r="F20" s="338">
        <f>3+21+36+6+6+18+3+3+6+9+3+3+12+3</f>
        <v>132</v>
      </c>
      <c r="G20" s="339">
        <f>6+15+30+3+18+9+3+6+3+3+3+3</f>
        <v>102</v>
      </c>
      <c r="H20" s="583">
        <f>3+12+12+6+21+3+3+3+3+3</f>
        <v>69</v>
      </c>
      <c r="I20" s="584">
        <f>9+18+3+3+6+3+3+3+3+3</f>
        <v>54</v>
      </c>
      <c r="J20" s="310"/>
      <c r="L20" s="310"/>
    </row>
    <row r="21" spans="1:13" ht="15" customHeight="1">
      <c r="A21" s="581"/>
      <c r="B21" s="582" t="s">
        <v>183</v>
      </c>
      <c r="C21" s="1129">
        <f>3+3</f>
        <v>6</v>
      </c>
      <c r="D21" s="338">
        <f>3+3</f>
        <v>6</v>
      </c>
      <c r="E21" s="583">
        <v>0</v>
      </c>
      <c r="F21" s="338">
        <v>0</v>
      </c>
      <c r="G21" s="339">
        <f>3+3</f>
        <v>6</v>
      </c>
      <c r="H21" s="583">
        <v>0</v>
      </c>
      <c r="I21" s="584">
        <v>0</v>
      </c>
      <c r="J21" s="310"/>
      <c r="L21" s="310"/>
    </row>
    <row r="22" spans="1:13" ht="15" customHeight="1">
      <c r="A22" s="581"/>
      <c r="B22" s="582" t="s">
        <v>339</v>
      </c>
      <c r="C22" s="1129">
        <f>3+6+3+3+15+9+3+3</f>
        <v>45</v>
      </c>
      <c r="D22" s="338">
        <f>3+6+3+3+15+9+3</f>
        <v>42</v>
      </c>
      <c r="E22" s="583">
        <f>3+3</f>
        <v>6</v>
      </c>
      <c r="F22" s="338">
        <f>3+3+9+6+3</f>
        <v>24</v>
      </c>
      <c r="G22" s="339">
        <f>3+3+6+3</f>
        <v>15</v>
      </c>
      <c r="H22" s="583">
        <f>3+3</f>
        <v>6</v>
      </c>
      <c r="I22" s="584">
        <f>3+3+6+6</f>
        <v>18</v>
      </c>
      <c r="J22" s="310"/>
      <c r="L22" s="310"/>
    </row>
    <row r="23" spans="1:13" ht="15" customHeight="1">
      <c r="A23" s="581"/>
      <c r="B23" s="582" t="s">
        <v>125</v>
      </c>
      <c r="C23" s="1130">
        <v>0</v>
      </c>
      <c r="D23" s="339">
        <v>0</v>
      </c>
      <c r="E23" s="583">
        <v>0</v>
      </c>
      <c r="F23" s="338">
        <v>0</v>
      </c>
      <c r="G23" s="339">
        <v>0</v>
      </c>
      <c r="H23" s="583">
        <v>0</v>
      </c>
      <c r="I23" s="584">
        <v>0</v>
      </c>
      <c r="J23" s="310"/>
      <c r="L23" s="310"/>
    </row>
    <row r="24" spans="1:13" ht="15" customHeight="1">
      <c r="A24" s="581"/>
      <c r="B24" s="582" t="s">
        <v>318</v>
      </c>
      <c r="C24" s="1129">
        <f>3+3+12+3+3</f>
        <v>24</v>
      </c>
      <c r="D24" s="338">
        <f>3+9+3+3</f>
        <v>18</v>
      </c>
      <c r="E24" s="583">
        <f>3+3+3</f>
        <v>9</v>
      </c>
      <c r="F24" s="338">
        <f>3+6+3</f>
        <v>12</v>
      </c>
      <c r="G24" s="339">
        <f>6</f>
        <v>6</v>
      </c>
      <c r="H24" s="583">
        <v>0</v>
      </c>
      <c r="I24" s="584">
        <f>6+3+3</f>
        <v>12</v>
      </c>
      <c r="J24" s="310"/>
      <c r="K24" s="310"/>
      <c r="L24" s="310"/>
    </row>
    <row r="25" spans="1:13" s="585" customFormat="1" ht="15" customHeight="1">
      <c r="A25" s="581"/>
      <c r="B25" s="582" t="s">
        <v>294</v>
      </c>
      <c r="C25" s="1129"/>
      <c r="D25" s="338"/>
      <c r="E25" s="583"/>
      <c r="F25" s="338"/>
      <c r="G25" s="339"/>
      <c r="H25" s="583"/>
      <c r="I25" s="584"/>
      <c r="J25" s="310"/>
      <c r="K25" s="6"/>
      <c r="L25" s="310"/>
    </row>
    <row r="26" spans="1:13" ht="15" customHeight="1">
      <c r="A26" s="581"/>
      <c r="B26" s="215" t="s">
        <v>126</v>
      </c>
      <c r="C26" s="1131">
        <v>0</v>
      </c>
      <c r="D26" s="338">
        <v>0</v>
      </c>
      <c r="E26" s="583">
        <v>0</v>
      </c>
      <c r="F26" s="338">
        <v>0</v>
      </c>
      <c r="G26" s="339">
        <v>0</v>
      </c>
      <c r="H26" s="583">
        <v>0</v>
      </c>
      <c r="I26" s="584">
        <v>0</v>
      </c>
      <c r="J26" s="310"/>
      <c r="L26" s="310"/>
    </row>
    <row r="27" spans="1:13" s="70" customFormat="1" ht="15" customHeight="1">
      <c r="A27" s="581"/>
      <c r="B27" s="582" t="s">
        <v>90</v>
      </c>
      <c r="C27" s="1129"/>
      <c r="D27" s="260"/>
      <c r="E27" s="583"/>
      <c r="F27" s="338"/>
      <c r="G27" s="339"/>
      <c r="H27" s="583"/>
      <c r="I27" s="584"/>
      <c r="J27" s="310"/>
      <c r="K27" s="6"/>
      <c r="L27" s="310"/>
    </row>
    <row r="28" spans="1:13" s="70" customFormat="1" ht="15" customHeight="1">
      <c r="A28" s="586"/>
      <c r="B28" s="587" t="s">
        <v>126</v>
      </c>
      <c r="C28" s="1129">
        <f>3+3</f>
        <v>6</v>
      </c>
      <c r="D28" s="338">
        <v>0</v>
      </c>
      <c r="E28" s="583">
        <f>3+3</f>
        <v>6</v>
      </c>
      <c r="F28" s="338">
        <f>3</f>
        <v>3</v>
      </c>
      <c r="G28" s="339">
        <v>0</v>
      </c>
      <c r="H28" s="583">
        <v>0</v>
      </c>
      <c r="I28" s="584">
        <f>3</f>
        <v>3</v>
      </c>
      <c r="J28" s="588"/>
      <c r="L28" s="588"/>
    </row>
    <row r="29" spans="1:13" ht="15" customHeight="1">
      <c r="A29" s="581"/>
      <c r="B29" s="582" t="s">
        <v>91</v>
      </c>
      <c r="C29" s="1129">
        <f>3+6+3+3+3</f>
        <v>18</v>
      </c>
      <c r="D29" s="338">
        <v>0</v>
      </c>
      <c r="E29" s="583">
        <f>3+6+3+3+3</f>
        <v>18</v>
      </c>
      <c r="F29" s="338">
        <f>3</f>
        <v>3</v>
      </c>
      <c r="G29" s="339">
        <f>3+6+3</f>
        <v>12</v>
      </c>
      <c r="H29" s="583">
        <v>0</v>
      </c>
      <c r="I29" s="584">
        <f>3+3</f>
        <v>6</v>
      </c>
      <c r="J29" s="310"/>
      <c r="K29" s="741"/>
      <c r="L29" s="310"/>
    </row>
    <row r="30" spans="1:13" s="70" customFormat="1" ht="5.15" customHeight="1">
      <c r="A30" s="586"/>
      <c r="B30" s="587"/>
      <c r="C30" s="955"/>
      <c r="D30" s="1026"/>
      <c r="E30" s="956"/>
      <c r="F30" s="1026"/>
      <c r="G30" s="957"/>
      <c r="H30" s="956"/>
      <c r="I30" s="958"/>
      <c r="L30" s="588"/>
    </row>
    <row r="31" spans="1:13" ht="6" customHeight="1">
      <c r="A31" s="1010"/>
      <c r="B31" s="1678" t="s">
        <v>250</v>
      </c>
      <c r="C31" s="1663">
        <f t="shared" ref="C31:I31" si="0">C29+C28+C26+C24+C23+C22+C21+C20+C19+C18+C17+C16+C15+C14+C13+C12</f>
        <v>3294</v>
      </c>
      <c r="D31" s="1666">
        <f t="shared" si="0"/>
        <v>2460</v>
      </c>
      <c r="E31" s="1669">
        <f t="shared" si="0"/>
        <v>792</v>
      </c>
      <c r="F31" s="1666">
        <f t="shared" si="0"/>
        <v>1551</v>
      </c>
      <c r="G31" s="1672">
        <f t="shared" si="0"/>
        <v>1107</v>
      </c>
      <c r="H31" s="1669">
        <f t="shared" si="0"/>
        <v>582</v>
      </c>
      <c r="I31" s="1675">
        <f t="shared" si="0"/>
        <v>996</v>
      </c>
    </row>
    <row r="32" spans="1:13" s="11" customFormat="1" ht="6" customHeight="1">
      <c r="A32" s="1012"/>
      <c r="B32" s="1679"/>
      <c r="C32" s="1664"/>
      <c r="D32" s="1667"/>
      <c r="E32" s="1670"/>
      <c r="F32" s="1667"/>
      <c r="G32" s="1673"/>
      <c r="H32" s="1670"/>
      <c r="I32" s="1676"/>
      <c r="J32" s="588"/>
      <c r="L32" s="588"/>
    </row>
    <row r="33" spans="1:12" ht="6" customHeight="1" thickBot="1">
      <c r="A33" s="1013"/>
      <c r="B33" s="1680"/>
      <c r="C33" s="1665"/>
      <c r="D33" s="1668"/>
      <c r="E33" s="1671"/>
      <c r="F33" s="1668"/>
      <c r="G33" s="1674"/>
      <c r="H33" s="1671"/>
      <c r="I33" s="1677"/>
    </row>
    <row r="34" spans="1:12" s="70" customFormat="1" ht="3.75" customHeight="1">
      <c r="A34" s="81"/>
      <c r="G34" s="959"/>
      <c r="L34" s="70" t="s">
        <v>164</v>
      </c>
    </row>
    <row r="35" spans="1:12" ht="12" customHeight="1">
      <c r="A35" s="70" t="s">
        <v>317</v>
      </c>
      <c r="C35" s="310"/>
      <c r="D35" s="310"/>
      <c r="E35" s="310"/>
    </row>
    <row r="36" spans="1:12" ht="12" customHeight="1">
      <c r="A36" s="70" t="s">
        <v>319</v>
      </c>
      <c r="C36" s="310"/>
      <c r="D36" s="310"/>
      <c r="E36" s="310"/>
    </row>
    <row r="37" spans="1:12">
      <c r="A37" s="71"/>
      <c r="B37" s="71"/>
      <c r="C37" s="71"/>
      <c r="D37" s="71"/>
      <c r="E37" s="71"/>
    </row>
    <row r="38" spans="1:12">
      <c r="C38" s="310"/>
    </row>
    <row r="42" spans="1:12">
      <c r="C42" s="310"/>
    </row>
  </sheetData>
  <mergeCells count="12">
    <mergeCell ref="C8:I8"/>
    <mergeCell ref="A4:I5"/>
    <mergeCell ref="A2:C2"/>
    <mergeCell ref="A8:B11"/>
    <mergeCell ref="C31:C33"/>
    <mergeCell ref="D31:D33"/>
    <mergeCell ref="E31:E33"/>
    <mergeCell ref="F31:F33"/>
    <mergeCell ref="G31:G33"/>
    <mergeCell ref="H31:H33"/>
    <mergeCell ref="I31:I33"/>
    <mergeCell ref="B31:B33"/>
  </mergeCells>
  <printOptions horizontalCentered="1"/>
  <pageMargins left="0.19685039370078741" right="0.19685039370078741" top="0.9055118110236221" bottom="0.31496062992125984" header="0.51181102362204722" footer="0.19685039370078741"/>
  <pageSetup paperSize="9" orientation="landscape" r:id="rId1"/>
  <headerFooter alignWithMargins="0">
    <oddHeader>&amp;C&amp;"Arial,Standard"&amp;8- 29 -&amp;R&amp;8&amp;D</oddHeader>
    <oddFooter>&amp;R
&amp;12...</oddFooter>
  </headerFooter>
  <ignoredErrors>
    <ignoredError sqref="E14:F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92D050"/>
  </sheetPr>
  <dimension ref="A1:D751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9.69140625" style="1392" bestFit="1" customWidth="1"/>
    <col min="2" max="2" width="19.53515625" style="1392" bestFit="1" customWidth="1"/>
    <col min="3" max="3" width="14.69140625" style="1393" customWidth="1"/>
    <col min="4" max="4" width="14.69140625" style="1392" customWidth="1"/>
    <col min="5" max="6" width="16.69140625" customWidth="1"/>
    <col min="7" max="7" width="17.15234375" customWidth="1"/>
    <col min="8" max="8" width="17.3046875" customWidth="1"/>
  </cols>
  <sheetData>
    <row r="1" spans="1:4" ht="18">
      <c r="A1" s="1404" t="s">
        <v>440</v>
      </c>
      <c r="B1" s="1394"/>
      <c r="C1" s="1394"/>
      <c r="D1" s="1394"/>
    </row>
    <row r="2" spans="1:4">
      <c r="A2" s="1408" t="s">
        <v>408</v>
      </c>
      <c r="B2" s="1408" t="s">
        <v>460</v>
      </c>
      <c r="C2" s="1408" t="s">
        <v>118</v>
      </c>
      <c r="D2" s="1408" t="s">
        <v>446</v>
      </c>
    </row>
    <row r="3" spans="1:4">
      <c r="A3" s="1426" t="s">
        <v>340</v>
      </c>
      <c r="B3" s="1426" t="s">
        <v>404</v>
      </c>
      <c r="C3" s="1426" t="s">
        <v>712</v>
      </c>
      <c r="D3" s="1427">
        <v>227900</v>
      </c>
    </row>
    <row r="4" spans="1:4">
      <c r="A4" s="1426" t="s">
        <v>340</v>
      </c>
      <c r="B4" s="1426" t="s">
        <v>404</v>
      </c>
      <c r="C4" s="1426" t="s">
        <v>711</v>
      </c>
      <c r="D4" s="1427">
        <v>244100</v>
      </c>
    </row>
    <row r="5" spans="1:4">
      <c r="A5" s="1426" t="s">
        <v>340</v>
      </c>
      <c r="B5" s="1426" t="s">
        <v>404</v>
      </c>
      <c r="C5" s="1426" t="s">
        <v>710</v>
      </c>
      <c r="D5" s="1427">
        <v>175300</v>
      </c>
    </row>
    <row r="6" spans="1:4">
      <c r="A6" s="1426" t="s">
        <v>340</v>
      </c>
      <c r="B6" s="1426" t="s">
        <v>404</v>
      </c>
      <c r="C6" s="1426" t="s">
        <v>709</v>
      </c>
      <c r="D6" s="1427">
        <v>249500</v>
      </c>
    </row>
    <row r="7" spans="1:4">
      <c r="A7" s="1426" t="s">
        <v>340</v>
      </c>
      <c r="B7" s="1426" t="s">
        <v>404</v>
      </c>
      <c r="C7" s="1426" t="s">
        <v>708</v>
      </c>
      <c r="D7" s="1427">
        <v>235900</v>
      </c>
    </row>
    <row r="8" spans="1:4">
      <c r="A8" s="1426" t="s">
        <v>340</v>
      </c>
      <c r="B8" s="1426" t="s">
        <v>404</v>
      </c>
      <c r="C8" s="1426" t="s">
        <v>707</v>
      </c>
      <c r="D8" s="1427">
        <v>235800</v>
      </c>
    </row>
    <row r="9" spans="1:4">
      <c r="A9" s="1426" t="s">
        <v>340</v>
      </c>
      <c r="B9" s="1426" t="s">
        <v>404</v>
      </c>
      <c r="C9" s="1426" t="s">
        <v>706</v>
      </c>
      <c r="D9" s="1427">
        <v>159500</v>
      </c>
    </row>
    <row r="10" spans="1:4">
      <c r="A10" s="1426" t="s">
        <v>340</v>
      </c>
      <c r="B10" s="1426" t="s">
        <v>404</v>
      </c>
      <c r="C10" s="1426" t="s">
        <v>705</v>
      </c>
      <c r="D10" s="1427">
        <v>160800</v>
      </c>
    </row>
    <row r="11" spans="1:4">
      <c r="A11" s="1426" t="s">
        <v>340</v>
      </c>
      <c r="B11" s="1426" t="s">
        <v>404</v>
      </c>
      <c r="C11" s="1426" t="s">
        <v>704</v>
      </c>
      <c r="D11" s="1427">
        <v>188800</v>
      </c>
    </row>
    <row r="12" spans="1:4">
      <c r="A12" s="1426" t="s">
        <v>340</v>
      </c>
      <c r="B12" s="1426" t="s">
        <v>404</v>
      </c>
      <c r="C12" s="1426" t="s">
        <v>703</v>
      </c>
      <c r="D12" s="1427">
        <v>153700</v>
      </c>
    </row>
    <row r="13" spans="1:4">
      <c r="A13" s="1426" t="s">
        <v>340</v>
      </c>
      <c r="B13" s="1426" t="s">
        <v>404</v>
      </c>
      <c r="C13" s="1426" t="s">
        <v>702</v>
      </c>
      <c r="D13" s="1427">
        <v>133200</v>
      </c>
    </row>
    <row r="14" spans="1:4">
      <c r="A14" s="1426" t="s">
        <v>340</v>
      </c>
      <c r="B14" s="1426" t="s">
        <v>407</v>
      </c>
      <c r="C14" s="1426" t="s">
        <v>712</v>
      </c>
      <c r="D14" s="1427">
        <v>441100</v>
      </c>
    </row>
    <row r="15" spans="1:4">
      <c r="A15" s="1426" t="s">
        <v>340</v>
      </c>
      <c r="B15" s="1426" t="s">
        <v>407</v>
      </c>
      <c r="C15" s="1426" t="s">
        <v>711</v>
      </c>
      <c r="D15" s="1427">
        <v>376000</v>
      </c>
    </row>
    <row r="16" spans="1:4">
      <c r="A16" s="1426" t="s">
        <v>340</v>
      </c>
      <c r="B16" s="1426" t="s">
        <v>407</v>
      </c>
      <c r="C16" s="1426" t="s">
        <v>710</v>
      </c>
      <c r="D16" s="1427">
        <v>265900</v>
      </c>
    </row>
    <row r="17" spans="1:4">
      <c r="A17" s="1426" t="s">
        <v>340</v>
      </c>
      <c r="B17" s="1426" t="s">
        <v>407</v>
      </c>
      <c r="C17" s="1426" t="s">
        <v>709</v>
      </c>
      <c r="D17" s="1427">
        <v>322600</v>
      </c>
    </row>
    <row r="18" spans="1:4">
      <c r="A18" s="1426" t="s">
        <v>340</v>
      </c>
      <c r="B18" s="1426" t="s">
        <v>407</v>
      </c>
      <c r="C18" s="1426" t="s">
        <v>708</v>
      </c>
      <c r="D18" s="1427">
        <v>299100</v>
      </c>
    </row>
    <row r="19" spans="1:4">
      <c r="A19" s="1426" t="s">
        <v>340</v>
      </c>
      <c r="B19" s="1426" t="s">
        <v>407</v>
      </c>
      <c r="C19" s="1426" t="s">
        <v>707</v>
      </c>
      <c r="D19" s="1427">
        <v>297500</v>
      </c>
    </row>
    <row r="20" spans="1:4">
      <c r="A20" s="1426" t="s">
        <v>340</v>
      </c>
      <c r="B20" s="1426" t="s">
        <v>407</v>
      </c>
      <c r="C20" s="1426" t="s">
        <v>706</v>
      </c>
      <c r="D20" s="1427">
        <v>228200</v>
      </c>
    </row>
    <row r="21" spans="1:4">
      <c r="A21" s="1426" t="s">
        <v>340</v>
      </c>
      <c r="B21" s="1426" t="s">
        <v>407</v>
      </c>
      <c r="C21" s="1426" t="s">
        <v>705</v>
      </c>
      <c r="D21" s="1427">
        <v>197100</v>
      </c>
    </row>
    <row r="22" spans="1:4">
      <c r="A22" s="1426" t="s">
        <v>340</v>
      </c>
      <c r="B22" s="1426" t="s">
        <v>407</v>
      </c>
      <c r="C22" s="1426" t="s">
        <v>704</v>
      </c>
      <c r="D22" s="1427">
        <v>298100</v>
      </c>
    </row>
    <row r="23" spans="1:4">
      <c r="A23" s="1426" t="s">
        <v>340</v>
      </c>
      <c r="B23" s="1426" t="s">
        <v>407</v>
      </c>
      <c r="C23" s="1426" t="s">
        <v>703</v>
      </c>
      <c r="D23" s="1427">
        <v>290200</v>
      </c>
    </row>
    <row r="24" spans="1:4">
      <c r="A24" s="1426" t="s">
        <v>340</v>
      </c>
      <c r="B24" s="1426" t="s">
        <v>407</v>
      </c>
      <c r="C24" s="1426" t="s">
        <v>702</v>
      </c>
      <c r="D24" s="1427">
        <v>276800</v>
      </c>
    </row>
    <row r="25" spans="1:4">
      <c r="A25" s="1426" t="s">
        <v>340</v>
      </c>
      <c r="B25" s="1426" t="s">
        <v>406</v>
      </c>
      <c r="C25" s="1426" t="s">
        <v>712</v>
      </c>
      <c r="D25" s="1427">
        <v>134300</v>
      </c>
    </row>
    <row r="26" spans="1:4">
      <c r="A26" s="1426" t="s">
        <v>340</v>
      </c>
      <c r="B26" s="1426" t="s">
        <v>406</v>
      </c>
      <c r="C26" s="1426" t="s">
        <v>711</v>
      </c>
      <c r="D26" s="1427">
        <v>131800</v>
      </c>
    </row>
    <row r="27" spans="1:4">
      <c r="A27" s="1426" t="s">
        <v>340</v>
      </c>
      <c r="B27" s="1426" t="s">
        <v>406</v>
      </c>
      <c r="C27" s="1426" t="s">
        <v>710</v>
      </c>
      <c r="D27" s="1427">
        <v>129000</v>
      </c>
    </row>
    <row r="28" spans="1:4">
      <c r="A28" s="1426" t="s">
        <v>340</v>
      </c>
      <c r="B28" s="1426" t="s">
        <v>406</v>
      </c>
      <c r="C28" s="1426" t="s">
        <v>709</v>
      </c>
      <c r="D28" s="1427">
        <v>120500</v>
      </c>
    </row>
    <row r="29" spans="1:4">
      <c r="A29" s="1426" t="s">
        <v>340</v>
      </c>
      <c r="B29" s="1426" t="s">
        <v>406</v>
      </c>
      <c r="C29" s="1426" t="s">
        <v>708</v>
      </c>
      <c r="D29" s="1427">
        <v>106600</v>
      </c>
    </row>
    <row r="30" spans="1:4">
      <c r="A30" s="1426" t="s">
        <v>340</v>
      </c>
      <c r="B30" s="1426" t="s">
        <v>406</v>
      </c>
      <c r="C30" s="1426" t="s">
        <v>707</v>
      </c>
      <c r="D30" s="1427">
        <v>90500</v>
      </c>
    </row>
    <row r="31" spans="1:4">
      <c r="A31" s="1426" t="s">
        <v>340</v>
      </c>
      <c r="B31" s="1426" t="s">
        <v>406</v>
      </c>
      <c r="C31" s="1426" t="s">
        <v>706</v>
      </c>
      <c r="D31" s="1427">
        <v>84100</v>
      </c>
    </row>
    <row r="32" spans="1:4">
      <c r="A32" s="1426" t="s">
        <v>340</v>
      </c>
      <c r="B32" s="1426" t="s">
        <v>406</v>
      </c>
      <c r="C32" s="1426" t="s">
        <v>705</v>
      </c>
      <c r="D32" s="1427">
        <v>58700</v>
      </c>
    </row>
    <row r="33" spans="1:4">
      <c r="A33" s="1426" t="s">
        <v>340</v>
      </c>
      <c r="B33" s="1426" t="s">
        <v>406</v>
      </c>
      <c r="C33" s="1426" t="s">
        <v>704</v>
      </c>
      <c r="D33" s="1427">
        <v>65700</v>
      </c>
    </row>
    <row r="34" spans="1:4">
      <c r="A34" s="1426" t="s">
        <v>340</v>
      </c>
      <c r="B34" s="1426" t="s">
        <v>406</v>
      </c>
      <c r="C34" s="1426" t="s">
        <v>703</v>
      </c>
      <c r="D34" s="1427">
        <v>43200</v>
      </c>
    </row>
    <row r="35" spans="1:4">
      <c r="A35" s="1426" t="s">
        <v>340</v>
      </c>
      <c r="B35" s="1426" t="s">
        <v>406</v>
      </c>
      <c r="C35" s="1426" t="s">
        <v>702</v>
      </c>
      <c r="D35" s="1431">
        <v>0</v>
      </c>
    </row>
    <row r="36" spans="1:4">
      <c r="A36" s="1426" t="s">
        <v>340</v>
      </c>
      <c r="B36" s="1426" t="s">
        <v>405</v>
      </c>
      <c r="C36" s="1426" t="s">
        <v>712</v>
      </c>
      <c r="D36" s="1427">
        <v>56700</v>
      </c>
    </row>
    <row r="37" spans="1:4">
      <c r="A37" s="1426" t="s">
        <v>340</v>
      </c>
      <c r="B37" s="1426" t="s">
        <v>405</v>
      </c>
      <c r="C37" s="1426" t="s">
        <v>711</v>
      </c>
      <c r="D37" s="1427">
        <v>57200</v>
      </c>
    </row>
    <row r="38" spans="1:4">
      <c r="A38" s="1426" t="s">
        <v>340</v>
      </c>
      <c r="B38" s="1426" t="s">
        <v>405</v>
      </c>
      <c r="C38" s="1426" t="s">
        <v>710</v>
      </c>
      <c r="D38" s="1427">
        <v>45500</v>
      </c>
    </row>
    <row r="39" spans="1:4">
      <c r="A39" s="1426" t="s">
        <v>340</v>
      </c>
      <c r="B39" s="1426" t="s">
        <v>405</v>
      </c>
      <c r="C39" s="1426" t="s">
        <v>709</v>
      </c>
      <c r="D39" s="1427">
        <v>53000</v>
      </c>
    </row>
    <row r="40" spans="1:4">
      <c r="A40" s="1426" t="s">
        <v>340</v>
      </c>
      <c r="B40" s="1426" t="s">
        <v>405</v>
      </c>
      <c r="C40" s="1426" t="s">
        <v>708</v>
      </c>
      <c r="D40" s="1427">
        <v>53400</v>
      </c>
    </row>
    <row r="41" spans="1:4">
      <c r="A41" s="1426" t="s">
        <v>340</v>
      </c>
      <c r="B41" s="1426" t="s">
        <v>405</v>
      </c>
      <c r="C41" s="1426" t="s">
        <v>707</v>
      </c>
      <c r="D41" s="1427">
        <v>34100</v>
      </c>
    </row>
    <row r="42" spans="1:4">
      <c r="A42" s="1426" t="s">
        <v>340</v>
      </c>
      <c r="B42" s="1426" t="s">
        <v>405</v>
      </c>
      <c r="C42" s="1426" t="s">
        <v>706</v>
      </c>
      <c r="D42" s="1427">
        <v>25600</v>
      </c>
    </row>
    <row r="43" spans="1:4">
      <c r="A43" s="1426" t="s">
        <v>340</v>
      </c>
      <c r="B43" s="1426" t="s">
        <v>405</v>
      </c>
      <c r="C43" s="1426" t="s">
        <v>705</v>
      </c>
      <c r="D43" s="1427">
        <v>22300</v>
      </c>
    </row>
    <row r="44" spans="1:4">
      <c r="A44" s="1426" t="s">
        <v>340</v>
      </c>
      <c r="B44" s="1426" t="s">
        <v>405</v>
      </c>
      <c r="C44" s="1426" t="s">
        <v>704</v>
      </c>
      <c r="D44" s="1427">
        <v>52800</v>
      </c>
    </row>
    <row r="45" spans="1:4">
      <c r="A45" s="1426" t="s">
        <v>340</v>
      </c>
      <c r="B45" s="1426" t="s">
        <v>405</v>
      </c>
      <c r="C45" s="1426" t="s">
        <v>703</v>
      </c>
      <c r="D45" s="1427">
        <v>50000</v>
      </c>
    </row>
    <row r="46" spans="1:4">
      <c r="A46" s="1426" t="s">
        <v>340</v>
      </c>
      <c r="B46" s="1426" t="s">
        <v>405</v>
      </c>
      <c r="C46" s="1426" t="s">
        <v>702</v>
      </c>
      <c r="D46" s="1427">
        <v>38300</v>
      </c>
    </row>
    <row r="47" spans="1:4">
      <c r="A47" s="1426" t="s">
        <v>394</v>
      </c>
      <c r="B47" s="1426" t="s">
        <v>404</v>
      </c>
      <c r="C47" s="1426" t="s">
        <v>712</v>
      </c>
      <c r="D47" s="1427">
        <v>7300</v>
      </c>
    </row>
    <row r="48" spans="1:4">
      <c r="A48" s="1426" t="s">
        <v>394</v>
      </c>
      <c r="B48" s="1426" t="s">
        <v>404</v>
      </c>
      <c r="C48" s="1426" t="s">
        <v>711</v>
      </c>
      <c r="D48" s="1427">
        <v>9400</v>
      </c>
    </row>
    <row r="49" spans="1:4">
      <c r="A49" s="1426" t="s">
        <v>394</v>
      </c>
      <c r="B49" s="1426" t="s">
        <v>404</v>
      </c>
      <c r="C49" s="1426" t="s">
        <v>710</v>
      </c>
      <c r="D49" s="1427">
        <v>7600</v>
      </c>
    </row>
    <row r="50" spans="1:4">
      <c r="A50" s="1426" t="s">
        <v>394</v>
      </c>
      <c r="B50" s="1426" t="s">
        <v>404</v>
      </c>
      <c r="C50" s="1426" t="s">
        <v>709</v>
      </c>
      <c r="D50" s="1427">
        <v>10000</v>
      </c>
    </row>
    <row r="51" spans="1:4">
      <c r="A51" s="1426" t="s">
        <v>394</v>
      </c>
      <c r="B51" s="1426" t="s">
        <v>404</v>
      </c>
      <c r="C51" s="1426" t="s">
        <v>708</v>
      </c>
      <c r="D51" s="1427">
        <v>8400</v>
      </c>
    </row>
    <row r="52" spans="1:4">
      <c r="A52" s="1426" t="s">
        <v>394</v>
      </c>
      <c r="B52" s="1426" t="s">
        <v>404</v>
      </c>
      <c r="C52" s="1426" t="s">
        <v>707</v>
      </c>
      <c r="D52" s="1427">
        <v>9700</v>
      </c>
    </row>
    <row r="53" spans="1:4">
      <c r="A53" s="1426" t="s">
        <v>394</v>
      </c>
      <c r="B53" s="1426" t="s">
        <v>404</v>
      </c>
      <c r="C53" s="1426" t="s">
        <v>706</v>
      </c>
      <c r="D53" s="1427">
        <v>8800</v>
      </c>
    </row>
    <row r="54" spans="1:4">
      <c r="A54" s="1426" t="s">
        <v>394</v>
      </c>
      <c r="B54" s="1426" t="s">
        <v>404</v>
      </c>
      <c r="C54" s="1426" t="s">
        <v>705</v>
      </c>
      <c r="D54" s="1427">
        <v>8800</v>
      </c>
    </row>
    <row r="55" spans="1:4">
      <c r="A55" s="1426" t="s">
        <v>394</v>
      </c>
      <c r="B55" s="1426" t="s">
        <v>404</v>
      </c>
      <c r="C55" s="1426" t="s">
        <v>704</v>
      </c>
      <c r="D55" s="1427">
        <v>9500</v>
      </c>
    </row>
    <row r="56" spans="1:4">
      <c r="A56" s="1426" t="s">
        <v>394</v>
      </c>
      <c r="B56" s="1426" t="s">
        <v>404</v>
      </c>
      <c r="C56" s="1426" t="s">
        <v>703</v>
      </c>
      <c r="D56" s="1427">
        <v>9700</v>
      </c>
    </row>
    <row r="57" spans="1:4">
      <c r="A57" s="1426" t="s">
        <v>394</v>
      </c>
      <c r="B57" s="1426" t="s">
        <v>404</v>
      </c>
      <c r="C57" s="1426" t="s">
        <v>702</v>
      </c>
      <c r="D57" s="1427">
        <v>8000</v>
      </c>
    </row>
    <row r="58" spans="1:4">
      <c r="A58" s="1426" t="s">
        <v>394</v>
      </c>
      <c r="B58" s="1426" t="s">
        <v>407</v>
      </c>
      <c r="C58" s="1426" t="s">
        <v>712</v>
      </c>
      <c r="D58" s="1427">
        <v>10000</v>
      </c>
    </row>
    <row r="59" spans="1:4">
      <c r="A59" s="1426" t="s">
        <v>394</v>
      </c>
      <c r="B59" s="1426" t="s">
        <v>407</v>
      </c>
      <c r="C59" s="1426" t="s">
        <v>711</v>
      </c>
      <c r="D59" s="1427">
        <v>9800</v>
      </c>
    </row>
    <row r="60" spans="1:4">
      <c r="A60" s="1426" t="s">
        <v>394</v>
      </c>
      <c r="B60" s="1426" t="s">
        <v>407</v>
      </c>
      <c r="C60" s="1426" t="s">
        <v>710</v>
      </c>
      <c r="D60" s="1427">
        <v>8000</v>
      </c>
    </row>
    <row r="61" spans="1:4">
      <c r="A61" s="1426" t="s">
        <v>394</v>
      </c>
      <c r="B61" s="1426" t="s">
        <v>407</v>
      </c>
      <c r="C61" s="1426" t="s">
        <v>709</v>
      </c>
      <c r="D61" s="1427">
        <v>15800</v>
      </c>
    </row>
    <row r="62" spans="1:4">
      <c r="A62" s="1426" t="s">
        <v>394</v>
      </c>
      <c r="B62" s="1426" t="s">
        <v>407</v>
      </c>
      <c r="C62" s="1426" t="s">
        <v>708</v>
      </c>
      <c r="D62" s="1427">
        <v>12000</v>
      </c>
    </row>
    <row r="63" spans="1:4">
      <c r="A63" s="1426" t="s">
        <v>394</v>
      </c>
      <c r="B63" s="1426" t="s">
        <v>407</v>
      </c>
      <c r="C63" s="1426" t="s">
        <v>707</v>
      </c>
      <c r="D63" s="1427">
        <v>15800</v>
      </c>
    </row>
    <row r="64" spans="1:4">
      <c r="A64" s="1426" t="s">
        <v>394</v>
      </c>
      <c r="B64" s="1426" t="s">
        <v>407</v>
      </c>
      <c r="C64" s="1426" t="s">
        <v>706</v>
      </c>
      <c r="D64" s="1427">
        <v>16100</v>
      </c>
    </row>
    <row r="65" spans="1:4">
      <c r="A65" s="1426" t="s">
        <v>394</v>
      </c>
      <c r="B65" s="1426" t="s">
        <v>407</v>
      </c>
      <c r="C65" s="1426" t="s">
        <v>705</v>
      </c>
      <c r="D65" s="1427">
        <v>15900</v>
      </c>
    </row>
    <row r="66" spans="1:4">
      <c r="A66" s="1426" t="s">
        <v>394</v>
      </c>
      <c r="B66" s="1426" t="s">
        <v>407</v>
      </c>
      <c r="C66" s="1426" t="s">
        <v>704</v>
      </c>
      <c r="D66" s="1427">
        <v>22400</v>
      </c>
    </row>
    <row r="67" spans="1:4">
      <c r="A67" s="1426" t="s">
        <v>394</v>
      </c>
      <c r="B67" s="1426" t="s">
        <v>407</v>
      </c>
      <c r="C67" s="1426" t="s">
        <v>703</v>
      </c>
      <c r="D67" s="1427">
        <v>24400</v>
      </c>
    </row>
    <row r="68" spans="1:4">
      <c r="A68" s="1426" t="s">
        <v>394</v>
      </c>
      <c r="B68" s="1426" t="s">
        <v>407</v>
      </c>
      <c r="C68" s="1426" t="s">
        <v>702</v>
      </c>
      <c r="D68" s="1427">
        <v>23800</v>
      </c>
    </row>
    <row r="69" spans="1:4">
      <c r="A69" s="1426" t="s">
        <v>394</v>
      </c>
      <c r="B69" s="1426" t="s">
        <v>406</v>
      </c>
      <c r="C69" s="1426" t="s">
        <v>712</v>
      </c>
      <c r="D69" s="1427">
        <v>23700</v>
      </c>
    </row>
    <row r="70" spans="1:4">
      <c r="A70" s="1426" t="s">
        <v>394</v>
      </c>
      <c r="B70" s="1426" t="s">
        <v>406</v>
      </c>
      <c r="C70" s="1426" t="s">
        <v>711</v>
      </c>
      <c r="D70" s="1427">
        <v>19600</v>
      </c>
    </row>
    <row r="71" spans="1:4">
      <c r="A71" s="1426" t="s">
        <v>394</v>
      </c>
      <c r="B71" s="1426" t="s">
        <v>406</v>
      </c>
      <c r="C71" s="1426" t="s">
        <v>710</v>
      </c>
      <c r="D71" s="1427">
        <v>19500</v>
      </c>
    </row>
    <row r="72" spans="1:4">
      <c r="A72" s="1426" t="s">
        <v>394</v>
      </c>
      <c r="B72" s="1426" t="s">
        <v>406</v>
      </c>
      <c r="C72" s="1426" t="s">
        <v>709</v>
      </c>
      <c r="D72" s="1427">
        <v>19000</v>
      </c>
    </row>
    <row r="73" spans="1:4">
      <c r="A73" s="1426" t="s">
        <v>394</v>
      </c>
      <c r="B73" s="1426" t="s">
        <v>406</v>
      </c>
      <c r="C73" s="1426" t="s">
        <v>708</v>
      </c>
      <c r="D73" s="1427">
        <v>23600</v>
      </c>
    </row>
    <row r="74" spans="1:4">
      <c r="A74" s="1426" t="s">
        <v>394</v>
      </c>
      <c r="B74" s="1426" t="s">
        <v>406</v>
      </c>
      <c r="C74" s="1426" t="s">
        <v>707</v>
      </c>
      <c r="D74" s="1427">
        <v>17900</v>
      </c>
    </row>
    <row r="75" spans="1:4">
      <c r="A75" s="1426" t="s">
        <v>394</v>
      </c>
      <c r="B75" s="1426" t="s">
        <v>406</v>
      </c>
      <c r="C75" s="1426" t="s">
        <v>706</v>
      </c>
      <c r="D75" s="1427">
        <v>22500</v>
      </c>
    </row>
    <row r="76" spans="1:4">
      <c r="A76" s="1426" t="s">
        <v>394</v>
      </c>
      <c r="B76" s="1426" t="s">
        <v>406</v>
      </c>
      <c r="C76" s="1426" t="s">
        <v>705</v>
      </c>
      <c r="D76" s="1427">
        <v>18600</v>
      </c>
    </row>
    <row r="77" spans="1:4">
      <c r="A77" s="1426" t="s">
        <v>394</v>
      </c>
      <c r="B77" s="1426" t="s">
        <v>406</v>
      </c>
      <c r="C77" s="1426" t="s">
        <v>704</v>
      </c>
      <c r="D77" s="1427">
        <v>25600</v>
      </c>
    </row>
    <row r="78" spans="1:4">
      <c r="A78" s="1426" t="s">
        <v>394</v>
      </c>
      <c r="B78" s="1426" t="s">
        <v>406</v>
      </c>
      <c r="C78" s="1426" t="s">
        <v>703</v>
      </c>
      <c r="D78" s="1427">
        <v>16400</v>
      </c>
    </row>
    <row r="79" spans="1:4">
      <c r="A79" s="1426" t="s">
        <v>394</v>
      </c>
      <c r="B79" s="1426" t="s">
        <v>406</v>
      </c>
      <c r="C79" s="1426" t="s">
        <v>702</v>
      </c>
      <c r="D79" s="1431">
        <v>0</v>
      </c>
    </row>
    <row r="80" spans="1:4">
      <c r="A80" s="1426" t="s">
        <v>394</v>
      </c>
      <c r="B80" s="1426" t="s">
        <v>405</v>
      </c>
      <c r="C80" s="1426" t="s">
        <v>712</v>
      </c>
      <c r="D80" s="1431">
        <v>0</v>
      </c>
    </row>
    <row r="81" spans="1:4">
      <c r="A81" s="1426" t="s">
        <v>394</v>
      </c>
      <c r="B81" s="1426" t="s">
        <v>405</v>
      </c>
      <c r="C81" s="1426" t="s">
        <v>711</v>
      </c>
      <c r="D81" s="1427">
        <v>1000</v>
      </c>
    </row>
    <row r="82" spans="1:4">
      <c r="A82" s="1426" t="s">
        <v>394</v>
      </c>
      <c r="B82" s="1426" t="s">
        <v>405</v>
      </c>
      <c r="C82" s="1426" t="s">
        <v>710</v>
      </c>
      <c r="D82" s="1427">
        <v>1300</v>
      </c>
    </row>
    <row r="83" spans="1:4">
      <c r="A83" s="1426" t="s">
        <v>394</v>
      </c>
      <c r="B83" s="1426" t="s">
        <v>405</v>
      </c>
      <c r="C83" s="1426" t="s">
        <v>709</v>
      </c>
      <c r="D83" s="1427">
        <v>1900</v>
      </c>
    </row>
    <row r="84" spans="1:4">
      <c r="A84" s="1426" t="s">
        <v>394</v>
      </c>
      <c r="B84" s="1426" t="s">
        <v>405</v>
      </c>
      <c r="C84" s="1426" t="s">
        <v>708</v>
      </c>
      <c r="D84" s="1427">
        <v>1800</v>
      </c>
    </row>
    <row r="85" spans="1:4">
      <c r="A85" s="1426" t="s">
        <v>394</v>
      </c>
      <c r="B85" s="1426" t="s">
        <v>405</v>
      </c>
      <c r="C85" s="1426" t="s">
        <v>707</v>
      </c>
      <c r="D85" s="1431">
        <v>0</v>
      </c>
    </row>
    <row r="86" spans="1:4">
      <c r="A86" s="1426" t="s">
        <v>394</v>
      </c>
      <c r="B86" s="1426" t="s">
        <v>405</v>
      </c>
      <c r="C86" s="1426" t="s">
        <v>706</v>
      </c>
      <c r="D86" s="1431">
        <v>0</v>
      </c>
    </row>
    <row r="87" spans="1:4">
      <c r="A87" s="1426" t="s">
        <v>394</v>
      </c>
      <c r="B87" s="1426" t="s">
        <v>405</v>
      </c>
      <c r="C87" s="1426" t="s">
        <v>705</v>
      </c>
      <c r="D87" s="1431">
        <v>0</v>
      </c>
    </row>
    <row r="88" spans="1:4">
      <c r="A88" s="1426" t="s">
        <v>394</v>
      </c>
      <c r="B88" s="1426" t="s">
        <v>405</v>
      </c>
      <c r="C88" s="1426" t="s">
        <v>704</v>
      </c>
      <c r="D88" s="1431">
        <v>0</v>
      </c>
    </row>
    <row r="89" spans="1:4">
      <c r="A89" s="1426" t="s">
        <v>394</v>
      </c>
      <c r="B89" s="1426" t="s">
        <v>405</v>
      </c>
      <c r="C89" s="1426" t="s">
        <v>703</v>
      </c>
      <c r="D89" s="1431">
        <v>0</v>
      </c>
    </row>
    <row r="90" spans="1:4">
      <c r="A90" s="1426" t="s">
        <v>394</v>
      </c>
      <c r="B90" s="1426" t="s">
        <v>405</v>
      </c>
      <c r="C90" s="1426" t="s">
        <v>702</v>
      </c>
      <c r="D90" s="1431">
        <v>0</v>
      </c>
    </row>
    <row r="91" spans="1:4">
      <c r="A91" s="1426" t="s">
        <v>395</v>
      </c>
      <c r="B91" s="1426" t="s">
        <v>404</v>
      </c>
      <c r="C91" s="1426" t="s">
        <v>712</v>
      </c>
      <c r="D91" s="1427">
        <v>9900</v>
      </c>
    </row>
    <row r="92" spans="1:4">
      <c r="A92" s="1426" t="s">
        <v>395</v>
      </c>
      <c r="B92" s="1426" t="s">
        <v>404</v>
      </c>
      <c r="C92" s="1426" t="s">
        <v>711</v>
      </c>
      <c r="D92" s="1427">
        <v>14600</v>
      </c>
    </row>
    <row r="93" spans="1:4">
      <c r="A93" s="1426" t="s">
        <v>395</v>
      </c>
      <c r="B93" s="1426" t="s">
        <v>404</v>
      </c>
      <c r="C93" s="1426" t="s">
        <v>710</v>
      </c>
      <c r="D93" s="1427">
        <v>12900</v>
      </c>
    </row>
    <row r="94" spans="1:4">
      <c r="A94" s="1426" t="s">
        <v>395</v>
      </c>
      <c r="B94" s="1426" t="s">
        <v>404</v>
      </c>
      <c r="C94" s="1426" t="s">
        <v>709</v>
      </c>
      <c r="D94" s="1427">
        <v>19000</v>
      </c>
    </row>
    <row r="95" spans="1:4">
      <c r="A95" s="1426" t="s">
        <v>395</v>
      </c>
      <c r="B95" s="1426" t="s">
        <v>404</v>
      </c>
      <c r="C95" s="1426" t="s">
        <v>708</v>
      </c>
      <c r="D95" s="1427">
        <v>16300</v>
      </c>
    </row>
    <row r="96" spans="1:4">
      <c r="A96" s="1426" t="s">
        <v>395</v>
      </c>
      <c r="B96" s="1426" t="s">
        <v>404</v>
      </c>
      <c r="C96" s="1426" t="s">
        <v>707</v>
      </c>
      <c r="D96" s="1427">
        <v>16700</v>
      </c>
    </row>
    <row r="97" spans="1:4">
      <c r="A97" s="1426" t="s">
        <v>395</v>
      </c>
      <c r="B97" s="1426" t="s">
        <v>404</v>
      </c>
      <c r="C97" s="1426" t="s">
        <v>706</v>
      </c>
      <c r="D97" s="1427">
        <v>15800</v>
      </c>
    </row>
    <row r="98" spans="1:4">
      <c r="A98" s="1426" t="s">
        <v>395</v>
      </c>
      <c r="B98" s="1426" t="s">
        <v>404</v>
      </c>
      <c r="C98" s="1426" t="s">
        <v>705</v>
      </c>
      <c r="D98" s="1427">
        <v>18600</v>
      </c>
    </row>
    <row r="99" spans="1:4">
      <c r="A99" s="1426" t="s">
        <v>395</v>
      </c>
      <c r="B99" s="1426" t="s">
        <v>404</v>
      </c>
      <c r="C99" s="1426" t="s">
        <v>704</v>
      </c>
      <c r="D99" s="1427">
        <v>24900</v>
      </c>
    </row>
    <row r="100" spans="1:4">
      <c r="A100" s="1426" t="s">
        <v>395</v>
      </c>
      <c r="B100" s="1426" t="s">
        <v>404</v>
      </c>
      <c r="C100" s="1426" t="s">
        <v>703</v>
      </c>
      <c r="D100" s="1427">
        <v>22700</v>
      </c>
    </row>
    <row r="101" spans="1:4">
      <c r="A101" s="1426" t="s">
        <v>395</v>
      </c>
      <c r="B101" s="1426" t="s">
        <v>404</v>
      </c>
      <c r="C101" s="1426" t="s">
        <v>702</v>
      </c>
      <c r="D101" s="1427">
        <v>18800</v>
      </c>
    </row>
    <row r="102" spans="1:4">
      <c r="A102" s="1426" t="s">
        <v>395</v>
      </c>
      <c r="B102" s="1426" t="s">
        <v>407</v>
      </c>
      <c r="C102" s="1426" t="s">
        <v>712</v>
      </c>
      <c r="D102" s="1427">
        <v>29800</v>
      </c>
    </row>
    <row r="103" spans="1:4">
      <c r="A103" s="1426" t="s">
        <v>395</v>
      </c>
      <c r="B103" s="1426" t="s">
        <v>407</v>
      </c>
      <c r="C103" s="1426" t="s">
        <v>711</v>
      </c>
      <c r="D103" s="1427">
        <v>23500</v>
      </c>
    </row>
    <row r="104" spans="1:4">
      <c r="A104" s="1426" t="s">
        <v>395</v>
      </c>
      <c r="B104" s="1426" t="s">
        <v>407</v>
      </c>
      <c r="C104" s="1426" t="s">
        <v>710</v>
      </c>
      <c r="D104" s="1427">
        <v>24300</v>
      </c>
    </row>
    <row r="105" spans="1:4">
      <c r="A105" s="1426" t="s">
        <v>395</v>
      </c>
      <c r="B105" s="1426" t="s">
        <v>407</v>
      </c>
      <c r="C105" s="1426" t="s">
        <v>709</v>
      </c>
      <c r="D105" s="1427">
        <v>35800</v>
      </c>
    </row>
    <row r="106" spans="1:4">
      <c r="A106" s="1426" t="s">
        <v>395</v>
      </c>
      <c r="B106" s="1426" t="s">
        <v>407</v>
      </c>
      <c r="C106" s="1426" t="s">
        <v>708</v>
      </c>
      <c r="D106" s="1427">
        <v>41800</v>
      </c>
    </row>
    <row r="107" spans="1:4">
      <c r="A107" s="1426" t="s">
        <v>395</v>
      </c>
      <c r="B107" s="1426" t="s">
        <v>407</v>
      </c>
      <c r="C107" s="1426" t="s">
        <v>707</v>
      </c>
      <c r="D107" s="1427">
        <v>49500</v>
      </c>
    </row>
    <row r="108" spans="1:4">
      <c r="A108" s="1426" t="s">
        <v>395</v>
      </c>
      <c r="B108" s="1426" t="s">
        <v>407</v>
      </c>
      <c r="C108" s="1426" t="s">
        <v>706</v>
      </c>
      <c r="D108" s="1427">
        <v>36100</v>
      </c>
    </row>
    <row r="109" spans="1:4">
      <c r="A109" s="1426" t="s">
        <v>395</v>
      </c>
      <c r="B109" s="1426" t="s">
        <v>407</v>
      </c>
      <c r="C109" s="1426" t="s">
        <v>705</v>
      </c>
      <c r="D109" s="1427">
        <v>34800</v>
      </c>
    </row>
    <row r="110" spans="1:4">
      <c r="A110" s="1426" t="s">
        <v>395</v>
      </c>
      <c r="B110" s="1426" t="s">
        <v>407</v>
      </c>
      <c r="C110" s="1426" t="s">
        <v>704</v>
      </c>
      <c r="D110" s="1427">
        <v>45100</v>
      </c>
    </row>
    <row r="111" spans="1:4">
      <c r="A111" s="1426" t="s">
        <v>395</v>
      </c>
      <c r="B111" s="1426" t="s">
        <v>407</v>
      </c>
      <c r="C111" s="1426" t="s">
        <v>703</v>
      </c>
      <c r="D111" s="1427">
        <v>49100</v>
      </c>
    </row>
    <row r="112" spans="1:4">
      <c r="A112" s="1426" t="s">
        <v>395</v>
      </c>
      <c r="B112" s="1426" t="s">
        <v>407</v>
      </c>
      <c r="C112" s="1426" t="s">
        <v>702</v>
      </c>
      <c r="D112" s="1427">
        <v>47200</v>
      </c>
    </row>
    <row r="113" spans="1:4">
      <c r="A113" s="1426" t="s">
        <v>395</v>
      </c>
      <c r="B113" s="1426" t="s">
        <v>406</v>
      </c>
      <c r="C113" s="1426" t="s">
        <v>712</v>
      </c>
      <c r="D113" s="1427">
        <v>76300</v>
      </c>
    </row>
    <row r="114" spans="1:4">
      <c r="A114" s="1426" t="s">
        <v>395</v>
      </c>
      <c r="B114" s="1426" t="s">
        <v>406</v>
      </c>
      <c r="C114" s="1426" t="s">
        <v>711</v>
      </c>
      <c r="D114" s="1427">
        <v>81700</v>
      </c>
    </row>
    <row r="115" spans="1:4">
      <c r="A115" s="1426" t="s">
        <v>395</v>
      </c>
      <c r="B115" s="1426" t="s">
        <v>406</v>
      </c>
      <c r="C115" s="1426" t="s">
        <v>710</v>
      </c>
      <c r="D115" s="1427">
        <v>80800</v>
      </c>
    </row>
    <row r="116" spans="1:4">
      <c r="A116" s="1426" t="s">
        <v>395</v>
      </c>
      <c r="B116" s="1426" t="s">
        <v>406</v>
      </c>
      <c r="C116" s="1426" t="s">
        <v>709</v>
      </c>
      <c r="D116" s="1427">
        <v>78500</v>
      </c>
    </row>
    <row r="117" spans="1:4">
      <c r="A117" s="1426" t="s">
        <v>395</v>
      </c>
      <c r="B117" s="1426" t="s">
        <v>406</v>
      </c>
      <c r="C117" s="1426" t="s">
        <v>708</v>
      </c>
      <c r="D117" s="1427">
        <v>63400</v>
      </c>
    </row>
    <row r="118" spans="1:4">
      <c r="A118" s="1426" t="s">
        <v>395</v>
      </c>
      <c r="B118" s="1426" t="s">
        <v>406</v>
      </c>
      <c r="C118" s="1426" t="s">
        <v>707</v>
      </c>
      <c r="D118" s="1427">
        <v>57100</v>
      </c>
    </row>
    <row r="119" spans="1:4">
      <c r="A119" s="1426" t="s">
        <v>395</v>
      </c>
      <c r="B119" s="1426" t="s">
        <v>406</v>
      </c>
      <c r="C119" s="1426" t="s">
        <v>706</v>
      </c>
      <c r="D119" s="1427">
        <v>50300</v>
      </c>
    </row>
    <row r="120" spans="1:4">
      <c r="A120" s="1426" t="s">
        <v>395</v>
      </c>
      <c r="B120" s="1426" t="s">
        <v>406</v>
      </c>
      <c r="C120" s="1426" t="s">
        <v>705</v>
      </c>
      <c r="D120" s="1427">
        <v>31600</v>
      </c>
    </row>
    <row r="121" spans="1:4">
      <c r="A121" s="1426" t="s">
        <v>395</v>
      </c>
      <c r="B121" s="1426" t="s">
        <v>406</v>
      </c>
      <c r="C121" s="1426" t="s">
        <v>704</v>
      </c>
      <c r="D121" s="1427">
        <v>29300</v>
      </c>
    </row>
    <row r="122" spans="1:4">
      <c r="A122" s="1426" t="s">
        <v>395</v>
      </c>
      <c r="B122" s="1426" t="s">
        <v>406</v>
      </c>
      <c r="C122" s="1426" t="s">
        <v>703</v>
      </c>
      <c r="D122" s="1431">
        <v>0</v>
      </c>
    </row>
    <row r="123" spans="1:4">
      <c r="A123" s="1426" t="s">
        <v>395</v>
      </c>
      <c r="B123" s="1426" t="s">
        <v>406</v>
      </c>
      <c r="C123" s="1426" t="s">
        <v>702</v>
      </c>
      <c r="D123" s="1431">
        <v>0</v>
      </c>
    </row>
    <row r="124" spans="1:4">
      <c r="A124" s="1426" t="s">
        <v>395</v>
      </c>
      <c r="B124" s="1426" t="s">
        <v>405</v>
      </c>
      <c r="C124" s="1426" t="s">
        <v>712</v>
      </c>
      <c r="D124" s="1427">
        <v>4800</v>
      </c>
    </row>
    <row r="125" spans="1:4">
      <c r="A125" s="1426" t="s">
        <v>395</v>
      </c>
      <c r="B125" s="1426" t="s">
        <v>405</v>
      </c>
      <c r="C125" s="1426" t="s">
        <v>711</v>
      </c>
      <c r="D125" s="1427">
        <v>5500</v>
      </c>
    </row>
    <row r="126" spans="1:4">
      <c r="A126" s="1426" t="s">
        <v>395</v>
      </c>
      <c r="B126" s="1426" t="s">
        <v>405</v>
      </c>
      <c r="C126" s="1426" t="s">
        <v>710</v>
      </c>
      <c r="D126" s="1427">
        <v>3800</v>
      </c>
    </row>
    <row r="127" spans="1:4">
      <c r="A127" s="1426" t="s">
        <v>395</v>
      </c>
      <c r="B127" s="1426" t="s">
        <v>405</v>
      </c>
      <c r="C127" s="1426" t="s">
        <v>709</v>
      </c>
      <c r="D127" s="1427">
        <v>7100</v>
      </c>
    </row>
    <row r="128" spans="1:4">
      <c r="A128" s="1426" t="s">
        <v>395</v>
      </c>
      <c r="B128" s="1426" t="s">
        <v>405</v>
      </c>
      <c r="C128" s="1426" t="s">
        <v>708</v>
      </c>
      <c r="D128" s="1427">
        <v>6000</v>
      </c>
    </row>
    <row r="129" spans="1:4">
      <c r="A129" s="1426" t="s">
        <v>395</v>
      </c>
      <c r="B129" s="1426" t="s">
        <v>405</v>
      </c>
      <c r="C129" s="1426" t="s">
        <v>707</v>
      </c>
      <c r="D129" s="1427">
        <v>2300</v>
      </c>
    </row>
    <row r="130" spans="1:4">
      <c r="A130" s="1426" t="s">
        <v>395</v>
      </c>
      <c r="B130" s="1426" t="s">
        <v>405</v>
      </c>
      <c r="C130" s="1426" t="s">
        <v>706</v>
      </c>
      <c r="D130" s="1431">
        <v>0</v>
      </c>
    </row>
    <row r="131" spans="1:4">
      <c r="A131" s="1426" t="s">
        <v>395</v>
      </c>
      <c r="B131" s="1426" t="s">
        <v>405</v>
      </c>
      <c r="C131" s="1426" t="s">
        <v>705</v>
      </c>
      <c r="D131" s="1431">
        <v>0</v>
      </c>
    </row>
    <row r="132" spans="1:4">
      <c r="A132" s="1426" t="s">
        <v>395</v>
      </c>
      <c r="B132" s="1426" t="s">
        <v>405</v>
      </c>
      <c r="C132" s="1426" t="s">
        <v>704</v>
      </c>
      <c r="D132" s="1431">
        <v>0</v>
      </c>
    </row>
    <row r="133" spans="1:4">
      <c r="A133" s="1426" t="s">
        <v>395</v>
      </c>
      <c r="B133" s="1426" t="s">
        <v>405</v>
      </c>
      <c r="C133" s="1426" t="s">
        <v>703</v>
      </c>
      <c r="D133" s="1427">
        <v>1200</v>
      </c>
    </row>
    <row r="134" spans="1:4">
      <c r="A134" s="1426" t="s">
        <v>395</v>
      </c>
      <c r="B134" s="1426" t="s">
        <v>405</v>
      </c>
      <c r="C134" s="1426" t="s">
        <v>702</v>
      </c>
      <c r="D134" s="1431">
        <v>0</v>
      </c>
    </row>
    <row r="135" spans="1:4">
      <c r="A135" s="1426" t="s">
        <v>397</v>
      </c>
      <c r="B135" s="1426" t="s">
        <v>404</v>
      </c>
      <c r="C135" s="1426" t="s">
        <v>712</v>
      </c>
      <c r="D135" s="1431">
        <v>0</v>
      </c>
    </row>
    <row r="136" spans="1:4">
      <c r="A136" s="1426" t="s">
        <v>397</v>
      </c>
      <c r="B136" s="1426" t="s">
        <v>404</v>
      </c>
      <c r="C136" s="1426" t="s">
        <v>711</v>
      </c>
      <c r="D136" s="1431">
        <v>0</v>
      </c>
    </row>
    <row r="137" spans="1:4">
      <c r="A137" s="1426" t="s">
        <v>397</v>
      </c>
      <c r="B137" s="1426" t="s">
        <v>404</v>
      </c>
      <c r="C137" s="1426" t="s">
        <v>710</v>
      </c>
      <c r="D137" s="1431">
        <v>0</v>
      </c>
    </row>
    <row r="138" spans="1:4">
      <c r="A138" s="1426" t="s">
        <v>397</v>
      </c>
      <c r="B138" s="1426" t="s">
        <v>404</v>
      </c>
      <c r="C138" s="1426" t="s">
        <v>709</v>
      </c>
      <c r="D138" s="1431">
        <v>0</v>
      </c>
    </row>
    <row r="139" spans="1:4">
      <c r="A139" s="1426" t="s">
        <v>397</v>
      </c>
      <c r="B139" s="1426" t="s">
        <v>404</v>
      </c>
      <c r="C139" s="1426" t="s">
        <v>708</v>
      </c>
      <c r="D139" s="1431">
        <v>0</v>
      </c>
    </row>
    <row r="140" spans="1:4">
      <c r="A140" s="1426" t="s">
        <v>397</v>
      </c>
      <c r="B140" s="1426" t="s">
        <v>404</v>
      </c>
      <c r="C140" s="1426" t="s">
        <v>707</v>
      </c>
      <c r="D140" s="1431">
        <v>0</v>
      </c>
    </row>
    <row r="141" spans="1:4">
      <c r="A141" s="1426" t="s">
        <v>397</v>
      </c>
      <c r="B141" s="1426" t="s">
        <v>404</v>
      </c>
      <c r="C141" s="1426" t="s">
        <v>706</v>
      </c>
      <c r="D141" s="1431">
        <v>0</v>
      </c>
    </row>
    <row r="142" spans="1:4">
      <c r="A142" s="1426" t="s">
        <v>397</v>
      </c>
      <c r="B142" s="1426" t="s">
        <v>404</v>
      </c>
      <c r="C142" s="1426" t="s">
        <v>705</v>
      </c>
      <c r="D142" s="1431">
        <v>0</v>
      </c>
    </row>
    <row r="143" spans="1:4">
      <c r="A143" s="1426" t="s">
        <v>397</v>
      </c>
      <c r="B143" s="1426" t="s">
        <v>404</v>
      </c>
      <c r="C143" s="1426" t="s">
        <v>704</v>
      </c>
      <c r="D143" s="1431">
        <v>0</v>
      </c>
    </row>
    <row r="144" spans="1:4">
      <c r="A144" s="1426" t="s">
        <v>397</v>
      </c>
      <c r="B144" s="1426" t="s">
        <v>404</v>
      </c>
      <c r="C144" s="1426" t="s">
        <v>703</v>
      </c>
      <c r="D144" s="1431">
        <v>0</v>
      </c>
    </row>
    <row r="145" spans="1:4">
      <c r="A145" s="1426" t="s">
        <v>397</v>
      </c>
      <c r="B145" s="1426" t="s">
        <v>404</v>
      </c>
      <c r="C145" s="1426" t="s">
        <v>702</v>
      </c>
      <c r="D145" s="1431">
        <v>0</v>
      </c>
    </row>
    <row r="146" spans="1:4">
      <c r="A146" s="1426" t="s">
        <v>397</v>
      </c>
      <c r="B146" s="1426" t="s">
        <v>407</v>
      </c>
      <c r="C146" s="1426" t="s">
        <v>712</v>
      </c>
      <c r="D146" s="1431">
        <v>0</v>
      </c>
    </row>
    <row r="147" spans="1:4">
      <c r="A147" s="1426" t="s">
        <v>397</v>
      </c>
      <c r="B147" s="1426" t="s">
        <v>407</v>
      </c>
      <c r="C147" s="1426" t="s">
        <v>711</v>
      </c>
      <c r="D147" s="1431">
        <v>0</v>
      </c>
    </row>
    <row r="148" spans="1:4">
      <c r="A148" s="1426" t="s">
        <v>397</v>
      </c>
      <c r="B148" s="1426" t="s">
        <v>407</v>
      </c>
      <c r="C148" s="1426" t="s">
        <v>710</v>
      </c>
      <c r="D148" s="1431">
        <v>0</v>
      </c>
    </row>
    <row r="149" spans="1:4">
      <c r="A149" s="1426" t="s">
        <v>397</v>
      </c>
      <c r="B149" s="1426" t="s">
        <v>407</v>
      </c>
      <c r="C149" s="1426" t="s">
        <v>709</v>
      </c>
      <c r="D149" s="1431">
        <v>0</v>
      </c>
    </row>
    <row r="150" spans="1:4">
      <c r="A150" s="1426" t="s">
        <v>397</v>
      </c>
      <c r="B150" s="1426" t="s">
        <v>407</v>
      </c>
      <c r="C150" s="1426" t="s">
        <v>708</v>
      </c>
      <c r="D150" s="1431">
        <v>0</v>
      </c>
    </row>
    <row r="151" spans="1:4">
      <c r="A151" s="1426" t="s">
        <v>397</v>
      </c>
      <c r="B151" s="1426" t="s">
        <v>407</v>
      </c>
      <c r="C151" s="1426" t="s">
        <v>707</v>
      </c>
      <c r="D151" s="1431">
        <v>0</v>
      </c>
    </row>
    <row r="152" spans="1:4">
      <c r="A152" s="1426" t="s">
        <v>397</v>
      </c>
      <c r="B152" s="1426" t="s">
        <v>407</v>
      </c>
      <c r="C152" s="1426" t="s">
        <v>706</v>
      </c>
      <c r="D152" s="1431">
        <v>0</v>
      </c>
    </row>
    <row r="153" spans="1:4">
      <c r="A153" s="1426" t="s">
        <v>397</v>
      </c>
      <c r="B153" s="1426" t="s">
        <v>407</v>
      </c>
      <c r="C153" s="1426" t="s">
        <v>705</v>
      </c>
      <c r="D153" s="1431">
        <v>0</v>
      </c>
    </row>
    <row r="154" spans="1:4">
      <c r="A154" s="1426" t="s">
        <v>397</v>
      </c>
      <c r="B154" s="1426" t="s">
        <v>407</v>
      </c>
      <c r="C154" s="1426" t="s">
        <v>704</v>
      </c>
      <c r="D154" s="1431">
        <v>0</v>
      </c>
    </row>
    <row r="155" spans="1:4">
      <c r="A155" s="1426" t="s">
        <v>397</v>
      </c>
      <c r="B155" s="1426" t="s">
        <v>407</v>
      </c>
      <c r="C155" s="1426" t="s">
        <v>703</v>
      </c>
      <c r="D155" s="1431">
        <v>0</v>
      </c>
    </row>
    <row r="156" spans="1:4">
      <c r="A156" s="1426" t="s">
        <v>397</v>
      </c>
      <c r="B156" s="1426" t="s">
        <v>407</v>
      </c>
      <c r="C156" s="1426" t="s">
        <v>702</v>
      </c>
      <c r="D156" s="1431">
        <v>0</v>
      </c>
    </row>
    <row r="157" spans="1:4">
      <c r="A157" s="1426" t="s">
        <v>397</v>
      </c>
      <c r="B157" s="1426" t="s">
        <v>406</v>
      </c>
      <c r="C157" s="1426" t="s">
        <v>712</v>
      </c>
      <c r="D157" s="1431">
        <v>0</v>
      </c>
    </row>
    <row r="158" spans="1:4">
      <c r="A158" s="1426" t="s">
        <v>397</v>
      </c>
      <c r="B158" s="1426" t="s">
        <v>406</v>
      </c>
      <c r="C158" s="1426" t="s">
        <v>711</v>
      </c>
      <c r="D158" s="1431">
        <v>0</v>
      </c>
    </row>
    <row r="159" spans="1:4">
      <c r="A159" s="1426" t="s">
        <v>397</v>
      </c>
      <c r="B159" s="1426" t="s">
        <v>406</v>
      </c>
      <c r="C159" s="1426" t="s">
        <v>710</v>
      </c>
      <c r="D159" s="1431">
        <v>0</v>
      </c>
    </row>
    <row r="160" spans="1:4">
      <c r="A160" s="1426" t="s">
        <v>397</v>
      </c>
      <c r="B160" s="1426" t="s">
        <v>406</v>
      </c>
      <c r="C160" s="1426" t="s">
        <v>709</v>
      </c>
      <c r="D160" s="1431">
        <v>0</v>
      </c>
    </row>
    <row r="161" spans="1:4">
      <c r="A161" s="1426" t="s">
        <v>397</v>
      </c>
      <c r="B161" s="1426" t="s">
        <v>406</v>
      </c>
      <c r="C161" s="1426" t="s">
        <v>708</v>
      </c>
      <c r="D161" s="1431">
        <v>0</v>
      </c>
    </row>
    <row r="162" spans="1:4">
      <c r="A162" s="1426" t="s">
        <v>397</v>
      </c>
      <c r="B162" s="1426" t="s">
        <v>406</v>
      </c>
      <c r="C162" s="1426" t="s">
        <v>707</v>
      </c>
      <c r="D162" s="1431">
        <v>0</v>
      </c>
    </row>
    <row r="163" spans="1:4">
      <c r="A163" s="1426" t="s">
        <v>397</v>
      </c>
      <c r="B163" s="1426" t="s">
        <v>406</v>
      </c>
      <c r="C163" s="1426" t="s">
        <v>706</v>
      </c>
      <c r="D163" s="1431">
        <v>0</v>
      </c>
    </row>
    <row r="164" spans="1:4">
      <c r="A164" s="1426" t="s">
        <v>397</v>
      </c>
      <c r="B164" s="1426" t="s">
        <v>406</v>
      </c>
      <c r="C164" s="1426" t="s">
        <v>705</v>
      </c>
      <c r="D164" s="1431">
        <v>0</v>
      </c>
    </row>
    <row r="165" spans="1:4">
      <c r="A165" s="1426" t="s">
        <v>397</v>
      </c>
      <c r="B165" s="1426" t="s">
        <v>406</v>
      </c>
      <c r="C165" s="1426" t="s">
        <v>704</v>
      </c>
      <c r="D165" s="1431">
        <v>0</v>
      </c>
    </row>
    <row r="166" spans="1:4">
      <c r="A166" s="1426" t="s">
        <v>397</v>
      </c>
      <c r="B166" s="1426" t="s">
        <v>406</v>
      </c>
      <c r="C166" s="1426" t="s">
        <v>703</v>
      </c>
      <c r="D166" s="1431">
        <v>0</v>
      </c>
    </row>
    <row r="167" spans="1:4">
      <c r="A167" s="1426" t="s">
        <v>397</v>
      </c>
      <c r="B167" s="1426" t="s">
        <v>406</v>
      </c>
      <c r="C167" s="1426" t="s">
        <v>702</v>
      </c>
      <c r="D167" s="1431">
        <v>0</v>
      </c>
    </row>
    <row r="168" spans="1:4">
      <c r="A168" s="1426" t="s">
        <v>397</v>
      </c>
      <c r="B168" s="1426" t="s">
        <v>405</v>
      </c>
      <c r="C168" s="1426" t="s">
        <v>712</v>
      </c>
      <c r="D168" s="1431">
        <v>0</v>
      </c>
    </row>
    <row r="169" spans="1:4">
      <c r="A169" s="1426" t="s">
        <v>397</v>
      </c>
      <c r="B169" s="1426" t="s">
        <v>405</v>
      </c>
      <c r="C169" s="1426" t="s">
        <v>711</v>
      </c>
      <c r="D169" s="1431">
        <v>0</v>
      </c>
    </row>
    <row r="170" spans="1:4">
      <c r="A170" s="1426" t="s">
        <v>397</v>
      </c>
      <c r="B170" s="1426" t="s">
        <v>405</v>
      </c>
      <c r="C170" s="1426" t="s">
        <v>710</v>
      </c>
      <c r="D170" s="1431">
        <v>0</v>
      </c>
    </row>
    <row r="171" spans="1:4">
      <c r="A171" s="1426" t="s">
        <v>397</v>
      </c>
      <c r="B171" s="1426" t="s">
        <v>405</v>
      </c>
      <c r="C171" s="1426" t="s">
        <v>709</v>
      </c>
      <c r="D171" s="1431">
        <v>0</v>
      </c>
    </row>
    <row r="172" spans="1:4">
      <c r="A172" s="1426" t="s">
        <v>397</v>
      </c>
      <c r="B172" s="1426" t="s">
        <v>405</v>
      </c>
      <c r="C172" s="1426" t="s">
        <v>708</v>
      </c>
      <c r="D172" s="1431">
        <v>0</v>
      </c>
    </row>
    <row r="173" spans="1:4">
      <c r="A173" s="1426" t="s">
        <v>397</v>
      </c>
      <c r="B173" s="1426" t="s">
        <v>405</v>
      </c>
      <c r="C173" s="1426" t="s">
        <v>707</v>
      </c>
      <c r="D173" s="1431">
        <v>0</v>
      </c>
    </row>
    <row r="174" spans="1:4">
      <c r="A174" s="1426" t="s">
        <v>397</v>
      </c>
      <c r="B174" s="1426" t="s">
        <v>405</v>
      </c>
      <c r="C174" s="1426" t="s">
        <v>706</v>
      </c>
      <c r="D174" s="1431">
        <v>0</v>
      </c>
    </row>
    <row r="175" spans="1:4">
      <c r="A175" s="1426" t="s">
        <v>397</v>
      </c>
      <c r="B175" s="1426" t="s">
        <v>405</v>
      </c>
      <c r="C175" s="1426" t="s">
        <v>705</v>
      </c>
      <c r="D175" s="1431">
        <v>0</v>
      </c>
    </row>
    <row r="176" spans="1:4">
      <c r="A176" s="1426" t="s">
        <v>397</v>
      </c>
      <c r="B176" s="1426" t="s">
        <v>405</v>
      </c>
      <c r="C176" s="1426" t="s">
        <v>704</v>
      </c>
      <c r="D176" s="1431">
        <v>0</v>
      </c>
    </row>
    <row r="177" spans="1:4">
      <c r="A177" s="1426" t="s">
        <v>397</v>
      </c>
      <c r="B177" s="1426" t="s">
        <v>405</v>
      </c>
      <c r="C177" s="1426" t="s">
        <v>703</v>
      </c>
      <c r="D177" s="1431">
        <v>0</v>
      </c>
    </row>
    <row r="178" spans="1:4">
      <c r="A178" s="1426" t="s">
        <v>397</v>
      </c>
      <c r="B178" s="1426" t="s">
        <v>405</v>
      </c>
      <c r="C178" s="1426" t="s">
        <v>702</v>
      </c>
      <c r="D178" s="1431">
        <v>0</v>
      </c>
    </row>
    <row r="179" spans="1:4">
      <c r="A179" s="1426" t="s">
        <v>398</v>
      </c>
      <c r="B179" s="1426" t="s">
        <v>404</v>
      </c>
      <c r="C179" s="1426" t="s">
        <v>712</v>
      </c>
      <c r="D179" s="1427">
        <v>1200</v>
      </c>
    </row>
    <row r="180" spans="1:4">
      <c r="A180" s="1426" t="s">
        <v>398</v>
      </c>
      <c r="B180" s="1426" t="s">
        <v>404</v>
      </c>
      <c r="C180" s="1426" t="s">
        <v>711</v>
      </c>
      <c r="D180" s="1427">
        <v>1300</v>
      </c>
    </row>
    <row r="181" spans="1:4">
      <c r="A181" s="1426" t="s">
        <v>398</v>
      </c>
      <c r="B181" s="1426" t="s">
        <v>404</v>
      </c>
      <c r="C181" s="1426" t="s">
        <v>710</v>
      </c>
      <c r="D181" s="1431">
        <v>300</v>
      </c>
    </row>
    <row r="182" spans="1:4">
      <c r="A182" s="1426" t="s">
        <v>398</v>
      </c>
      <c r="B182" s="1426" t="s">
        <v>404</v>
      </c>
      <c r="C182" s="1426" t="s">
        <v>709</v>
      </c>
      <c r="D182" s="1431">
        <v>800</v>
      </c>
    </row>
    <row r="183" spans="1:4">
      <c r="A183" s="1426" t="s">
        <v>398</v>
      </c>
      <c r="B183" s="1426" t="s">
        <v>404</v>
      </c>
      <c r="C183" s="1426" t="s">
        <v>708</v>
      </c>
      <c r="D183" s="1427">
        <v>1100</v>
      </c>
    </row>
    <row r="184" spans="1:4">
      <c r="A184" s="1426" t="s">
        <v>398</v>
      </c>
      <c r="B184" s="1426" t="s">
        <v>404</v>
      </c>
      <c r="C184" s="1426" t="s">
        <v>707</v>
      </c>
      <c r="D184" s="1427">
        <v>1700</v>
      </c>
    </row>
    <row r="185" spans="1:4">
      <c r="A185" s="1426" t="s">
        <v>398</v>
      </c>
      <c r="B185" s="1426" t="s">
        <v>404</v>
      </c>
      <c r="C185" s="1426" t="s">
        <v>706</v>
      </c>
      <c r="D185" s="1431">
        <v>800</v>
      </c>
    </row>
    <row r="186" spans="1:4">
      <c r="A186" s="1426" t="s">
        <v>398</v>
      </c>
      <c r="B186" s="1426" t="s">
        <v>404</v>
      </c>
      <c r="C186" s="1426" t="s">
        <v>705</v>
      </c>
      <c r="D186" s="1431">
        <v>300</v>
      </c>
    </row>
    <row r="187" spans="1:4">
      <c r="A187" s="1426" t="s">
        <v>398</v>
      </c>
      <c r="B187" s="1426" t="s">
        <v>404</v>
      </c>
      <c r="C187" s="1426" t="s">
        <v>704</v>
      </c>
      <c r="D187" s="1431">
        <v>600</v>
      </c>
    </row>
    <row r="188" spans="1:4">
      <c r="A188" s="1426" t="s">
        <v>398</v>
      </c>
      <c r="B188" s="1426" t="s">
        <v>404</v>
      </c>
      <c r="C188" s="1426" t="s">
        <v>703</v>
      </c>
      <c r="D188" s="1431">
        <v>900</v>
      </c>
    </row>
    <row r="189" spans="1:4">
      <c r="A189" s="1426" t="s">
        <v>398</v>
      </c>
      <c r="B189" s="1426" t="s">
        <v>404</v>
      </c>
      <c r="C189" s="1426" t="s">
        <v>702</v>
      </c>
      <c r="D189" s="1427">
        <v>1600</v>
      </c>
    </row>
    <row r="190" spans="1:4">
      <c r="A190" s="1426" t="s">
        <v>398</v>
      </c>
      <c r="B190" s="1426" t="s">
        <v>407</v>
      </c>
      <c r="C190" s="1426" t="s">
        <v>712</v>
      </c>
      <c r="D190" s="1427">
        <v>38300</v>
      </c>
    </row>
    <row r="191" spans="1:4">
      <c r="A191" s="1426" t="s">
        <v>398</v>
      </c>
      <c r="B191" s="1426" t="s">
        <v>407</v>
      </c>
      <c r="C191" s="1426" t="s">
        <v>711</v>
      </c>
      <c r="D191" s="1427">
        <v>35400</v>
      </c>
    </row>
    <row r="192" spans="1:4">
      <c r="A192" s="1426" t="s">
        <v>398</v>
      </c>
      <c r="B192" s="1426" t="s">
        <v>407</v>
      </c>
      <c r="C192" s="1426" t="s">
        <v>710</v>
      </c>
      <c r="D192" s="1427">
        <v>23400</v>
      </c>
    </row>
    <row r="193" spans="1:4">
      <c r="A193" s="1426" t="s">
        <v>398</v>
      </c>
      <c r="B193" s="1426" t="s">
        <v>407</v>
      </c>
      <c r="C193" s="1426" t="s">
        <v>709</v>
      </c>
      <c r="D193" s="1427">
        <v>24400</v>
      </c>
    </row>
    <row r="194" spans="1:4">
      <c r="A194" s="1426" t="s">
        <v>398</v>
      </c>
      <c r="B194" s="1426" t="s">
        <v>407</v>
      </c>
      <c r="C194" s="1426" t="s">
        <v>708</v>
      </c>
      <c r="D194" s="1427">
        <v>22200</v>
      </c>
    </row>
    <row r="195" spans="1:4">
      <c r="A195" s="1426" t="s">
        <v>398</v>
      </c>
      <c r="B195" s="1426" t="s">
        <v>407</v>
      </c>
      <c r="C195" s="1426" t="s">
        <v>707</v>
      </c>
      <c r="D195" s="1427">
        <v>26500</v>
      </c>
    </row>
    <row r="196" spans="1:4">
      <c r="A196" s="1426" t="s">
        <v>398</v>
      </c>
      <c r="B196" s="1426" t="s">
        <v>407</v>
      </c>
      <c r="C196" s="1426" t="s">
        <v>706</v>
      </c>
      <c r="D196" s="1427">
        <v>22300</v>
      </c>
    </row>
    <row r="197" spans="1:4">
      <c r="A197" s="1426" t="s">
        <v>398</v>
      </c>
      <c r="B197" s="1426" t="s">
        <v>407</v>
      </c>
      <c r="C197" s="1426" t="s">
        <v>705</v>
      </c>
      <c r="D197" s="1427">
        <v>15400</v>
      </c>
    </row>
    <row r="198" spans="1:4">
      <c r="A198" s="1426" t="s">
        <v>398</v>
      </c>
      <c r="B198" s="1426" t="s">
        <v>407</v>
      </c>
      <c r="C198" s="1426" t="s">
        <v>704</v>
      </c>
      <c r="D198" s="1427">
        <v>23700</v>
      </c>
    </row>
    <row r="199" spans="1:4">
      <c r="A199" s="1426" t="s">
        <v>398</v>
      </c>
      <c r="B199" s="1426" t="s">
        <v>407</v>
      </c>
      <c r="C199" s="1426" t="s">
        <v>703</v>
      </c>
      <c r="D199" s="1427">
        <v>22500</v>
      </c>
    </row>
    <row r="200" spans="1:4">
      <c r="A200" s="1426" t="s">
        <v>398</v>
      </c>
      <c r="B200" s="1426" t="s">
        <v>407</v>
      </c>
      <c r="C200" s="1426" t="s">
        <v>702</v>
      </c>
      <c r="D200" s="1427">
        <v>18400</v>
      </c>
    </row>
    <row r="201" spans="1:4">
      <c r="A201" s="1426" t="s">
        <v>398</v>
      </c>
      <c r="B201" s="1426" t="s">
        <v>406</v>
      </c>
      <c r="C201" s="1426" t="s">
        <v>712</v>
      </c>
      <c r="D201" s="1427">
        <v>7000</v>
      </c>
    </row>
    <row r="202" spans="1:4">
      <c r="A202" s="1426" t="s">
        <v>398</v>
      </c>
      <c r="B202" s="1426" t="s">
        <v>406</v>
      </c>
      <c r="C202" s="1426" t="s">
        <v>711</v>
      </c>
      <c r="D202" s="1427">
        <v>4100</v>
      </c>
    </row>
    <row r="203" spans="1:4">
      <c r="A203" s="1426" t="s">
        <v>398</v>
      </c>
      <c r="B203" s="1426" t="s">
        <v>406</v>
      </c>
      <c r="C203" s="1426" t="s">
        <v>710</v>
      </c>
      <c r="D203" s="1427">
        <v>5200</v>
      </c>
    </row>
    <row r="204" spans="1:4">
      <c r="A204" s="1426" t="s">
        <v>398</v>
      </c>
      <c r="B204" s="1426" t="s">
        <v>406</v>
      </c>
      <c r="C204" s="1426" t="s">
        <v>709</v>
      </c>
      <c r="D204" s="1427">
        <v>4000</v>
      </c>
    </row>
    <row r="205" spans="1:4">
      <c r="A205" s="1426" t="s">
        <v>398</v>
      </c>
      <c r="B205" s="1426" t="s">
        <v>406</v>
      </c>
      <c r="C205" s="1426" t="s">
        <v>708</v>
      </c>
      <c r="D205" s="1427">
        <v>2000</v>
      </c>
    </row>
    <row r="206" spans="1:4">
      <c r="A206" s="1426" t="s">
        <v>398</v>
      </c>
      <c r="B206" s="1426" t="s">
        <v>406</v>
      </c>
      <c r="C206" s="1426" t="s">
        <v>707</v>
      </c>
      <c r="D206" s="1431">
        <v>900</v>
      </c>
    </row>
    <row r="207" spans="1:4">
      <c r="A207" s="1426" t="s">
        <v>398</v>
      </c>
      <c r="B207" s="1426" t="s">
        <v>406</v>
      </c>
      <c r="C207" s="1426" t="s">
        <v>706</v>
      </c>
      <c r="D207" s="1427">
        <v>1000</v>
      </c>
    </row>
    <row r="208" spans="1:4">
      <c r="A208" s="1426" t="s">
        <v>398</v>
      </c>
      <c r="B208" s="1426" t="s">
        <v>406</v>
      </c>
      <c r="C208" s="1426" t="s">
        <v>705</v>
      </c>
      <c r="D208" s="1431">
        <v>700</v>
      </c>
    </row>
    <row r="209" spans="1:4">
      <c r="A209" s="1426" t="s">
        <v>398</v>
      </c>
      <c r="B209" s="1426" t="s">
        <v>406</v>
      </c>
      <c r="C209" s="1426" t="s">
        <v>704</v>
      </c>
      <c r="D209" s="1431">
        <v>900</v>
      </c>
    </row>
    <row r="210" spans="1:4">
      <c r="A210" s="1426" t="s">
        <v>398</v>
      </c>
      <c r="B210" s="1426" t="s">
        <v>406</v>
      </c>
      <c r="C210" s="1426" t="s">
        <v>703</v>
      </c>
      <c r="D210" s="1427">
        <v>1000</v>
      </c>
    </row>
    <row r="211" spans="1:4">
      <c r="A211" s="1426" t="s">
        <v>398</v>
      </c>
      <c r="B211" s="1426" t="s">
        <v>406</v>
      </c>
      <c r="C211" s="1426" t="s">
        <v>702</v>
      </c>
      <c r="D211" s="1431">
        <v>0</v>
      </c>
    </row>
    <row r="212" spans="1:4">
      <c r="A212" s="1426" t="s">
        <v>398</v>
      </c>
      <c r="B212" s="1426" t="s">
        <v>405</v>
      </c>
      <c r="C212" s="1426" t="s">
        <v>712</v>
      </c>
      <c r="D212" s="1427">
        <v>11900</v>
      </c>
    </row>
    <row r="213" spans="1:4">
      <c r="A213" s="1426" t="s">
        <v>398</v>
      </c>
      <c r="B213" s="1426" t="s">
        <v>405</v>
      </c>
      <c r="C213" s="1426" t="s">
        <v>711</v>
      </c>
      <c r="D213" s="1427">
        <v>11400</v>
      </c>
    </row>
    <row r="214" spans="1:4">
      <c r="A214" s="1426" t="s">
        <v>398</v>
      </c>
      <c r="B214" s="1426" t="s">
        <v>405</v>
      </c>
      <c r="C214" s="1426" t="s">
        <v>710</v>
      </c>
      <c r="D214" s="1427">
        <v>8300</v>
      </c>
    </row>
    <row r="215" spans="1:4">
      <c r="A215" s="1426" t="s">
        <v>398</v>
      </c>
      <c r="B215" s="1426" t="s">
        <v>405</v>
      </c>
      <c r="C215" s="1426" t="s">
        <v>709</v>
      </c>
      <c r="D215" s="1427">
        <v>6700</v>
      </c>
    </row>
    <row r="216" spans="1:4">
      <c r="A216" s="1426" t="s">
        <v>398</v>
      </c>
      <c r="B216" s="1426" t="s">
        <v>405</v>
      </c>
      <c r="C216" s="1426" t="s">
        <v>708</v>
      </c>
      <c r="D216" s="1427">
        <v>6000</v>
      </c>
    </row>
    <row r="217" spans="1:4">
      <c r="A217" s="1426" t="s">
        <v>398</v>
      </c>
      <c r="B217" s="1426" t="s">
        <v>405</v>
      </c>
      <c r="C217" s="1426" t="s">
        <v>707</v>
      </c>
      <c r="D217" s="1427">
        <v>7000</v>
      </c>
    </row>
    <row r="218" spans="1:4">
      <c r="A218" s="1426" t="s">
        <v>398</v>
      </c>
      <c r="B218" s="1426" t="s">
        <v>405</v>
      </c>
      <c r="C218" s="1426" t="s">
        <v>706</v>
      </c>
      <c r="D218" s="1427">
        <v>7000</v>
      </c>
    </row>
    <row r="219" spans="1:4">
      <c r="A219" s="1426" t="s">
        <v>398</v>
      </c>
      <c r="B219" s="1426" t="s">
        <v>405</v>
      </c>
      <c r="C219" s="1426" t="s">
        <v>705</v>
      </c>
      <c r="D219" s="1427">
        <v>5700</v>
      </c>
    </row>
    <row r="220" spans="1:4">
      <c r="A220" s="1426" t="s">
        <v>398</v>
      </c>
      <c r="B220" s="1426" t="s">
        <v>405</v>
      </c>
      <c r="C220" s="1426" t="s">
        <v>704</v>
      </c>
      <c r="D220" s="1427">
        <v>15000</v>
      </c>
    </row>
    <row r="221" spans="1:4">
      <c r="A221" s="1426" t="s">
        <v>398</v>
      </c>
      <c r="B221" s="1426" t="s">
        <v>405</v>
      </c>
      <c r="C221" s="1426" t="s">
        <v>703</v>
      </c>
      <c r="D221" s="1427">
        <v>17700</v>
      </c>
    </row>
    <row r="222" spans="1:4">
      <c r="A222" s="1426" t="s">
        <v>398</v>
      </c>
      <c r="B222" s="1426" t="s">
        <v>405</v>
      </c>
      <c r="C222" s="1426" t="s">
        <v>702</v>
      </c>
      <c r="D222" s="1427">
        <v>13700</v>
      </c>
    </row>
    <row r="223" spans="1:4">
      <c r="A223" s="1426" t="s">
        <v>390</v>
      </c>
      <c r="B223" s="1426" t="s">
        <v>404</v>
      </c>
      <c r="C223" s="1426" t="s">
        <v>712</v>
      </c>
      <c r="D223" s="1431">
        <v>0</v>
      </c>
    </row>
    <row r="224" spans="1:4">
      <c r="A224" s="1426" t="s">
        <v>390</v>
      </c>
      <c r="B224" s="1426" t="s">
        <v>404</v>
      </c>
      <c r="C224" s="1426" t="s">
        <v>711</v>
      </c>
      <c r="D224" s="1431">
        <v>0</v>
      </c>
    </row>
    <row r="225" spans="1:4">
      <c r="A225" s="1426" t="s">
        <v>390</v>
      </c>
      <c r="B225" s="1426" t="s">
        <v>404</v>
      </c>
      <c r="C225" s="1426" t="s">
        <v>710</v>
      </c>
      <c r="D225" s="1431">
        <v>0</v>
      </c>
    </row>
    <row r="226" spans="1:4">
      <c r="A226" s="1426" t="s">
        <v>390</v>
      </c>
      <c r="B226" s="1426" t="s">
        <v>404</v>
      </c>
      <c r="C226" s="1426" t="s">
        <v>709</v>
      </c>
      <c r="D226" s="1431">
        <v>0</v>
      </c>
    </row>
    <row r="227" spans="1:4">
      <c r="A227" s="1426" t="s">
        <v>390</v>
      </c>
      <c r="B227" s="1426" t="s">
        <v>404</v>
      </c>
      <c r="C227" s="1426" t="s">
        <v>708</v>
      </c>
      <c r="D227" s="1431">
        <v>0</v>
      </c>
    </row>
    <row r="228" spans="1:4">
      <c r="A228" s="1426" t="s">
        <v>390</v>
      </c>
      <c r="B228" s="1426" t="s">
        <v>404</v>
      </c>
      <c r="C228" s="1426" t="s">
        <v>707</v>
      </c>
      <c r="D228" s="1431">
        <v>0</v>
      </c>
    </row>
    <row r="229" spans="1:4">
      <c r="A229" s="1426" t="s">
        <v>390</v>
      </c>
      <c r="B229" s="1426" t="s">
        <v>404</v>
      </c>
      <c r="C229" s="1426" t="s">
        <v>706</v>
      </c>
      <c r="D229" s="1431">
        <v>0</v>
      </c>
    </row>
    <row r="230" spans="1:4">
      <c r="A230" s="1426" t="s">
        <v>390</v>
      </c>
      <c r="B230" s="1426" t="s">
        <v>404</v>
      </c>
      <c r="C230" s="1426" t="s">
        <v>705</v>
      </c>
      <c r="D230" s="1431">
        <v>0</v>
      </c>
    </row>
    <row r="231" spans="1:4">
      <c r="A231" s="1426" t="s">
        <v>390</v>
      </c>
      <c r="B231" s="1426" t="s">
        <v>404</v>
      </c>
      <c r="C231" s="1426" t="s">
        <v>704</v>
      </c>
      <c r="D231" s="1431">
        <v>0</v>
      </c>
    </row>
    <row r="232" spans="1:4">
      <c r="A232" s="1426" t="s">
        <v>390</v>
      </c>
      <c r="B232" s="1426" t="s">
        <v>404</v>
      </c>
      <c r="C232" s="1426" t="s">
        <v>703</v>
      </c>
      <c r="D232" s="1431">
        <v>0</v>
      </c>
    </row>
    <row r="233" spans="1:4">
      <c r="A233" s="1426" t="s">
        <v>390</v>
      </c>
      <c r="B233" s="1426" t="s">
        <v>404</v>
      </c>
      <c r="C233" s="1426" t="s">
        <v>702</v>
      </c>
      <c r="D233" s="1431">
        <v>0</v>
      </c>
    </row>
    <row r="234" spans="1:4">
      <c r="A234" s="1426" t="s">
        <v>390</v>
      </c>
      <c r="B234" s="1426" t="s">
        <v>407</v>
      </c>
      <c r="C234" s="1426" t="s">
        <v>712</v>
      </c>
      <c r="D234" s="1431">
        <v>0</v>
      </c>
    </row>
    <row r="235" spans="1:4">
      <c r="A235" s="1426" t="s">
        <v>390</v>
      </c>
      <c r="B235" s="1426" t="s">
        <v>407</v>
      </c>
      <c r="C235" s="1426" t="s">
        <v>711</v>
      </c>
      <c r="D235" s="1431">
        <v>0</v>
      </c>
    </row>
    <row r="236" spans="1:4">
      <c r="A236" s="1426" t="s">
        <v>390</v>
      </c>
      <c r="B236" s="1426" t="s">
        <v>407</v>
      </c>
      <c r="C236" s="1426" t="s">
        <v>710</v>
      </c>
      <c r="D236" s="1431">
        <v>0</v>
      </c>
    </row>
    <row r="237" spans="1:4">
      <c r="A237" s="1426" t="s">
        <v>390</v>
      </c>
      <c r="B237" s="1426" t="s">
        <v>407</v>
      </c>
      <c r="C237" s="1426" t="s">
        <v>709</v>
      </c>
      <c r="D237" s="1431">
        <v>0</v>
      </c>
    </row>
    <row r="238" spans="1:4">
      <c r="A238" s="1426" t="s">
        <v>390</v>
      </c>
      <c r="B238" s="1426" t="s">
        <v>407</v>
      </c>
      <c r="C238" s="1426" t="s">
        <v>708</v>
      </c>
      <c r="D238" s="1431">
        <v>0</v>
      </c>
    </row>
    <row r="239" spans="1:4">
      <c r="A239" s="1426" t="s">
        <v>390</v>
      </c>
      <c r="B239" s="1426" t="s">
        <v>407</v>
      </c>
      <c r="C239" s="1426" t="s">
        <v>707</v>
      </c>
      <c r="D239" s="1431">
        <v>0</v>
      </c>
    </row>
    <row r="240" spans="1:4">
      <c r="A240" s="1426" t="s">
        <v>390</v>
      </c>
      <c r="B240" s="1426" t="s">
        <v>407</v>
      </c>
      <c r="C240" s="1426" t="s">
        <v>706</v>
      </c>
      <c r="D240" s="1431">
        <v>0</v>
      </c>
    </row>
    <row r="241" spans="1:4">
      <c r="A241" s="1426" t="s">
        <v>390</v>
      </c>
      <c r="B241" s="1426" t="s">
        <v>407</v>
      </c>
      <c r="C241" s="1426" t="s">
        <v>705</v>
      </c>
      <c r="D241" s="1431">
        <v>0</v>
      </c>
    </row>
    <row r="242" spans="1:4">
      <c r="A242" s="1426" t="s">
        <v>390</v>
      </c>
      <c r="B242" s="1426" t="s">
        <v>407</v>
      </c>
      <c r="C242" s="1426" t="s">
        <v>704</v>
      </c>
      <c r="D242" s="1431">
        <v>0</v>
      </c>
    </row>
    <row r="243" spans="1:4">
      <c r="A243" s="1426" t="s">
        <v>390</v>
      </c>
      <c r="B243" s="1426" t="s">
        <v>407</v>
      </c>
      <c r="C243" s="1426" t="s">
        <v>703</v>
      </c>
      <c r="D243" s="1431">
        <v>0</v>
      </c>
    </row>
    <row r="244" spans="1:4">
      <c r="A244" s="1426" t="s">
        <v>390</v>
      </c>
      <c r="B244" s="1426" t="s">
        <v>407</v>
      </c>
      <c r="C244" s="1426" t="s">
        <v>702</v>
      </c>
      <c r="D244" s="1431">
        <v>0</v>
      </c>
    </row>
    <row r="245" spans="1:4">
      <c r="A245" s="1426" t="s">
        <v>390</v>
      </c>
      <c r="B245" s="1426" t="s">
        <v>406</v>
      </c>
      <c r="C245" s="1426" t="s">
        <v>712</v>
      </c>
      <c r="D245" s="1431">
        <v>0</v>
      </c>
    </row>
    <row r="246" spans="1:4">
      <c r="A246" s="1426" t="s">
        <v>390</v>
      </c>
      <c r="B246" s="1426" t="s">
        <v>406</v>
      </c>
      <c r="C246" s="1426" t="s">
        <v>711</v>
      </c>
      <c r="D246" s="1431">
        <v>0</v>
      </c>
    </row>
    <row r="247" spans="1:4">
      <c r="A247" s="1426" t="s">
        <v>390</v>
      </c>
      <c r="B247" s="1426" t="s">
        <v>406</v>
      </c>
      <c r="C247" s="1426" t="s">
        <v>710</v>
      </c>
      <c r="D247" s="1431">
        <v>0</v>
      </c>
    </row>
    <row r="248" spans="1:4">
      <c r="A248" s="1426" t="s">
        <v>390</v>
      </c>
      <c r="B248" s="1426" t="s">
        <v>406</v>
      </c>
      <c r="C248" s="1426" t="s">
        <v>709</v>
      </c>
      <c r="D248" s="1431">
        <v>0</v>
      </c>
    </row>
    <row r="249" spans="1:4">
      <c r="A249" s="1426" t="s">
        <v>390</v>
      </c>
      <c r="B249" s="1426" t="s">
        <v>406</v>
      </c>
      <c r="C249" s="1426" t="s">
        <v>708</v>
      </c>
      <c r="D249" s="1431">
        <v>0</v>
      </c>
    </row>
    <row r="250" spans="1:4">
      <c r="A250" s="1426" t="s">
        <v>390</v>
      </c>
      <c r="B250" s="1426" t="s">
        <v>406</v>
      </c>
      <c r="C250" s="1426" t="s">
        <v>707</v>
      </c>
      <c r="D250" s="1431">
        <v>0</v>
      </c>
    </row>
    <row r="251" spans="1:4">
      <c r="A251" s="1426" t="s">
        <v>390</v>
      </c>
      <c r="B251" s="1426" t="s">
        <v>406</v>
      </c>
      <c r="C251" s="1426" t="s">
        <v>706</v>
      </c>
      <c r="D251" s="1431">
        <v>0</v>
      </c>
    </row>
    <row r="252" spans="1:4">
      <c r="A252" s="1426" t="s">
        <v>390</v>
      </c>
      <c r="B252" s="1426" t="s">
        <v>406</v>
      </c>
      <c r="C252" s="1426" t="s">
        <v>705</v>
      </c>
      <c r="D252" s="1431">
        <v>0</v>
      </c>
    </row>
    <row r="253" spans="1:4">
      <c r="A253" s="1426" t="s">
        <v>390</v>
      </c>
      <c r="B253" s="1426" t="s">
        <v>406</v>
      </c>
      <c r="C253" s="1426" t="s">
        <v>704</v>
      </c>
      <c r="D253" s="1431">
        <v>0</v>
      </c>
    </row>
    <row r="254" spans="1:4">
      <c r="A254" s="1426" t="s">
        <v>390</v>
      </c>
      <c r="B254" s="1426" t="s">
        <v>406</v>
      </c>
      <c r="C254" s="1426" t="s">
        <v>703</v>
      </c>
      <c r="D254" s="1431">
        <v>0</v>
      </c>
    </row>
    <row r="255" spans="1:4">
      <c r="A255" s="1426" t="s">
        <v>390</v>
      </c>
      <c r="B255" s="1426" t="s">
        <v>406</v>
      </c>
      <c r="C255" s="1426" t="s">
        <v>702</v>
      </c>
      <c r="D255" s="1431">
        <v>0</v>
      </c>
    </row>
    <row r="256" spans="1:4">
      <c r="A256" s="1426" t="s">
        <v>390</v>
      </c>
      <c r="B256" s="1426" t="s">
        <v>405</v>
      </c>
      <c r="C256" s="1426" t="s">
        <v>712</v>
      </c>
      <c r="D256" s="1431">
        <v>0</v>
      </c>
    </row>
    <row r="257" spans="1:4">
      <c r="A257" s="1426" t="s">
        <v>390</v>
      </c>
      <c r="B257" s="1426" t="s">
        <v>405</v>
      </c>
      <c r="C257" s="1426" t="s">
        <v>711</v>
      </c>
      <c r="D257" s="1431">
        <v>0</v>
      </c>
    </row>
    <row r="258" spans="1:4">
      <c r="A258" s="1426" t="s">
        <v>390</v>
      </c>
      <c r="B258" s="1426" t="s">
        <v>405</v>
      </c>
      <c r="C258" s="1426" t="s">
        <v>710</v>
      </c>
      <c r="D258" s="1431">
        <v>0</v>
      </c>
    </row>
    <row r="259" spans="1:4">
      <c r="A259" s="1426" t="s">
        <v>390</v>
      </c>
      <c r="B259" s="1426" t="s">
        <v>405</v>
      </c>
      <c r="C259" s="1426" t="s">
        <v>709</v>
      </c>
      <c r="D259" s="1431">
        <v>0</v>
      </c>
    </row>
    <row r="260" spans="1:4">
      <c r="A260" s="1426" t="s">
        <v>390</v>
      </c>
      <c r="B260" s="1426" t="s">
        <v>405</v>
      </c>
      <c r="C260" s="1426" t="s">
        <v>708</v>
      </c>
      <c r="D260" s="1431">
        <v>0</v>
      </c>
    </row>
    <row r="261" spans="1:4">
      <c r="A261" s="1426" t="s">
        <v>390</v>
      </c>
      <c r="B261" s="1426" t="s">
        <v>405</v>
      </c>
      <c r="C261" s="1426" t="s">
        <v>707</v>
      </c>
      <c r="D261" s="1431">
        <v>0</v>
      </c>
    </row>
    <row r="262" spans="1:4">
      <c r="A262" s="1426" t="s">
        <v>390</v>
      </c>
      <c r="B262" s="1426" t="s">
        <v>405</v>
      </c>
      <c r="C262" s="1426" t="s">
        <v>706</v>
      </c>
      <c r="D262" s="1431">
        <v>0</v>
      </c>
    </row>
    <row r="263" spans="1:4">
      <c r="A263" s="1426" t="s">
        <v>390</v>
      </c>
      <c r="B263" s="1426" t="s">
        <v>405</v>
      </c>
      <c r="C263" s="1426" t="s">
        <v>705</v>
      </c>
      <c r="D263" s="1431">
        <v>0</v>
      </c>
    </row>
    <row r="264" spans="1:4">
      <c r="A264" s="1426" t="s">
        <v>390</v>
      </c>
      <c r="B264" s="1426" t="s">
        <v>405</v>
      </c>
      <c r="C264" s="1426" t="s">
        <v>704</v>
      </c>
      <c r="D264" s="1431">
        <v>0</v>
      </c>
    </row>
    <row r="265" spans="1:4">
      <c r="A265" s="1426" t="s">
        <v>390</v>
      </c>
      <c r="B265" s="1426" t="s">
        <v>405</v>
      </c>
      <c r="C265" s="1426" t="s">
        <v>703</v>
      </c>
      <c r="D265" s="1431">
        <v>0</v>
      </c>
    </row>
    <row r="266" spans="1:4">
      <c r="A266" s="1426" t="s">
        <v>390</v>
      </c>
      <c r="B266" s="1426" t="s">
        <v>405</v>
      </c>
      <c r="C266" s="1426" t="s">
        <v>702</v>
      </c>
      <c r="D266" s="1431">
        <v>0</v>
      </c>
    </row>
    <row r="267" spans="1:4">
      <c r="A267" s="1426" t="s">
        <v>388</v>
      </c>
      <c r="B267" s="1426" t="s">
        <v>404</v>
      </c>
      <c r="C267" s="1426" t="s">
        <v>712</v>
      </c>
      <c r="D267" s="1431">
        <v>0</v>
      </c>
    </row>
    <row r="268" spans="1:4">
      <c r="A268" s="1426" t="s">
        <v>388</v>
      </c>
      <c r="B268" s="1426" t="s">
        <v>404</v>
      </c>
      <c r="C268" s="1426" t="s">
        <v>711</v>
      </c>
      <c r="D268" s="1431">
        <v>0</v>
      </c>
    </row>
    <row r="269" spans="1:4">
      <c r="A269" s="1426" t="s">
        <v>388</v>
      </c>
      <c r="B269" s="1426" t="s">
        <v>404</v>
      </c>
      <c r="C269" s="1426" t="s">
        <v>710</v>
      </c>
      <c r="D269" s="1431">
        <v>0</v>
      </c>
    </row>
    <row r="270" spans="1:4">
      <c r="A270" s="1426" t="s">
        <v>388</v>
      </c>
      <c r="B270" s="1426" t="s">
        <v>404</v>
      </c>
      <c r="C270" s="1426" t="s">
        <v>709</v>
      </c>
      <c r="D270" s="1431">
        <v>0</v>
      </c>
    </row>
    <row r="271" spans="1:4">
      <c r="A271" s="1426" t="s">
        <v>388</v>
      </c>
      <c r="B271" s="1426" t="s">
        <v>404</v>
      </c>
      <c r="C271" s="1426" t="s">
        <v>708</v>
      </c>
      <c r="D271" s="1431">
        <v>0</v>
      </c>
    </row>
    <row r="272" spans="1:4">
      <c r="A272" s="1426" t="s">
        <v>388</v>
      </c>
      <c r="B272" s="1426" t="s">
        <v>404</v>
      </c>
      <c r="C272" s="1426" t="s">
        <v>707</v>
      </c>
      <c r="D272" s="1431">
        <v>0</v>
      </c>
    </row>
    <row r="273" spans="1:4">
      <c r="A273" s="1426" t="s">
        <v>388</v>
      </c>
      <c r="B273" s="1426" t="s">
        <v>404</v>
      </c>
      <c r="C273" s="1426" t="s">
        <v>706</v>
      </c>
      <c r="D273" s="1431">
        <v>0</v>
      </c>
    </row>
    <row r="274" spans="1:4">
      <c r="A274" s="1426" t="s">
        <v>388</v>
      </c>
      <c r="B274" s="1426" t="s">
        <v>404</v>
      </c>
      <c r="C274" s="1426" t="s">
        <v>705</v>
      </c>
      <c r="D274" s="1431">
        <v>0</v>
      </c>
    </row>
    <row r="275" spans="1:4">
      <c r="A275" s="1426" t="s">
        <v>388</v>
      </c>
      <c r="B275" s="1426" t="s">
        <v>404</v>
      </c>
      <c r="C275" s="1426" t="s">
        <v>704</v>
      </c>
      <c r="D275" s="1431">
        <v>0</v>
      </c>
    </row>
    <row r="276" spans="1:4">
      <c r="A276" s="1426" t="s">
        <v>388</v>
      </c>
      <c r="B276" s="1426" t="s">
        <v>404</v>
      </c>
      <c r="C276" s="1426" t="s">
        <v>703</v>
      </c>
      <c r="D276" s="1431">
        <v>0</v>
      </c>
    </row>
    <row r="277" spans="1:4">
      <c r="A277" s="1426" t="s">
        <v>388</v>
      </c>
      <c r="B277" s="1426" t="s">
        <v>404</v>
      </c>
      <c r="C277" s="1426" t="s">
        <v>702</v>
      </c>
      <c r="D277" s="1431">
        <v>0</v>
      </c>
    </row>
    <row r="278" spans="1:4">
      <c r="A278" s="1426" t="s">
        <v>388</v>
      </c>
      <c r="B278" s="1426" t="s">
        <v>407</v>
      </c>
      <c r="C278" s="1426" t="s">
        <v>712</v>
      </c>
      <c r="D278" s="1431">
        <v>0</v>
      </c>
    </row>
    <row r="279" spans="1:4">
      <c r="A279" s="1426" t="s">
        <v>388</v>
      </c>
      <c r="B279" s="1426" t="s">
        <v>407</v>
      </c>
      <c r="C279" s="1426" t="s">
        <v>711</v>
      </c>
      <c r="D279" s="1431">
        <v>0</v>
      </c>
    </row>
    <row r="280" spans="1:4">
      <c r="A280" s="1426" t="s">
        <v>388</v>
      </c>
      <c r="B280" s="1426" t="s">
        <v>407</v>
      </c>
      <c r="C280" s="1426" t="s">
        <v>710</v>
      </c>
      <c r="D280" s="1431">
        <v>0</v>
      </c>
    </row>
    <row r="281" spans="1:4">
      <c r="A281" s="1426" t="s">
        <v>388</v>
      </c>
      <c r="B281" s="1426" t="s">
        <v>407</v>
      </c>
      <c r="C281" s="1426" t="s">
        <v>709</v>
      </c>
      <c r="D281" s="1431">
        <v>0</v>
      </c>
    </row>
    <row r="282" spans="1:4">
      <c r="A282" s="1426" t="s">
        <v>388</v>
      </c>
      <c r="B282" s="1426" t="s">
        <v>407</v>
      </c>
      <c r="C282" s="1426" t="s">
        <v>708</v>
      </c>
      <c r="D282" s="1431">
        <v>0</v>
      </c>
    </row>
    <row r="283" spans="1:4">
      <c r="A283" s="1426" t="s">
        <v>388</v>
      </c>
      <c r="B283" s="1426" t="s">
        <v>407</v>
      </c>
      <c r="C283" s="1426" t="s">
        <v>707</v>
      </c>
      <c r="D283" s="1431">
        <v>0</v>
      </c>
    </row>
    <row r="284" spans="1:4">
      <c r="A284" s="1426" t="s">
        <v>388</v>
      </c>
      <c r="B284" s="1426" t="s">
        <v>407</v>
      </c>
      <c r="C284" s="1426" t="s">
        <v>706</v>
      </c>
      <c r="D284" s="1431">
        <v>0</v>
      </c>
    </row>
    <row r="285" spans="1:4">
      <c r="A285" s="1426" t="s">
        <v>388</v>
      </c>
      <c r="B285" s="1426" t="s">
        <v>407</v>
      </c>
      <c r="C285" s="1426" t="s">
        <v>705</v>
      </c>
      <c r="D285" s="1431">
        <v>0</v>
      </c>
    </row>
    <row r="286" spans="1:4">
      <c r="A286" s="1426" t="s">
        <v>388</v>
      </c>
      <c r="B286" s="1426" t="s">
        <v>407</v>
      </c>
      <c r="C286" s="1426" t="s">
        <v>704</v>
      </c>
      <c r="D286" s="1431">
        <v>0</v>
      </c>
    </row>
    <row r="287" spans="1:4">
      <c r="A287" s="1426" t="s">
        <v>388</v>
      </c>
      <c r="B287" s="1426" t="s">
        <v>407</v>
      </c>
      <c r="C287" s="1426" t="s">
        <v>703</v>
      </c>
      <c r="D287" s="1431">
        <v>0</v>
      </c>
    </row>
    <row r="288" spans="1:4">
      <c r="A288" s="1426" t="s">
        <v>388</v>
      </c>
      <c r="B288" s="1426" t="s">
        <v>407</v>
      </c>
      <c r="C288" s="1426" t="s">
        <v>702</v>
      </c>
      <c r="D288" s="1431">
        <v>0</v>
      </c>
    </row>
    <row r="289" spans="1:4">
      <c r="A289" s="1426" t="s">
        <v>388</v>
      </c>
      <c r="B289" s="1426" t="s">
        <v>406</v>
      </c>
      <c r="C289" s="1426" t="s">
        <v>712</v>
      </c>
      <c r="D289" s="1431">
        <v>0</v>
      </c>
    </row>
    <row r="290" spans="1:4">
      <c r="A290" s="1426" t="s">
        <v>388</v>
      </c>
      <c r="B290" s="1426" t="s">
        <v>406</v>
      </c>
      <c r="C290" s="1426" t="s">
        <v>711</v>
      </c>
      <c r="D290" s="1431">
        <v>0</v>
      </c>
    </row>
    <row r="291" spans="1:4">
      <c r="A291" s="1426" t="s">
        <v>388</v>
      </c>
      <c r="B291" s="1426" t="s">
        <v>406</v>
      </c>
      <c r="C291" s="1426" t="s">
        <v>710</v>
      </c>
      <c r="D291" s="1431">
        <v>0</v>
      </c>
    </row>
    <row r="292" spans="1:4">
      <c r="A292" s="1426" t="s">
        <v>388</v>
      </c>
      <c r="B292" s="1426" t="s">
        <v>406</v>
      </c>
      <c r="C292" s="1426" t="s">
        <v>709</v>
      </c>
      <c r="D292" s="1431">
        <v>0</v>
      </c>
    </row>
    <row r="293" spans="1:4">
      <c r="A293" s="1426" t="s">
        <v>388</v>
      </c>
      <c r="B293" s="1426" t="s">
        <v>406</v>
      </c>
      <c r="C293" s="1426" t="s">
        <v>708</v>
      </c>
      <c r="D293" s="1431">
        <v>0</v>
      </c>
    </row>
    <row r="294" spans="1:4">
      <c r="A294" s="1426" t="s">
        <v>388</v>
      </c>
      <c r="B294" s="1426" t="s">
        <v>406</v>
      </c>
      <c r="C294" s="1426" t="s">
        <v>707</v>
      </c>
      <c r="D294" s="1431">
        <v>0</v>
      </c>
    </row>
    <row r="295" spans="1:4">
      <c r="A295" s="1426" t="s">
        <v>388</v>
      </c>
      <c r="B295" s="1426" t="s">
        <v>406</v>
      </c>
      <c r="C295" s="1426" t="s">
        <v>706</v>
      </c>
      <c r="D295" s="1431">
        <v>0</v>
      </c>
    </row>
    <row r="296" spans="1:4">
      <c r="A296" s="1426" t="s">
        <v>388</v>
      </c>
      <c r="B296" s="1426" t="s">
        <v>406</v>
      </c>
      <c r="C296" s="1426" t="s">
        <v>705</v>
      </c>
      <c r="D296" s="1431">
        <v>0</v>
      </c>
    </row>
    <row r="297" spans="1:4">
      <c r="A297" s="1426" t="s">
        <v>388</v>
      </c>
      <c r="B297" s="1426" t="s">
        <v>406</v>
      </c>
      <c r="C297" s="1426" t="s">
        <v>704</v>
      </c>
      <c r="D297" s="1431">
        <v>0</v>
      </c>
    </row>
    <row r="298" spans="1:4">
      <c r="A298" s="1426" t="s">
        <v>388</v>
      </c>
      <c r="B298" s="1426" t="s">
        <v>406</v>
      </c>
      <c r="C298" s="1426" t="s">
        <v>703</v>
      </c>
      <c r="D298" s="1431">
        <v>0</v>
      </c>
    </row>
    <row r="299" spans="1:4">
      <c r="A299" s="1426" t="s">
        <v>388</v>
      </c>
      <c r="B299" s="1426" t="s">
        <v>406</v>
      </c>
      <c r="C299" s="1426" t="s">
        <v>702</v>
      </c>
      <c r="D299" s="1431">
        <v>0</v>
      </c>
    </row>
    <row r="300" spans="1:4">
      <c r="A300" s="1426" t="s">
        <v>388</v>
      </c>
      <c r="B300" s="1426" t="s">
        <v>405</v>
      </c>
      <c r="C300" s="1426" t="s">
        <v>712</v>
      </c>
      <c r="D300" s="1431">
        <v>0</v>
      </c>
    </row>
    <row r="301" spans="1:4">
      <c r="A301" s="1426" t="s">
        <v>388</v>
      </c>
      <c r="B301" s="1426" t="s">
        <v>405</v>
      </c>
      <c r="C301" s="1426" t="s">
        <v>711</v>
      </c>
      <c r="D301" s="1431">
        <v>0</v>
      </c>
    </row>
    <row r="302" spans="1:4">
      <c r="A302" s="1426" t="s">
        <v>388</v>
      </c>
      <c r="B302" s="1426" t="s">
        <v>405</v>
      </c>
      <c r="C302" s="1426" t="s">
        <v>710</v>
      </c>
      <c r="D302" s="1431">
        <v>0</v>
      </c>
    </row>
    <row r="303" spans="1:4">
      <c r="A303" s="1426" t="s">
        <v>388</v>
      </c>
      <c r="B303" s="1426" t="s">
        <v>405</v>
      </c>
      <c r="C303" s="1426" t="s">
        <v>709</v>
      </c>
      <c r="D303" s="1431">
        <v>0</v>
      </c>
    </row>
    <row r="304" spans="1:4">
      <c r="A304" s="1426" t="s">
        <v>388</v>
      </c>
      <c r="B304" s="1426" t="s">
        <v>405</v>
      </c>
      <c r="C304" s="1426" t="s">
        <v>708</v>
      </c>
      <c r="D304" s="1431">
        <v>0</v>
      </c>
    </row>
    <row r="305" spans="1:4">
      <c r="A305" s="1426" t="s">
        <v>388</v>
      </c>
      <c r="B305" s="1426" t="s">
        <v>405</v>
      </c>
      <c r="C305" s="1426" t="s">
        <v>707</v>
      </c>
      <c r="D305" s="1431">
        <v>0</v>
      </c>
    </row>
    <row r="306" spans="1:4">
      <c r="A306" s="1426" t="s">
        <v>388</v>
      </c>
      <c r="B306" s="1426" t="s">
        <v>405</v>
      </c>
      <c r="C306" s="1426" t="s">
        <v>706</v>
      </c>
      <c r="D306" s="1431">
        <v>0</v>
      </c>
    </row>
    <row r="307" spans="1:4">
      <c r="A307" s="1426" t="s">
        <v>388</v>
      </c>
      <c r="B307" s="1426" t="s">
        <v>405</v>
      </c>
      <c r="C307" s="1426" t="s">
        <v>705</v>
      </c>
      <c r="D307" s="1431">
        <v>0</v>
      </c>
    </row>
    <row r="308" spans="1:4">
      <c r="A308" s="1426" t="s">
        <v>388</v>
      </c>
      <c r="B308" s="1426" t="s">
        <v>405</v>
      </c>
      <c r="C308" s="1426" t="s">
        <v>704</v>
      </c>
      <c r="D308" s="1431">
        <v>0</v>
      </c>
    </row>
    <row r="309" spans="1:4">
      <c r="A309" s="1426" t="s">
        <v>388</v>
      </c>
      <c r="B309" s="1426" t="s">
        <v>405</v>
      </c>
      <c r="C309" s="1426" t="s">
        <v>703</v>
      </c>
      <c r="D309" s="1431">
        <v>0</v>
      </c>
    </row>
    <row r="310" spans="1:4">
      <c r="A310" s="1426" t="s">
        <v>388</v>
      </c>
      <c r="B310" s="1426" t="s">
        <v>405</v>
      </c>
      <c r="C310" s="1426" t="s">
        <v>702</v>
      </c>
      <c r="D310" s="1431">
        <v>0</v>
      </c>
    </row>
    <row r="311" spans="1:4">
      <c r="A311" s="1426" t="s">
        <v>392</v>
      </c>
      <c r="B311" s="1426" t="s">
        <v>404</v>
      </c>
      <c r="C311" s="1426" t="s">
        <v>712</v>
      </c>
      <c r="D311" s="1427">
        <v>19200</v>
      </c>
    </row>
    <row r="312" spans="1:4">
      <c r="A312" s="1426" t="s">
        <v>392</v>
      </c>
      <c r="B312" s="1426" t="s">
        <v>404</v>
      </c>
      <c r="C312" s="1426" t="s">
        <v>711</v>
      </c>
      <c r="D312" s="1427">
        <v>22500</v>
      </c>
    </row>
    <row r="313" spans="1:4">
      <c r="A313" s="1426" t="s">
        <v>392</v>
      </c>
      <c r="B313" s="1426" t="s">
        <v>404</v>
      </c>
      <c r="C313" s="1426" t="s">
        <v>710</v>
      </c>
      <c r="D313" s="1427">
        <v>8400</v>
      </c>
    </row>
    <row r="314" spans="1:4">
      <c r="A314" s="1426" t="s">
        <v>392</v>
      </c>
      <c r="B314" s="1426" t="s">
        <v>404</v>
      </c>
      <c r="C314" s="1426" t="s">
        <v>709</v>
      </c>
      <c r="D314" s="1427">
        <v>19400</v>
      </c>
    </row>
    <row r="315" spans="1:4">
      <c r="A315" s="1426" t="s">
        <v>392</v>
      </c>
      <c r="B315" s="1426" t="s">
        <v>404</v>
      </c>
      <c r="C315" s="1426" t="s">
        <v>708</v>
      </c>
      <c r="D315" s="1427">
        <v>23000</v>
      </c>
    </row>
    <row r="316" spans="1:4">
      <c r="A316" s="1426" t="s">
        <v>392</v>
      </c>
      <c r="B316" s="1426" t="s">
        <v>404</v>
      </c>
      <c r="C316" s="1426" t="s">
        <v>707</v>
      </c>
      <c r="D316" s="1427">
        <v>22500</v>
      </c>
    </row>
    <row r="317" spans="1:4">
      <c r="A317" s="1426" t="s">
        <v>392</v>
      </c>
      <c r="B317" s="1426" t="s">
        <v>404</v>
      </c>
      <c r="C317" s="1426" t="s">
        <v>706</v>
      </c>
      <c r="D317" s="1427">
        <v>10800</v>
      </c>
    </row>
    <row r="318" spans="1:4">
      <c r="A318" s="1426" t="s">
        <v>392</v>
      </c>
      <c r="B318" s="1426" t="s">
        <v>404</v>
      </c>
      <c r="C318" s="1426" t="s">
        <v>705</v>
      </c>
      <c r="D318" s="1427">
        <v>11300</v>
      </c>
    </row>
    <row r="319" spans="1:4">
      <c r="A319" s="1426" t="s">
        <v>392</v>
      </c>
      <c r="B319" s="1426" t="s">
        <v>404</v>
      </c>
      <c r="C319" s="1426" t="s">
        <v>704</v>
      </c>
      <c r="D319" s="1427">
        <v>16600</v>
      </c>
    </row>
    <row r="320" spans="1:4">
      <c r="A320" s="1426" t="s">
        <v>392</v>
      </c>
      <c r="B320" s="1426" t="s">
        <v>404</v>
      </c>
      <c r="C320" s="1426" t="s">
        <v>703</v>
      </c>
      <c r="D320" s="1427">
        <v>13600</v>
      </c>
    </row>
    <row r="321" spans="1:4">
      <c r="A321" s="1426" t="s">
        <v>392</v>
      </c>
      <c r="B321" s="1426" t="s">
        <v>404</v>
      </c>
      <c r="C321" s="1426" t="s">
        <v>702</v>
      </c>
      <c r="D321" s="1427">
        <v>12200</v>
      </c>
    </row>
    <row r="322" spans="1:4">
      <c r="A322" s="1426" t="s">
        <v>392</v>
      </c>
      <c r="B322" s="1426" t="s">
        <v>407</v>
      </c>
      <c r="C322" s="1426" t="s">
        <v>712</v>
      </c>
      <c r="D322" s="1427">
        <v>12300</v>
      </c>
    </row>
    <row r="323" spans="1:4">
      <c r="A323" s="1426" t="s">
        <v>392</v>
      </c>
      <c r="B323" s="1426" t="s">
        <v>407</v>
      </c>
      <c r="C323" s="1426" t="s">
        <v>711</v>
      </c>
      <c r="D323" s="1427">
        <v>12500</v>
      </c>
    </row>
    <row r="324" spans="1:4">
      <c r="A324" s="1426" t="s">
        <v>392</v>
      </c>
      <c r="B324" s="1426" t="s">
        <v>407</v>
      </c>
      <c r="C324" s="1426" t="s">
        <v>710</v>
      </c>
      <c r="D324" s="1427">
        <v>7800</v>
      </c>
    </row>
    <row r="325" spans="1:4">
      <c r="A325" s="1426" t="s">
        <v>392</v>
      </c>
      <c r="B325" s="1426" t="s">
        <v>407</v>
      </c>
      <c r="C325" s="1426" t="s">
        <v>709</v>
      </c>
      <c r="D325" s="1427">
        <v>16800</v>
      </c>
    </row>
    <row r="326" spans="1:4">
      <c r="A326" s="1426" t="s">
        <v>392</v>
      </c>
      <c r="B326" s="1426" t="s">
        <v>407</v>
      </c>
      <c r="C326" s="1426" t="s">
        <v>708</v>
      </c>
      <c r="D326" s="1427">
        <v>16300</v>
      </c>
    </row>
    <row r="327" spans="1:4">
      <c r="A327" s="1426" t="s">
        <v>392</v>
      </c>
      <c r="B327" s="1426" t="s">
        <v>407</v>
      </c>
      <c r="C327" s="1426" t="s">
        <v>707</v>
      </c>
      <c r="D327" s="1427">
        <v>11700</v>
      </c>
    </row>
    <row r="328" spans="1:4">
      <c r="A328" s="1426" t="s">
        <v>392</v>
      </c>
      <c r="B328" s="1426" t="s">
        <v>407</v>
      </c>
      <c r="C328" s="1426" t="s">
        <v>706</v>
      </c>
      <c r="D328" s="1427">
        <v>5600</v>
      </c>
    </row>
    <row r="329" spans="1:4">
      <c r="A329" s="1426" t="s">
        <v>392</v>
      </c>
      <c r="B329" s="1426" t="s">
        <v>407</v>
      </c>
      <c r="C329" s="1426" t="s">
        <v>705</v>
      </c>
      <c r="D329" s="1427">
        <v>5100</v>
      </c>
    </row>
    <row r="330" spans="1:4">
      <c r="A330" s="1426" t="s">
        <v>392</v>
      </c>
      <c r="B330" s="1426" t="s">
        <v>407</v>
      </c>
      <c r="C330" s="1426" t="s">
        <v>704</v>
      </c>
      <c r="D330" s="1427">
        <v>8300</v>
      </c>
    </row>
    <row r="331" spans="1:4">
      <c r="A331" s="1426" t="s">
        <v>392</v>
      </c>
      <c r="B331" s="1426" t="s">
        <v>407</v>
      </c>
      <c r="C331" s="1426" t="s">
        <v>703</v>
      </c>
      <c r="D331" s="1427">
        <v>8700</v>
      </c>
    </row>
    <row r="332" spans="1:4">
      <c r="A332" s="1426" t="s">
        <v>392</v>
      </c>
      <c r="B332" s="1426" t="s">
        <v>407</v>
      </c>
      <c r="C332" s="1426" t="s">
        <v>702</v>
      </c>
      <c r="D332" s="1427">
        <v>9900</v>
      </c>
    </row>
    <row r="333" spans="1:4">
      <c r="A333" s="1426" t="s">
        <v>392</v>
      </c>
      <c r="B333" s="1426" t="s">
        <v>406</v>
      </c>
      <c r="C333" s="1426" t="s">
        <v>712</v>
      </c>
      <c r="D333" s="1427">
        <v>2600</v>
      </c>
    </row>
    <row r="334" spans="1:4">
      <c r="A334" s="1426" t="s">
        <v>392</v>
      </c>
      <c r="B334" s="1426" t="s">
        <v>406</v>
      </c>
      <c r="C334" s="1426" t="s">
        <v>711</v>
      </c>
      <c r="D334" s="1427">
        <v>2500</v>
      </c>
    </row>
    <row r="335" spans="1:4">
      <c r="A335" s="1426" t="s">
        <v>392</v>
      </c>
      <c r="B335" s="1426" t="s">
        <v>406</v>
      </c>
      <c r="C335" s="1426" t="s">
        <v>710</v>
      </c>
      <c r="D335" s="1427">
        <v>1800</v>
      </c>
    </row>
    <row r="336" spans="1:4">
      <c r="A336" s="1426" t="s">
        <v>392</v>
      </c>
      <c r="B336" s="1426" t="s">
        <v>406</v>
      </c>
      <c r="C336" s="1426" t="s">
        <v>709</v>
      </c>
      <c r="D336" s="1427">
        <v>3500</v>
      </c>
    </row>
    <row r="337" spans="1:4">
      <c r="A337" s="1426" t="s">
        <v>392</v>
      </c>
      <c r="B337" s="1426" t="s">
        <v>406</v>
      </c>
      <c r="C337" s="1426" t="s">
        <v>708</v>
      </c>
      <c r="D337" s="1427">
        <v>4500</v>
      </c>
    </row>
    <row r="338" spans="1:4">
      <c r="A338" s="1426" t="s">
        <v>392</v>
      </c>
      <c r="B338" s="1426" t="s">
        <v>406</v>
      </c>
      <c r="C338" s="1426" t="s">
        <v>707</v>
      </c>
      <c r="D338" s="1427">
        <v>3700</v>
      </c>
    </row>
    <row r="339" spans="1:4">
      <c r="A339" s="1426" t="s">
        <v>392</v>
      </c>
      <c r="B339" s="1426" t="s">
        <v>406</v>
      </c>
      <c r="C339" s="1426" t="s">
        <v>706</v>
      </c>
      <c r="D339" s="1427">
        <v>2400</v>
      </c>
    </row>
    <row r="340" spans="1:4">
      <c r="A340" s="1426" t="s">
        <v>392</v>
      </c>
      <c r="B340" s="1426" t="s">
        <v>406</v>
      </c>
      <c r="C340" s="1426" t="s">
        <v>705</v>
      </c>
      <c r="D340" s="1427">
        <v>1500</v>
      </c>
    </row>
    <row r="341" spans="1:4">
      <c r="A341" s="1426" t="s">
        <v>392</v>
      </c>
      <c r="B341" s="1426" t="s">
        <v>406</v>
      </c>
      <c r="C341" s="1426" t="s">
        <v>704</v>
      </c>
      <c r="D341" s="1427">
        <v>2000</v>
      </c>
    </row>
    <row r="342" spans="1:4">
      <c r="A342" s="1426" t="s">
        <v>392</v>
      </c>
      <c r="B342" s="1426" t="s">
        <v>406</v>
      </c>
      <c r="C342" s="1426" t="s">
        <v>703</v>
      </c>
      <c r="D342" s="1427">
        <v>1000</v>
      </c>
    </row>
    <row r="343" spans="1:4">
      <c r="A343" s="1426" t="s">
        <v>392</v>
      </c>
      <c r="B343" s="1426" t="s">
        <v>406</v>
      </c>
      <c r="C343" s="1426" t="s">
        <v>702</v>
      </c>
      <c r="D343" s="1431">
        <v>0</v>
      </c>
    </row>
    <row r="344" spans="1:4">
      <c r="A344" s="1426" t="s">
        <v>392</v>
      </c>
      <c r="B344" s="1426" t="s">
        <v>405</v>
      </c>
      <c r="C344" s="1426" t="s">
        <v>712</v>
      </c>
      <c r="D344" s="1431">
        <v>0</v>
      </c>
    </row>
    <row r="345" spans="1:4">
      <c r="A345" s="1426" t="s">
        <v>392</v>
      </c>
      <c r="B345" s="1426" t="s">
        <v>405</v>
      </c>
      <c r="C345" s="1426" t="s">
        <v>711</v>
      </c>
      <c r="D345" s="1427">
        <v>1200</v>
      </c>
    </row>
    <row r="346" spans="1:4">
      <c r="A346" s="1426" t="s">
        <v>392</v>
      </c>
      <c r="B346" s="1426" t="s">
        <v>405</v>
      </c>
      <c r="C346" s="1426" t="s">
        <v>710</v>
      </c>
      <c r="D346" s="1431">
        <v>700</v>
      </c>
    </row>
    <row r="347" spans="1:4">
      <c r="A347" s="1426" t="s">
        <v>392</v>
      </c>
      <c r="B347" s="1426" t="s">
        <v>405</v>
      </c>
      <c r="C347" s="1426" t="s">
        <v>709</v>
      </c>
      <c r="D347" s="1427">
        <v>2100</v>
      </c>
    </row>
    <row r="348" spans="1:4">
      <c r="A348" s="1426" t="s">
        <v>392</v>
      </c>
      <c r="B348" s="1426" t="s">
        <v>405</v>
      </c>
      <c r="C348" s="1426" t="s">
        <v>708</v>
      </c>
      <c r="D348" s="1427">
        <v>3600</v>
      </c>
    </row>
    <row r="349" spans="1:4">
      <c r="A349" s="1426" t="s">
        <v>392</v>
      </c>
      <c r="B349" s="1426" t="s">
        <v>405</v>
      </c>
      <c r="C349" s="1426" t="s">
        <v>707</v>
      </c>
      <c r="D349" s="1431">
        <v>900</v>
      </c>
    </row>
    <row r="350" spans="1:4">
      <c r="A350" s="1426" t="s">
        <v>392</v>
      </c>
      <c r="B350" s="1426" t="s">
        <v>405</v>
      </c>
      <c r="C350" s="1426" t="s">
        <v>706</v>
      </c>
      <c r="D350" s="1431">
        <v>0</v>
      </c>
    </row>
    <row r="351" spans="1:4">
      <c r="A351" s="1426" t="s">
        <v>392</v>
      </c>
      <c r="B351" s="1426" t="s">
        <v>405</v>
      </c>
      <c r="C351" s="1426" t="s">
        <v>705</v>
      </c>
      <c r="D351" s="1431">
        <v>0</v>
      </c>
    </row>
    <row r="352" spans="1:4">
      <c r="A352" s="1426" t="s">
        <v>392</v>
      </c>
      <c r="B352" s="1426" t="s">
        <v>405</v>
      </c>
      <c r="C352" s="1426" t="s">
        <v>704</v>
      </c>
      <c r="D352" s="1431">
        <v>0</v>
      </c>
    </row>
    <row r="353" spans="1:4">
      <c r="A353" s="1426" t="s">
        <v>392</v>
      </c>
      <c r="B353" s="1426" t="s">
        <v>405</v>
      </c>
      <c r="C353" s="1426" t="s">
        <v>703</v>
      </c>
      <c r="D353" s="1431">
        <v>0</v>
      </c>
    </row>
    <row r="354" spans="1:4">
      <c r="A354" s="1426" t="s">
        <v>392</v>
      </c>
      <c r="B354" s="1426" t="s">
        <v>405</v>
      </c>
      <c r="C354" s="1426" t="s">
        <v>702</v>
      </c>
      <c r="D354" s="1427">
        <v>1000</v>
      </c>
    </row>
    <row r="355" spans="1:4">
      <c r="A355" s="1426" t="s">
        <v>399</v>
      </c>
      <c r="B355" s="1426" t="s">
        <v>404</v>
      </c>
      <c r="C355" s="1426" t="s">
        <v>712</v>
      </c>
      <c r="D355" s="1427">
        <v>16900</v>
      </c>
    </row>
    <row r="356" spans="1:4">
      <c r="A356" s="1426" t="s">
        <v>399</v>
      </c>
      <c r="B356" s="1426" t="s">
        <v>404</v>
      </c>
      <c r="C356" s="1426" t="s">
        <v>711</v>
      </c>
      <c r="D356" s="1427">
        <v>18700</v>
      </c>
    </row>
    <row r="357" spans="1:4">
      <c r="A357" s="1426" t="s">
        <v>399</v>
      </c>
      <c r="B357" s="1426" t="s">
        <v>404</v>
      </c>
      <c r="C357" s="1426" t="s">
        <v>710</v>
      </c>
      <c r="D357" s="1427">
        <v>9400</v>
      </c>
    </row>
    <row r="358" spans="1:4">
      <c r="A358" s="1426" t="s">
        <v>399</v>
      </c>
      <c r="B358" s="1426" t="s">
        <v>404</v>
      </c>
      <c r="C358" s="1426" t="s">
        <v>709</v>
      </c>
      <c r="D358" s="1427">
        <v>20700</v>
      </c>
    </row>
    <row r="359" spans="1:4">
      <c r="A359" s="1426" t="s">
        <v>399</v>
      </c>
      <c r="B359" s="1426" t="s">
        <v>404</v>
      </c>
      <c r="C359" s="1426" t="s">
        <v>708</v>
      </c>
      <c r="D359" s="1427">
        <v>20400</v>
      </c>
    </row>
    <row r="360" spans="1:4">
      <c r="A360" s="1426" t="s">
        <v>399</v>
      </c>
      <c r="B360" s="1426" t="s">
        <v>404</v>
      </c>
      <c r="C360" s="1426" t="s">
        <v>707</v>
      </c>
      <c r="D360" s="1427">
        <v>23600</v>
      </c>
    </row>
    <row r="361" spans="1:4">
      <c r="A361" s="1426" t="s">
        <v>399</v>
      </c>
      <c r="B361" s="1426" t="s">
        <v>404</v>
      </c>
      <c r="C361" s="1426" t="s">
        <v>706</v>
      </c>
      <c r="D361" s="1427">
        <v>11900</v>
      </c>
    </row>
    <row r="362" spans="1:4">
      <c r="A362" s="1426" t="s">
        <v>399</v>
      </c>
      <c r="B362" s="1426" t="s">
        <v>404</v>
      </c>
      <c r="C362" s="1426" t="s">
        <v>705</v>
      </c>
      <c r="D362" s="1427">
        <v>12600</v>
      </c>
    </row>
    <row r="363" spans="1:4">
      <c r="A363" s="1426" t="s">
        <v>399</v>
      </c>
      <c r="B363" s="1426" t="s">
        <v>404</v>
      </c>
      <c r="C363" s="1426" t="s">
        <v>704</v>
      </c>
      <c r="D363" s="1427">
        <v>13500</v>
      </c>
    </row>
    <row r="364" spans="1:4">
      <c r="A364" s="1426" t="s">
        <v>399</v>
      </c>
      <c r="B364" s="1426" t="s">
        <v>404</v>
      </c>
      <c r="C364" s="1426" t="s">
        <v>703</v>
      </c>
      <c r="D364" s="1427">
        <v>10100</v>
      </c>
    </row>
    <row r="365" spans="1:4">
      <c r="A365" s="1426" t="s">
        <v>399</v>
      </c>
      <c r="B365" s="1426" t="s">
        <v>404</v>
      </c>
      <c r="C365" s="1426" t="s">
        <v>702</v>
      </c>
      <c r="D365" s="1427">
        <v>10100</v>
      </c>
    </row>
    <row r="366" spans="1:4">
      <c r="A366" s="1426" t="s">
        <v>399</v>
      </c>
      <c r="B366" s="1426" t="s">
        <v>407</v>
      </c>
      <c r="C366" s="1426" t="s">
        <v>712</v>
      </c>
      <c r="D366" s="1427">
        <v>109300</v>
      </c>
    </row>
    <row r="367" spans="1:4">
      <c r="A367" s="1426" t="s">
        <v>399</v>
      </c>
      <c r="B367" s="1426" t="s">
        <v>407</v>
      </c>
      <c r="C367" s="1426" t="s">
        <v>711</v>
      </c>
      <c r="D367" s="1427">
        <v>97600</v>
      </c>
    </row>
    <row r="368" spans="1:4">
      <c r="A368" s="1426" t="s">
        <v>399</v>
      </c>
      <c r="B368" s="1426" t="s">
        <v>407</v>
      </c>
      <c r="C368" s="1426" t="s">
        <v>710</v>
      </c>
      <c r="D368" s="1427">
        <v>61700</v>
      </c>
    </row>
    <row r="369" spans="1:4">
      <c r="A369" s="1426" t="s">
        <v>399</v>
      </c>
      <c r="B369" s="1426" t="s">
        <v>407</v>
      </c>
      <c r="C369" s="1426" t="s">
        <v>709</v>
      </c>
      <c r="D369" s="1427">
        <v>75000</v>
      </c>
    </row>
    <row r="370" spans="1:4">
      <c r="A370" s="1426" t="s">
        <v>399</v>
      </c>
      <c r="B370" s="1426" t="s">
        <v>407</v>
      </c>
      <c r="C370" s="1426" t="s">
        <v>708</v>
      </c>
      <c r="D370" s="1427">
        <v>53300</v>
      </c>
    </row>
    <row r="371" spans="1:4">
      <c r="A371" s="1426" t="s">
        <v>399</v>
      </c>
      <c r="B371" s="1426" t="s">
        <v>407</v>
      </c>
      <c r="C371" s="1426" t="s">
        <v>707</v>
      </c>
      <c r="D371" s="1427">
        <v>43700</v>
      </c>
    </row>
    <row r="372" spans="1:4">
      <c r="A372" s="1426" t="s">
        <v>399</v>
      </c>
      <c r="B372" s="1426" t="s">
        <v>407</v>
      </c>
      <c r="C372" s="1426" t="s">
        <v>706</v>
      </c>
      <c r="D372" s="1427">
        <v>36900</v>
      </c>
    </row>
    <row r="373" spans="1:4">
      <c r="A373" s="1426" t="s">
        <v>399</v>
      </c>
      <c r="B373" s="1426" t="s">
        <v>407</v>
      </c>
      <c r="C373" s="1426" t="s">
        <v>705</v>
      </c>
      <c r="D373" s="1427">
        <v>22700</v>
      </c>
    </row>
    <row r="374" spans="1:4">
      <c r="A374" s="1426" t="s">
        <v>399</v>
      </c>
      <c r="B374" s="1426" t="s">
        <v>407</v>
      </c>
      <c r="C374" s="1426" t="s">
        <v>704</v>
      </c>
      <c r="D374" s="1427">
        <v>23500</v>
      </c>
    </row>
    <row r="375" spans="1:4">
      <c r="A375" s="1426" t="s">
        <v>399</v>
      </c>
      <c r="B375" s="1426" t="s">
        <v>407</v>
      </c>
      <c r="C375" s="1426" t="s">
        <v>703</v>
      </c>
      <c r="D375" s="1427">
        <v>17900</v>
      </c>
    </row>
    <row r="376" spans="1:4">
      <c r="A376" s="1426" t="s">
        <v>399</v>
      </c>
      <c r="B376" s="1426" t="s">
        <v>407</v>
      </c>
      <c r="C376" s="1426" t="s">
        <v>702</v>
      </c>
      <c r="D376" s="1427">
        <v>11400</v>
      </c>
    </row>
    <row r="377" spans="1:4">
      <c r="A377" s="1426" t="s">
        <v>399</v>
      </c>
      <c r="B377" s="1426" t="s">
        <v>406</v>
      </c>
      <c r="C377" s="1426" t="s">
        <v>712</v>
      </c>
      <c r="D377" s="1427">
        <v>1500</v>
      </c>
    </row>
    <row r="378" spans="1:4">
      <c r="A378" s="1426" t="s">
        <v>399</v>
      </c>
      <c r="B378" s="1426" t="s">
        <v>406</v>
      </c>
      <c r="C378" s="1426" t="s">
        <v>711</v>
      </c>
      <c r="D378" s="1431">
        <v>0</v>
      </c>
    </row>
    <row r="379" spans="1:4">
      <c r="A379" s="1426" t="s">
        <v>399</v>
      </c>
      <c r="B379" s="1426" t="s">
        <v>406</v>
      </c>
      <c r="C379" s="1426" t="s">
        <v>710</v>
      </c>
      <c r="D379" s="1427">
        <v>1300</v>
      </c>
    </row>
    <row r="380" spans="1:4">
      <c r="A380" s="1426" t="s">
        <v>399</v>
      </c>
      <c r="B380" s="1426" t="s">
        <v>406</v>
      </c>
      <c r="C380" s="1426" t="s">
        <v>709</v>
      </c>
      <c r="D380" s="1427">
        <v>1000</v>
      </c>
    </row>
    <row r="381" spans="1:4">
      <c r="A381" s="1426" t="s">
        <v>399</v>
      </c>
      <c r="B381" s="1426" t="s">
        <v>406</v>
      </c>
      <c r="C381" s="1426" t="s">
        <v>708</v>
      </c>
      <c r="D381" s="1431">
        <v>200</v>
      </c>
    </row>
    <row r="382" spans="1:4">
      <c r="A382" s="1426" t="s">
        <v>399</v>
      </c>
      <c r="B382" s="1426" t="s">
        <v>406</v>
      </c>
      <c r="C382" s="1426" t="s">
        <v>707</v>
      </c>
      <c r="D382" s="1431">
        <v>300</v>
      </c>
    </row>
    <row r="383" spans="1:4">
      <c r="A383" s="1426" t="s">
        <v>399</v>
      </c>
      <c r="B383" s="1426" t="s">
        <v>406</v>
      </c>
      <c r="C383" s="1426" t="s">
        <v>706</v>
      </c>
      <c r="D383" s="1431">
        <v>400</v>
      </c>
    </row>
    <row r="384" spans="1:4">
      <c r="A384" s="1426" t="s">
        <v>399</v>
      </c>
      <c r="B384" s="1426" t="s">
        <v>406</v>
      </c>
      <c r="C384" s="1426" t="s">
        <v>705</v>
      </c>
      <c r="D384" s="1431">
        <v>300</v>
      </c>
    </row>
    <row r="385" spans="1:4">
      <c r="A385" s="1426" t="s">
        <v>399</v>
      </c>
      <c r="B385" s="1426" t="s">
        <v>406</v>
      </c>
      <c r="C385" s="1426" t="s">
        <v>704</v>
      </c>
      <c r="D385" s="1431">
        <v>500</v>
      </c>
    </row>
    <row r="386" spans="1:4">
      <c r="A386" s="1426" t="s">
        <v>399</v>
      </c>
      <c r="B386" s="1426" t="s">
        <v>406</v>
      </c>
      <c r="C386" s="1426" t="s">
        <v>703</v>
      </c>
      <c r="D386" s="1431">
        <v>500</v>
      </c>
    </row>
    <row r="387" spans="1:4">
      <c r="A387" s="1426" t="s">
        <v>399</v>
      </c>
      <c r="B387" s="1426" t="s">
        <v>406</v>
      </c>
      <c r="C387" s="1426" t="s">
        <v>702</v>
      </c>
      <c r="D387" s="1431">
        <v>0</v>
      </c>
    </row>
    <row r="388" spans="1:4">
      <c r="A388" s="1426" t="s">
        <v>399</v>
      </c>
      <c r="B388" s="1426" t="s">
        <v>405</v>
      </c>
      <c r="C388" s="1426" t="s">
        <v>712</v>
      </c>
      <c r="D388" s="1427">
        <v>13500</v>
      </c>
    </row>
    <row r="389" spans="1:4">
      <c r="A389" s="1426" t="s">
        <v>399</v>
      </c>
      <c r="B389" s="1426" t="s">
        <v>405</v>
      </c>
      <c r="C389" s="1426" t="s">
        <v>711</v>
      </c>
      <c r="D389" s="1427">
        <v>12300</v>
      </c>
    </row>
    <row r="390" spans="1:4">
      <c r="A390" s="1426" t="s">
        <v>399</v>
      </c>
      <c r="B390" s="1426" t="s">
        <v>405</v>
      </c>
      <c r="C390" s="1426" t="s">
        <v>710</v>
      </c>
      <c r="D390" s="1427">
        <v>8900</v>
      </c>
    </row>
    <row r="391" spans="1:4">
      <c r="A391" s="1426" t="s">
        <v>399</v>
      </c>
      <c r="B391" s="1426" t="s">
        <v>405</v>
      </c>
      <c r="C391" s="1426" t="s">
        <v>709</v>
      </c>
      <c r="D391" s="1427">
        <v>15100</v>
      </c>
    </row>
    <row r="392" spans="1:4">
      <c r="A392" s="1426" t="s">
        <v>399</v>
      </c>
      <c r="B392" s="1426" t="s">
        <v>405</v>
      </c>
      <c r="C392" s="1426" t="s">
        <v>708</v>
      </c>
      <c r="D392" s="1427">
        <v>13400</v>
      </c>
    </row>
    <row r="393" spans="1:4">
      <c r="A393" s="1426" t="s">
        <v>399</v>
      </c>
      <c r="B393" s="1426" t="s">
        <v>405</v>
      </c>
      <c r="C393" s="1426" t="s">
        <v>707</v>
      </c>
      <c r="D393" s="1427">
        <v>9800</v>
      </c>
    </row>
    <row r="394" spans="1:4">
      <c r="A394" s="1426" t="s">
        <v>399</v>
      </c>
      <c r="B394" s="1426" t="s">
        <v>405</v>
      </c>
      <c r="C394" s="1426" t="s">
        <v>706</v>
      </c>
      <c r="D394" s="1427">
        <v>9300</v>
      </c>
    </row>
    <row r="395" spans="1:4">
      <c r="A395" s="1426" t="s">
        <v>399</v>
      </c>
      <c r="B395" s="1426" t="s">
        <v>405</v>
      </c>
      <c r="C395" s="1426" t="s">
        <v>705</v>
      </c>
      <c r="D395" s="1427">
        <v>8000</v>
      </c>
    </row>
    <row r="396" spans="1:4">
      <c r="A396" s="1426" t="s">
        <v>399</v>
      </c>
      <c r="B396" s="1426" t="s">
        <v>405</v>
      </c>
      <c r="C396" s="1426" t="s">
        <v>704</v>
      </c>
      <c r="D396" s="1427">
        <v>20500</v>
      </c>
    </row>
    <row r="397" spans="1:4">
      <c r="A397" s="1426" t="s">
        <v>399</v>
      </c>
      <c r="B397" s="1426" t="s">
        <v>405</v>
      </c>
      <c r="C397" s="1426" t="s">
        <v>703</v>
      </c>
      <c r="D397" s="1427">
        <v>12900</v>
      </c>
    </row>
    <row r="398" spans="1:4">
      <c r="A398" s="1426" t="s">
        <v>399</v>
      </c>
      <c r="B398" s="1426" t="s">
        <v>405</v>
      </c>
      <c r="C398" s="1426" t="s">
        <v>702</v>
      </c>
      <c r="D398" s="1427">
        <v>9400</v>
      </c>
    </row>
    <row r="399" spans="1:4">
      <c r="A399" s="1426" t="s">
        <v>389</v>
      </c>
      <c r="B399" s="1426" t="s">
        <v>404</v>
      </c>
      <c r="C399" s="1426" t="s">
        <v>712</v>
      </c>
      <c r="D399" s="1427">
        <v>32100</v>
      </c>
    </row>
    <row r="400" spans="1:4">
      <c r="A400" s="1426" t="s">
        <v>389</v>
      </c>
      <c r="B400" s="1426" t="s">
        <v>404</v>
      </c>
      <c r="C400" s="1426" t="s">
        <v>711</v>
      </c>
      <c r="D400" s="1427">
        <v>30100</v>
      </c>
    </row>
    <row r="401" spans="1:4">
      <c r="A401" s="1426" t="s">
        <v>389</v>
      </c>
      <c r="B401" s="1426" t="s">
        <v>404</v>
      </c>
      <c r="C401" s="1426" t="s">
        <v>710</v>
      </c>
      <c r="D401" s="1427">
        <v>25400</v>
      </c>
    </row>
    <row r="402" spans="1:4">
      <c r="A402" s="1426" t="s">
        <v>389</v>
      </c>
      <c r="B402" s="1426" t="s">
        <v>404</v>
      </c>
      <c r="C402" s="1426" t="s">
        <v>709</v>
      </c>
      <c r="D402" s="1427">
        <v>40000</v>
      </c>
    </row>
    <row r="403" spans="1:4">
      <c r="A403" s="1426" t="s">
        <v>389</v>
      </c>
      <c r="B403" s="1426" t="s">
        <v>404</v>
      </c>
      <c r="C403" s="1426" t="s">
        <v>708</v>
      </c>
      <c r="D403" s="1427">
        <v>35100</v>
      </c>
    </row>
    <row r="404" spans="1:4">
      <c r="A404" s="1426" t="s">
        <v>389</v>
      </c>
      <c r="B404" s="1426" t="s">
        <v>404</v>
      </c>
      <c r="C404" s="1426" t="s">
        <v>707</v>
      </c>
      <c r="D404" s="1427">
        <v>28400</v>
      </c>
    </row>
    <row r="405" spans="1:4">
      <c r="A405" s="1426" t="s">
        <v>389</v>
      </c>
      <c r="B405" s="1426" t="s">
        <v>404</v>
      </c>
      <c r="C405" s="1426" t="s">
        <v>706</v>
      </c>
      <c r="D405" s="1427">
        <v>20500</v>
      </c>
    </row>
    <row r="406" spans="1:4">
      <c r="A406" s="1426" t="s">
        <v>389</v>
      </c>
      <c r="B406" s="1426" t="s">
        <v>404</v>
      </c>
      <c r="C406" s="1426" t="s">
        <v>705</v>
      </c>
      <c r="D406" s="1427">
        <v>23400</v>
      </c>
    </row>
    <row r="407" spans="1:4">
      <c r="A407" s="1426" t="s">
        <v>389</v>
      </c>
      <c r="B407" s="1426" t="s">
        <v>404</v>
      </c>
      <c r="C407" s="1426" t="s">
        <v>704</v>
      </c>
      <c r="D407" s="1427">
        <v>29200</v>
      </c>
    </row>
    <row r="408" spans="1:4">
      <c r="A408" s="1426" t="s">
        <v>389</v>
      </c>
      <c r="B408" s="1426" t="s">
        <v>404</v>
      </c>
      <c r="C408" s="1426" t="s">
        <v>703</v>
      </c>
      <c r="D408" s="1427">
        <v>22500</v>
      </c>
    </row>
    <row r="409" spans="1:4">
      <c r="A409" s="1426" t="s">
        <v>389</v>
      </c>
      <c r="B409" s="1426" t="s">
        <v>404</v>
      </c>
      <c r="C409" s="1426" t="s">
        <v>702</v>
      </c>
      <c r="D409" s="1427">
        <v>19200</v>
      </c>
    </row>
    <row r="410" spans="1:4">
      <c r="A410" s="1426" t="s">
        <v>389</v>
      </c>
      <c r="B410" s="1426" t="s">
        <v>407</v>
      </c>
      <c r="C410" s="1426" t="s">
        <v>712</v>
      </c>
      <c r="D410" s="1427">
        <v>35700</v>
      </c>
    </row>
    <row r="411" spans="1:4">
      <c r="A411" s="1426" t="s">
        <v>389</v>
      </c>
      <c r="B411" s="1426" t="s">
        <v>407</v>
      </c>
      <c r="C411" s="1426" t="s">
        <v>711</v>
      </c>
      <c r="D411" s="1427">
        <v>20400</v>
      </c>
    </row>
    <row r="412" spans="1:4">
      <c r="A412" s="1426" t="s">
        <v>389</v>
      </c>
      <c r="B412" s="1426" t="s">
        <v>407</v>
      </c>
      <c r="C412" s="1426" t="s">
        <v>710</v>
      </c>
      <c r="D412" s="1427">
        <v>11900</v>
      </c>
    </row>
    <row r="413" spans="1:4">
      <c r="A413" s="1426" t="s">
        <v>389</v>
      </c>
      <c r="B413" s="1426" t="s">
        <v>407</v>
      </c>
      <c r="C413" s="1426" t="s">
        <v>709</v>
      </c>
      <c r="D413" s="1427">
        <v>11300</v>
      </c>
    </row>
    <row r="414" spans="1:4">
      <c r="A414" s="1426" t="s">
        <v>389</v>
      </c>
      <c r="B414" s="1426" t="s">
        <v>407</v>
      </c>
      <c r="C414" s="1426" t="s">
        <v>708</v>
      </c>
      <c r="D414" s="1427">
        <v>9400</v>
      </c>
    </row>
    <row r="415" spans="1:4">
      <c r="A415" s="1426" t="s">
        <v>389</v>
      </c>
      <c r="B415" s="1426" t="s">
        <v>407</v>
      </c>
      <c r="C415" s="1426" t="s">
        <v>707</v>
      </c>
      <c r="D415" s="1427">
        <v>8400</v>
      </c>
    </row>
    <row r="416" spans="1:4">
      <c r="A416" s="1426" t="s">
        <v>389</v>
      </c>
      <c r="B416" s="1426" t="s">
        <v>407</v>
      </c>
      <c r="C416" s="1426" t="s">
        <v>706</v>
      </c>
      <c r="D416" s="1427">
        <v>7500</v>
      </c>
    </row>
    <row r="417" spans="1:4">
      <c r="A417" s="1426" t="s">
        <v>389</v>
      </c>
      <c r="B417" s="1426" t="s">
        <v>407</v>
      </c>
      <c r="C417" s="1426" t="s">
        <v>705</v>
      </c>
      <c r="D417" s="1427">
        <v>5800</v>
      </c>
    </row>
    <row r="418" spans="1:4">
      <c r="A418" s="1426" t="s">
        <v>389</v>
      </c>
      <c r="B418" s="1426" t="s">
        <v>407</v>
      </c>
      <c r="C418" s="1426" t="s">
        <v>704</v>
      </c>
      <c r="D418" s="1427">
        <v>7500</v>
      </c>
    </row>
    <row r="419" spans="1:4">
      <c r="A419" s="1426" t="s">
        <v>389</v>
      </c>
      <c r="B419" s="1426" t="s">
        <v>407</v>
      </c>
      <c r="C419" s="1426" t="s">
        <v>703</v>
      </c>
      <c r="D419" s="1427">
        <v>10100</v>
      </c>
    </row>
    <row r="420" spans="1:4">
      <c r="A420" s="1426" t="s">
        <v>389</v>
      </c>
      <c r="B420" s="1426" t="s">
        <v>407</v>
      </c>
      <c r="C420" s="1426" t="s">
        <v>702</v>
      </c>
      <c r="D420" s="1427">
        <v>9100</v>
      </c>
    </row>
    <row r="421" spans="1:4">
      <c r="A421" s="1426" t="s">
        <v>389</v>
      </c>
      <c r="B421" s="1426" t="s">
        <v>406</v>
      </c>
      <c r="C421" s="1426" t="s">
        <v>712</v>
      </c>
      <c r="D421" s="1427">
        <v>6300</v>
      </c>
    </row>
    <row r="422" spans="1:4">
      <c r="A422" s="1426" t="s">
        <v>389</v>
      </c>
      <c r="B422" s="1426" t="s">
        <v>406</v>
      </c>
      <c r="C422" s="1426" t="s">
        <v>711</v>
      </c>
      <c r="D422" s="1427">
        <v>5400</v>
      </c>
    </row>
    <row r="423" spans="1:4">
      <c r="A423" s="1426" t="s">
        <v>389</v>
      </c>
      <c r="B423" s="1426" t="s">
        <v>406</v>
      </c>
      <c r="C423" s="1426" t="s">
        <v>710</v>
      </c>
      <c r="D423" s="1427">
        <v>4400</v>
      </c>
    </row>
    <row r="424" spans="1:4">
      <c r="A424" s="1426" t="s">
        <v>389</v>
      </c>
      <c r="B424" s="1426" t="s">
        <v>406</v>
      </c>
      <c r="C424" s="1426" t="s">
        <v>709</v>
      </c>
      <c r="D424" s="1427">
        <v>3300</v>
      </c>
    </row>
    <row r="425" spans="1:4">
      <c r="A425" s="1426" t="s">
        <v>389</v>
      </c>
      <c r="B425" s="1426" t="s">
        <v>406</v>
      </c>
      <c r="C425" s="1426" t="s">
        <v>708</v>
      </c>
      <c r="D425" s="1427">
        <v>2600</v>
      </c>
    </row>
    <row r="426" spans="1:4">
      <c r="A426" s="1426" t="s">
        <v>389</v>
      </c>
      <c r="B426" s="1426" t="s">
        <v>406</v>
      </c>
      <c r="C426" s="1426" t="s">
        <v>707</v>
      </c>
      <c r="D426" s="1427">
        <v>2000</v>
      </c>
    </row>
    <row r="427" spans="1:4">
      <c r="A427" s="1426" t="s">
        <v>389</v>
      </c>
      <c r="B427" s="1426" t="s">
        <v>406</v>
      </c>
      <c r="C427" s="1426" t="s">
        <v>706</v>
      </c>
      <c r="D427" s="1427">
        <v>1500</v>
      </c>
    </row>
    <row r="428" spans="1:4">
      <c r="A428" s="1426" t="s">
        <v>389</v>
      </c>
      <c r="B428" s="1426" t="s">
        <v>406</v>
      </c>
      <c r="C428" s="1426" t="s">
        <v>705</v>
      </c>
      <c r="D428" s="1427">
        <v>1300</v>
      </c>
    </row>
    <row r="429" spans="1:4">
      <c r="A429" s="1426" t="s">
        <v>389</v>
      </c>
      <c r="B429" s="1426" t="s">
        <v>406</v>
      </c>
      <c r="C429" s="1426" t="s">
        <v>704</v>
      </c>
      <c r="D429" s="1427">
        <v>1400</v>
      </c>
    </row>
    <row r="430" spans="1:4">
      <c r="A430" s="1426" t="s">
        <v>389</v>
      </c>
      <c r="B430" s="1426" t="s">
        <v>406</v>
      </c>
      <c r="C430" s="1426" t="s">
        <v>703</v>
      </c>
      <c r="D430" s="1431">
        <v>0</v>
      </c>
    </row>
    <row r="431" spans="1:4">
      <c r="A431" s="1426" t="s">
        <v>389</v>
      </c>
      <c r="B431" s="1426" t="s">
        <v>406</v>
      </c>
      <c r="C431" s="1426" t="s">
        <v>702</v>
      </c>
      <c r="D431" s="1431">
        <v>0</v>
      </c>
    </row>
    <row r="432" spans="1:4">
      <c r="A432" s="1426" t="s">
        <v>389</v>
      </c>
      <c r="B432" s="1426" t="s">
        <v>405</v>
      </c>
      <c r="C432" s="1426" t="s">
        <v>712</v>
      </c>
      <c r="D432" s="1427">
        <v>5300</v>
      </c>
    </row>
    <row r="433" spans="1:4">
      <c r="A433" s="1426" t="s">
        <v>389</v>
      </c>
      <c r="B433" s="1426" t="s">
        <v>405</v>
      </c>
      <c r="C433" s="1426" t="s">
        <v>711</v>
      </c>
      <c r="D433" s="1427">
        <v>5200</v>
      </c>
    </row>
    <row r="434" spans="1:4">
      <c r="A434" s="1426" t="s">
        <v>389</v>
      </c>
      <c r="B434" s="1426" t="s">
        <v>405</v>
      </c>
      <c r="C434" s="1426" t="s">
        <v>710</v>
      </c>
      <c r="D434" s="1427">
        <v>5200</v>
      </c>
    </row>
    <row r="435" spans="1:4">
      <c r="A435" s="1426" t="s">
        <v>389</v>
      </c>
      <c r="B435" s="1426" t="s">
        <v>405</v>
      </c>
      <c r="C435" s="1426" t="s">
        <v>709</v>
      </c>
      <c r="D435" s="1427">
        <v>4600</v>
      </c>
    </row>
    <row r="436" spans="1:4">
      <c r="A436" s="1426" t="s">
        <v>389</v>
      </c>
      <c r="B436" s="1426" t="s">
        <v>405</v>
      </c>
      <c r="C436" s="1426" t="s">
        <v>708</v>
      </c>
      <c r="D436" s="1427">
        <v>5300</v>
      </c>
    </row>
    <row r="437" spans="1:4">
      <c r="A437" s="1426" t="s">
        <v>389</v>
      </c>
      <c r="B437" s="1426" t="s">
        <v>405</v>
      </c>
      <c r="C437" s="1426" t="s">
        <v>707</v>
      </c>
      <c r="D437" s="1427">
        <v>3300</v>
      </c>
    </row>
    <row r="438" spans="1:4">
      <c r="A438" s="1426" t="s">
        <v>389</v>
      </c>
      <c r="B438" s="1426" t="s">
        <v>405</v>
      </c>
      <c r="C438" s="1426" t="s">
        <v>706</v>
      </c>
      <c r="D438" s="1431">
        <v>0</v>
      </c>
    </row>
    <row r="439" spans="1:4">
      <c r="A439" s="1426" t="s">
        <v>389</v>
      </c>
      <c r="B439" s="1426" t="s">
        <v>405</v>
      </c>
      <c r="C439" s="1426" t="s">
        <v>705</v>
      </c>
      <c r="D439" s="1431">
        <v>0</v>
      </c>
    </row>
    <row r="440" spans="1:4">
      <c r="A440" s="1426" t="s">
        <v>389</v>
      </c>
      <c r="B440" s="1426" t="s">
        <v>405</v>
      </c>
      <c r="C440" s="1426" t="s">
        <v>704</v>
      </c>
      <c r="D440" s="1431">
        <v>0</v>
      </c>
    </row>
    <row r="441" spans="1:4">
      <c r="A441" s="1426" t="s">
        <v>389</v>
      </c>
      <c r="B441" s="1426" t="s">
        <v>405</v>
      </c>
      <c r="C441" s="1426" t="s">
        <v>703</v>
      </c>
      <c r="D441" s="1427">
        <v>1800</v>
      </c>
    </row>
    <row r="442" spans="1:4">
      <c r="A442" s="1426" t="s">
        <v>389</v>
      </c>
      <c r="B442" s="1426" t="s">
        <v>405</v>
      </c>
      <c r="C442" s="1426" t="s">
        <v>702</v>
      </c>
      <c r="D442" s="1427">
        <v>1700</v>
      </c>
    </row>
    <row r="443" spans="1:4">
      <c r="A443" s="1426" t="s">
        <v>391</v>
      </c>
      <c r="B443" s="1426" t="s">
        <v>404</v>
      </c>
      <c r="C443" s="1426" t="s">
        <v>712</v>
      </c>
      <c r="D443" s="1427">
        <v>39600</v>
      </c>
    </row>
    <row r="444" spans="1:4">
      <c r="A444" s="1426" t="s">
        <v>391</v>
      </c>
      <c r="B444" s="1426" t="s">
        <v>404</v>
      </c>
      <c r="C444" s="1426" t="s">
        <v>711</v>
      </c>
      <c r="D444" s="1427">
        <v>48300</v>
      </c>
    </row>
    <row r="445" spans="1:4">
      <c r="A445" s="1426" t="s">
        <v>391</v>
      </c>
      <c r="B445" s="1426" t="s">
        <v>404</v>
      </c>
      <c r="C445" s="1426" t="s">
        <v>710</v>
      </c>
      <c r="D445" s="1427">
        <v>43900</v>
      </c>
    </row>
    <row r="446" spans="1:4">
      <c r="A446" s="1426" t="s">
        <v>391</v>
      </c>
      <c r="B446" s="1426" t="s">
        <v>404</v>
      </c>
      <c r="C446" s="1426" t="s">
        <v>709</v>
      </c>
      <c r="D446" s="1427">
        <v>47800</v>
      </c>
    </row>
    <row r="447" spans="1:4">
      <c r="A447" s="1426" t="s">
        <v>391</v>
      </c>
      <c r="B447" s="1426" t="s">
        <v>404</v>
      </c>
      <c r="C447" s="1426" t="s">
        <v>708</v>
      </c>
      <c r="D447" s="1427">
        <v>48900</v>
      </c>
    </row>
    <row r="448" spans="1:4">
      <c r="A448" s="1426" t="s">
        <v>391</v>
      </c>
      <c r="B448" s="1426" t="s">
        <v>404</v>
      </c>
      <c r="C448" s="1426" t="s">
        <v>707</v>
      </c>
      <c r="D448" s="1427">
        <v>46400</v>
      </c>
    </row>
    <row r="449" spans="1:4">
      <c r="A449" s="1426" t="s">
        <v>391</v>
      </c>
      <c r="B449" s="1426" t="s">
        <v>404</v>
      </c>
      <c r="C449" s="1426" t="s">
        <v>706</v>
      </c>
      <c r="D449" s="1427">
        <v>38800</v>
      </c>
    </row>
    <row r="450" spans="1:4">
      <c r="A450" s="1426" t="s">
        <v>391</v>
      </c>
      <c r="B450" s="1426" t="s">
        <v>404</v>
      </c>
      <c r="C450" s="1426" t="s">
        <v>705</v>
      </c>
      <c r="D450" s="1427">
        <v>28600</v>
      </c>
    </row>
    <row r="451" spans="1:4">
      <c r="A451" s="1426" t="s">
        <v>391</v>
      </c>
      <c r="B451" s="1426" t="s">
        <v>404</v>
      </c>
      <c r="C451" s="1426" t="s">
        <v>704</v>
      </c>
      <c r="D451" s="1427">
        <v>27000</v>
      </c>
    </row>
    <row r="452" spans="1:4">
      <c r="A452" s="1426" t="s">
        <v>391</v>
      </c>
      <c r="B452" s="1426" t="s">
        <v>404</v>
      </c>
      <c r="C452" s="1426" t="s">
        <v>703</v>
      </c>
      <c r="D452" s="1427">
        <v>19700</v>
      </c>
    </row>
    <row r="453" spans="1:4">
      <c r="A453" s="1426" t="s">
        <v>391</v>
      </c>
      <c r="B453" s="1426" t="s">
        <v>404</v>
      </c>
      <c r="C453" s="1426" t="s">
        <v>702</v>
      </c>
      <c r="D453" s="1427">
        <v>12400</v>
      </c>
    </row>
    <row r="454" spans="1:4">
      <c r="A454" s="1426" t="s">
        <v>391</v>
      </c>
      <c r="B454" s="1426" t="s">
        <v>407</v>
      </c>
      <c r="C454" s="1426" t="s">
        <v>712</v>
      </c>
      <c r="D454" s="1427">
        <v>24000</v>
      </c>
    </row>
    <row r="455" spans="1:4">
      <c r="A455" s="1426" t="s">
        <v>391</v>
      </c>
      <c r="B455" s="1426" t="s">
        <v>407</v>
      </c>
      <c r="C455" s="1426" t="s">
        <v>711</v>
      </c>
      <c r="D455" s="1427">
        <v>23000</v>
      </c>
    </row>
    <row r="456" spans="1:4">
      <c r="A456" s="1426" t="s">
        <v>391</v>
      </c>
      <c r="B456" s="1426" t="s">
        <v>407</v>
      </c>
      <c r="C456" s="1426" t="s">
        <v>710</v>
      </c>
      <c r="D456" s="1427">
        <v>18700</v>
      </c>
    </row>
    <row r="457" spans="1:4">
      <c r="A457" s="1426" t="s">
        <v>391</v>
      </c>
      <c r="B457" s="1426" t="s">
        <v>407</v>
      </c>
      <c r="C457" s="1426" t="s">
        <v>709</v>
      </c>
      <c r="D457" s="1427">
        <v>25800</v>
      </c>
    </row>
    <row r="458" spans="1:4">
      <c r="A458" s="1426" t="s">
        <v>391</v>
      </c>
      <c r="B458" s="1426" t="s">
        <v>407</v>
      </c>
      <c r="C458" s="1426" t="s">
        <v>708</v>
      </c>
      <c r="D458" s="1427">
        <v>22000</v>
      </c>
    </row>
    <row r="459" spans="1:4">
      <c r="A459" s="1426" t="s">
        <v>391</v>
      </c>
      <c r="B459" s="1426" t="s">
        <v>407</v>
      </c>
      <c r="C459" s="1426" t="s">
        <v>707</v>
      </c>
      <c r="D459" s="1427">
        <v>23200</v>
      </c>
    </row>
    <row r="460" spans="1:4">
      <c r="A460" s="1426" t="s">
        <v>391</v>
      </c>
      <c r="B460" s="1426" t="s">
        <v>407</v>
      </c>
      <c r="C460" s="1426" t="s">
        <v>706</v>
      </c>
      <c r="D460" s="1427">
        <v>17100</v>
      </c>
    </row>
    <row r="461" spans="1:4">
      <c r="A461" s="1426" t="s">
        <v>391</v>
      </c>
      <c r="B461" s="1426" t="s">
        <v>407</v>
      </c>
      <c r="C461" s="1426" t="s">
        <v>705</v>
      </c>
      <c r="D461" s="1427">
        <v>15200</v>
      </c>
    </row>
    <row r="462" spans="1:4">
      <c r="A462" s="1426" t="s">
        <v>391</v>
      </c>
      <c r="B462" s="1426" t="s">
        <v>407</v>
      </c>
      <c r="C462" s="1426" t="s">
        <v>704</v>
      </c>
      <c r="D462" s="1427">
        <v>14300</v>
      </c>
    </row>
    <row r="463" spans="1:4">
      <c r="A463" s="1426" t="s">
        <v>391</v>
      </c>
      <c r="B463" s="1426" t="s">
        <v>407</v>
      </c>
      <c r="C463" s="1426" t="s">
        <v>703</v>
      </c>
      <c r="D463" s="1427">
        <v>12400</v>
      </c>
    </row>
    <row r="464" spans="1:4">
      <c r="A464" s="1426" t="s">
        <v>391</v>
      </c>
      <c r="B464" s="1426" t="s">
        <v>407</v>
      </c>
      <c r="C464" s="1426" t="s">
        <v>702</v>
      </c>
      <c r="D464" s="1427">
        <v>7100</v>
      </c>
    </row>
    <row r="465" spans="1:4">
      <c r="A465" s="1426" t="s">
        <v>391</v>
      </c>
      <c r="B465" s="1426" t="s">
        <v>406</v>
      </c>
      <c r="C465" s="1426" t="s">
        <v>712</v>
      </c>
      <c r="D465" s="1427">
        <v>1200</v>
      </c>
    </row>
    <row r="466" spans="1:4">
      <c r="A466" s="1426" t="s">
        <v>391</v>
      </c>
      <c r="B466" s="1426" t="s">
        <v>406</v>
      </c>
      <c r="C466" s="1426" t="s">
        <v>711</v>
      </c>
      <c r="D466" s="1431">
        <v>0</v>
      </c>
    </row>
    <row r="467" spans="1:4">
      <c r="A467" s="1426" t="s">
        <v>391</v>
      </c>
      <c r="B467" s="1426" t="s">
        <v>406</v>
      </c>
      <c r="C467" s="1426" t="s">
        <v>710</v>
      </c>
      <c r="D467" s="1431">
        <v>0</v>
      </c>
    </row>
    <row r="468" spans="1:4">
      <c r="A468" s="1426" t="s">
        <v>391</v>
      </c>
      <c r="B468" s="1426" t="s">
        <v>406</v>
      </c>
      <c r="C468" s="1426" t="s">
        <v>709</v>
      </c>
      <c r="D468" s="1427">
        <v>2200</v>
      </c>
    </row>
    <row r="469" spans="1:4">
      <c r="A469" s="1426" t="s">
        <v>391</v>
      </c>
      <c r="B469" s="1426" t="s">
        <v>406</v>
      </c>
      <c r="C469" s="1426" t="s">
        <v>708</v>
      </c>
      <c r="D469" s="1427">
        <v>2200</v>
      </c>
    </row>
    <row r="470" spans="1:4">
      <c r="A470" s="1426" t="s">
        <v>391</v>
      </c>
      <c r="B470" s="1426" t="s">
        <v>406</v>
      </c>
      <c r="C470" s="1426" t="s">
        <v>707</v>
      </c>
      <c r="D470" s="1427">
        <v>2100</v>
      </c>
    </row>
    <row r="471" spans="1:4">
      <c r="A471" s="1426" t="s">
        <v>391</v>
      </c>
      <c r="B471" s="1426" t="s">
        <v>406</v>
      </c>
      <c r="C471" s="1426" t="s">
        <v>706</v>
      </c>
      <c r="D471" s="1431">
        <v>0</v>
      </c>
    </row>
    <row r="472" spans="1:4">
      <c r="A472" s="1426" t="s">
        <v>391</v>
      </c>
      <c r="B472" s="1426" t="s">
        <v>406</v>
      </c>
      <c r="C472" s="1426" t="s">
        <v>705</v>
      </c>
      <c r="D472" s="1431">
        <v>0</v>
      </c>
    </row>
    <row r="473" spans="1:4">
      <c r="A473" s="1426" t="s">
        <v>391</v>
      </c>
      <c r="B473" s="1426" t="s">
        <v>406</v>
      </c>
      <c r="C473" s="1426" t="s">
        <v>704</v>
      </c>
      <c r="D473" s="1431">
        <v>0</v>
      </c>
    </row>
    <row r="474" spans="1:4">
      <c r="A474" s="1426" t="s">
        <v>391</v>
      </c>
      <c r="B474" s="1426" t="s">
        <v>406</v>
      </c>
      <c r="C474" s="1426" t="s">
        <v>703</v>
      </c>
      <c r="D474" s="1431">
        <v>700</v>
      </c>
    </row>
    <row r="475" spans="1:4">
      <c r="A475" s="1426" t="s">
        <v>391</v>
      </c>
      <c r="B475" s="1426" t="s">
        <v>406</v>
      </c>
      <c r="C475" s="1426" t="s">
        <v>702</v>
      </c>
      <c r="D475" s="1431">
        <v>0</v>
      </c>
    </row>
    <row r="476" spans="1:4">
      <c r="A476" s="1426" t="s">
        <v>391</v>
      </c>
      <c r="B476" s="1426" t="s">
        <v>405</v>
      </c>
      <c r="C476" s="1426" t="s">
        <v>712</v>
      </c>
      <c r="D476" s="1431">
        <v>0</v>
      </c>
    </row>
    <row r="477" spans="1:4">
      <c r="A477" s="1426" t="s">
        <v>391</v>
      </c>
      <c r="B477" s="1426" t="s">
        <v>405</v>
      </c>
      <c r="C477" s="1426" t="s">
        <v>711</v>
      </c>
      <c r="D477" s="1431">
        <v>0</v>
      </c>
    </row>
    <row r="478" spans="1:4">
      <c r="A478" s="1426" t="s">
        <v>391</v>
      </c>
      <c r="B478" s="1426" t="s">
        <v>405</v>
      </c>
      <c r="C478" s="1426" t="s">
        <v>710</v>
      </c>
      <c r="D478" s="1431">
        <v>0</v>
      </c>
    </row>
    <row r="479" spans="1:4">
      <c r="A479" s="1426" t="s">
        <v>391</v>
      </c>
      <c r="B479" s="1426" t="s">
        <v>405</v>
      </c>
      <c r="C479" s="1426" t="s">
        <v>709</v>
      </c>
      <c r="D479" s="1431">
        <v>0</v>
      </c>
    </row>
    <row r="480" spans="1:4">
      <c r="A480" s="1426" t="s">
        <v>391</v>
      </c>
      <c r="B480" s="1426" t="s">
        <v>405</v>
      </c>
      <c r="C480" s="1426" t="s">
        <v>708</v>
      </c>
      <c r="D480" s="1427">
        <v>2500</v>
      </c>
    </row>
    <row r="481" spans="1:4">
      <c r="A481" s="1426" t="s">
        <v>391</v>
      </c>
      <c r="B481" s="1426" t="s">
        <v>405</v>
      </c>
      <c r="C481" s="1426" t="s">
        <v>707</v>
      </c>
      <c r="D481" s="1427">
        <v>1300</v>
      </c>
    </row>
    <row r="482" spans="1:4">
      <c r="A482" s="1426" t="s">
        <v>391</v>
      </c>
      <c r="B482" s="1426" t="s">
        <v>405</v>
      </c>
      <c r="C482" s="1426" t="s">
        <v>706</v>
      </c>
      <c r="D482" s="1431">
        <v>0</v>
      </c>
    </row>
    <row r="483" spans="1:4">
      <c r="A483" s="1426" t="s">
        <v>391</v>
      </c>
      <c r="B483" s="1426" t="s">
        <v>405</v>
      </c>
      <c r="C483" s="1426" t="s">
        <v>705</v>
      </c>
      <c r="D483" s="1431">
        <v>200</v>
      </c>
    </row>
    <row r="484" spans="1:4">
      <c r="A484" s="1426" t="s">
        <v>391</v>
      </c>
      <c r="B484" s="1426" t="s">
        <v>405</v>
      </c>
      <c r="C484" s="1426" t="s">
        <v>704</v>
      </c>
      <c r="D484" s="1431">
        <v>0</v>
      </c>
    </row>
    <row r="485" spans="1:4">
      <c r="A485" s="1426" t="s">
        <v>391</v>
      </c>
      <c r="B485" s="1426" t="s">
        <v>405</v>
      </c>
      <c r="C485" s="1426" t="s">
        <v>703</v>
      </c>
      <c r="D485" s="1431">
        <v>700</v>
      </c>
    </row>
    <row r="486" spans="1:4">
      <c r="A486" s="1426" t="s">
        <v>391</v>
      </c>
      <c r="B486" s="1426" t="s">
        <v>405</v>
      </c>
      <c r="C486" s="1426" t="s">
        <v>702</v>
      </c>
      <c r="D486" s="1431">
        <v>0</v>
      </c>
    </row>
    <row r="487" spans="1:4">
      <c r="A487" s="1426" t="s">
        <v>393</v>
      </c>
      <c r="B487" s="1426" t="s">
        <v>404</v>
      </c>
      <c r="C487" s="1426" t="s">
        <v>712</v>
      </c>
      <c r="D487" s="1427">
        <v>2300</v>
      </c>
    </row>
    <row r="488" spans="1:4">
      <c r="A488" s="1426" t="s">
        <v>393</v>
      </c>
      <c r="B488" s="1426" t="s">
        <v>404</v>
      </c>
      <c r="C488" s="1426" t="s">
        <v>711</v>
      </c>
      <c r="D488" s="1427">
        <v>1600</v>
      </c>
    </row>
    <row r="489" spans="1:4">
      <c r="A489" s="1426" t="s">
        <v>393</v>
      </c>
      <c r="B489" s="1426" t="s">
        <v>404</v>
      </c>
      <c r="C489" s="1426" t="s">
        <v>710</v>
      </c>
      <c r="D489" s="1427">
        <v>1800</v>
      </c>
    </row>
    <row r="490" spans="1:4">
      <c r="A490" s="1426" t="s">
        <v>393</v>
      </c>
      <c r="B490" s="1426" t="s">
        <v>404</v>
      </c>
      <c r="C490" s="1426" t="s">
        <v>709</v>
      </c>
      <c r="D490" s="1427">
        <v>2200</v>
      </c>
    </row>
    <row r="491" spans="1:4">
      <c r="A491" s="1426" t="s">
        <v>393</v>
      </c>
      <c r="B491" s="1426" t="s">
        <v>404</v>
      </c>
      <c r="C491" s="1426" t="s">
        <v>708</v>
      </c>
      <c r="D491" s="1427">
        <v>1800</v>
      </c>
    </row>
    <row r="492" spans="1:4">
      <c r="A492" s="1426" t="s">
        <v>393</v>
      </c>
      <c r="B492" s="1426" t="s">
        <v>404</v>
      </c>
      <c r="C492" s="1426" t="s">
        <v>707</v>
      </c>
      <c r="D492" s="1427">
        <v>1700</v>
      </c>
    </row>
    <row r="493" spans="1:4">
      <c r="A493" s="1426" t="s">
        <v>393</v>
      </c>
      <c r="B493" s="1426" t="s">
        <v>404</v>
      </c>
      <c r="C493" s="1426" t="s">
        <v>706</v>
      </c>
      <c r="D493" s="1427">
        <v>1700</v>
      </c>
    </row>
    <row r="494" spans="1:4">
      <c r="A494" s="1426" t="s">
        <v>393</v>
      </c>
      <c r="B494" s="1426" t="s">
        <v>404</v>
      </c>
      <c r="C494" s="1426" t="s">
        <v>705</v>
      </c>
      <c r="D494" s="1427">
        <v>1700</v>
      </c>
    </row>
    <row r="495" spans="1:4">
      <c r="A495" s="1426" t="s">
        <v>393</v>
      </c>
      <c r="B495" s="1426" t="s">
        <v>404</v>
      </c>
      <c r="C495" s="1426" t="s">
        <v>704</v>
      </c>
      <c r="D495" s="1427">
        <v>1000</v>
      </c>
    </row>
    <row r="496" spans="1:4">
      <c r="A496" s="1426" t="s">
        <v>393</v>
      </c>
      <c r="B496" s="1426" t="s">
        <v>404</v>
      </c>
      <c r="C496" s="1426" t="s">
        <v>703</v>
      </c>
      <c r="D496" s="1427">
        <v>1000</v>
      </c>
    </row>
    <row r="497" spans="1:4">
      <c r="A497" s="1426" t="s">
        <v>393</v>
      </c>
      <c r="B497" s="1426" t="s">
        <v>404</v>
      </c>
      <c r="C497" s="1426" t="s">
        <v>702</v>
      </c>
      <c r="D497" s="1431">
        <v>900</v>
      </c>
    </row>
    <row r="498" spans="1:4">
      <c r="A498" s="1426" t="s">
        <v>393</v>
      </c>
      <c r="B498" s="1426" t="s">
        <v>407</v>
      </c>
      <c r="C498" s="1426" t="s">
        <v>712</v>
      </c>
      <c r="D498" s="1427">
        <v>18900</v>
      </c>
    </row>
    <row r="499" spans="1:4">
      <c r="A499" s="1426" t="s">
        <v>393</v>
      </c>
      <c r="B499" s="1426" t="s">
        <v>407</v>
      </c>
      <c r="C499" s="1426" t="s">
        <v>711</v>
      </c>
      <c r="D499" s="1427">
        <v>20000</v>
      </c>
    </row>
    <row r="500" spans="1:4">
      <c r="A500" s="1426" t="s">
        <v>393</v>
      </c>
      <c r="B500" s="1426" t="s">
        <v>407</v>
      </c>
      <c r="C500" s="1426" t="s">
        <v>710</v>
      </c>
      <c r="D500" s="1427">
        <v>12500</v>
      </c>
    </row>
    <row r="501" spans="1:4">
      <c r="A501" s="1426" t="s">
        <v>393</v>
      </c>
      <c r="B501" s="1426" t="s">
        <v>407</v>
      </c>
      <c r="C501" s="1426" t="s">
        <v>709</v>
      </c>
      <c r="D501" s="1427">
        <v>17500</v>
      </c>
    </row>
    <row r="502" spans="1:4">
      <c r="A502" s="1426" t="s">
        <v>393</v>
      </c>
      <c r="B502" s="1426" t="s">
        <v>407</v>
      </c>
      <c r="C502" s="1426" t="s">
        <v>708</v>
      </c>
      <c r="D502" s="1427">
        <v>16700</v>
      </c>
    </row>
    <row r="503" spans="1:4">
      <c r="A503" s="1426" t="s">
        <v>393</v>
      </c>
      <c r="B503" s="1426" t="s">
        <v>407</v>
      </c>
      <c r="C503" s="1426" t="s">
        <v>707</v>
      </c>
      <c r="D503" s="1427">
        <v>12000</v>
      </c>
    </row>
    <row r="504" spans="1:4">
      <c r="A504" s="1426" t="s">
        <v>393</v>
      </c>
      <c r="B504" s="1426" t="s">
        <v>407</v>
      </c>
      <c r="C504" s="1426" t="s">
        <v>706</v>
      </c>
      <c r="D504" s="1427">
        <v>12700</v>
      </c>
    </row>
    <row r="505" spans="1:4">
      <c r="A505" s="1426" t="s">
        <v>393</v>
      </c>
      <c r="B505" s="1426" t="s">
        <v>407</v>
      </c>
      <c r="C505" s="1426" t="s">
        <v>705</v>
      </c>
      <c r="D505" s="1427">
        <v>12300</v>
      </c>
    </row>
    <row r="506" spans="1:4">
      <c r="A506" s="1426" t="s">
        <v>393</v>
      </c>
      <c r="B506" s="1426" t="s">
        <v>407</v>
      </c>
      <c r="C506" s="1426" t="s">
        <v>704</v>
      </c>
      <c r="D506" s="1427">
        <v>7100</v>
      </c>
    </row>
    <row r="507" spans="1:4">
      <c r="A507" s="1426" t="s">
        <v>393</v>
      </c>
      <c r="B507" s="1426" t="s">
        <v>407</v>
      </c>
      <c r="C507" s="1426" t="s">
        <v>703</v>
      </c>
      <c r="D507" s="1427">
        <v>5700</v>
      </c>
    </row>
    <row r="508" spans="1:4">
      <c r="A508" s="1426" t="s">
        <v>393</v>
      </c>
      <c r="B508" s="1426" t="s">
        <v>407</v>
      </c>
      <c r="C508" s="1426" t="s">
        <v>702</v>
      </c>
      <c r="D508" s="1427">
        <v>5900</v>
      </c>
    </row>
    <row r="509" spans="1:4">
      <c r="A509" s="1426" t="s">
        <v>393</v>
      </c>
      <c r="B509" s="1426" t="s">
        <v>406</v>
      </c>
      <c r="C509" s="1426" t="s">
        <v>712</v>
      </c>
      <c r="D509" s="1431">
        <v>0</v>
      </c>
    </row>
    <row r="510" spans="1:4">
      <c r="A510" s="1426" t="s">
        <v>393</v>
      </c>
      <c r="B510" s="1426" t="s">
        <v>406</v>
      </c>
      <c r="C510" s="1426" t="s">
        <v>711</v>
      </c>
      <c r="D510" s="1431">
        <v>0</v>
      </c>
    </row>
    <row r="511" spans="1:4">
      <c r="A511" s="1426" t="s">
        <v>393</v>
      </c>
      <c r="B511" s="1426" t="s">
        <v>406</v>
      </c>
      <c r="C511" s="1426" t="s">
        <v>710</v>
      </c>
      <c r="D511" s="1427">
        <v>1200</v>
      </c>
    </row>
    <row r="512" spans="1:4">
      <c r="A512" s="1426" t="s">
        <v>393</v>
      </c>
      <c r="B512" s="1426" t="s">
        <v>406</v>
      </c>
      <c r="C512" s="1426" t="s">
        <v>709</v>
      </c>
      <c r="D512" s="1431">
        <v>900</v>
      </c>
    </row>
    <row r="513" spans="1:4">
      <c r="A513" s="1426" t="s">
        <v>393</v>
      </c>
      <c r="B513" s="1426" t="s">
        <v>406</v>
      </c>
      <c r="C513" s="1426" t="s">
        <v>708</v>
      </c>
      <c r="D513" s="1431">
        <v>0</v>
      </c>
    </row>
    <row r="514" spans="1:4">
      <c r="A514" s="1426" t="s">
        <v>393</v>
      </c>
      <c r="B514" s="1426" t="s">
        <v>406</v>
      </c>
      <c r="C514" s="1426" t="s">
        <v>707</v>
      </c>
      <c r="D514" s="1431">
        <v>0</v>
      </c>
    </row>
    <row r="515" spans="1:4">
      <c r="A515" s="1426" t="s">
        <v>393</v>
      </c>
      <c r="B515" s="1426" t="s">
        <v>406</v>
      </c>
      <c r="C515" s="1426" t="s">
        <v>706</v>
      </c>
      <c r="D515" s="1431">
        <v>0</v>
      </c>
    </row>
    <row r="516" spans="1:4">
      <c r="A516" s="1426" t="s">
        <v>393</v>
      </c>
      <c r="B516" s="1426" t="s">
        <v>406</v>
      </c>
      <c r="C516" s="1426" t="s">
        <v>705</v>
      </c>
      <c r="D516" s="1431">
        <v>0</v>
      </c>
    </row>
    <row r="517" spans="1:4">
      <c r="A517" s="1426" t="s">
        <v>393</v>
      </c>
      <c r="B517" s="1426" t="s">
        <v>406</v>
      </c>
      <c r="C517" s="1426" t="s">
        <v>704</v>
      </c>
      <c r="D517" s="1431">
        <v>0</v>
      </c>
    </row>
    <row r="518" spans="1:4">
      <c r="A518" s="1426" t="s">
        <v>393</v>
      </c>
      <c r="B518" s="1426" t="s">
        <v>406</v>
      </c>
      <c r="C518" s="1426" t="s">
        <v>703</v>
      </c>
      <c r="D518" s="1431">
        <v>0</v>
      </c>
    </row>
    <row r="519" spans="1:4">
      <c r="A519" s="1426" t="s">
        <v>393</v>
      </c>
      <c r="B519" s="1426" t="s">
        <v>406</v>
      </c>
      <c r="C519" s="1426" t="s">
        <v>702</v>
      </c>
      <c r="D519" s="1431">
        <v>0</v>
      </c>
    </row>
    <row r="520" spans="1:4">
      <c r="A520" s="1426" t="s">
        <v>393</v>
      </c>
      <c r="B520" s="1426" t="s">
        <v>405</v>
      </c>
      <c r="C520" s="1426" t="s">
        <v>712</v>
      </c>
      <c r="D520" s="1431">
        <v>0</v>
      </c>
    </row>
    <row r="521" spans="1:4">
      <c r="A521" s="1426" t="s">
        <v>393</v>
      </c>
      <c r="B521" s="1426" t="s">
        <v>405</v>
      </c>
      <c r="C521" s="1426" t="s">
        <v>711</v>
      </c>
      <c r="D521" s="1431">
        <v>0</v>
      </c>
    </row>
    <row r="522" spans="1:4">
      <c r="A522" s="1426" t="s">
        <v>393</v>
      </c>
      <c r="B522" s="1426" t="s">
        <v>405</v>
      </c>
      <c r="C522" s="1426" t="s">
        <v>710</v>
      </c>
      <c r="D522" s="1431">
        <v>0</v>
      </c>
    </row>
    <row r="523" spans="1:4">
      <c r="A523" s="1426" t="s">
        <v>393</v>
      </c>
      <c r="B523" s="1426" t="s">
        <v>405</v>
      </c>
      <c r="C523" s="1426" t="s">
        <v>709</v>
      </c>
      <c r="D523" s="1431">
        <v>0</v>
      </c>
    </row>
    <row r="524" spans="1:4">
      <c r="A524" s="1426" t="s">
        <v>393</v>
      </c>
      <c r="B524" s="1426" t="s">
        <v>405</v>
      </c>
      <c r="C524" s="1426" t="s">
        <v>708</v>
      </c>
      <c r="D524" s="1431">
        <v>0</v>
      </c>
    </row>
    <row r="525" spans="1:4">
      <c r="A525" s="1426" t="s">
        <v>393</v>
      </c>
      <c r="B525" s="1426" t="s">
        <v>405</v>
      </c>
      <c r="C525" s="1426" t="s">
        <v>707</v>
      </c>
      <c r="D525" s="1431">
        <v>0</v>
      </c>
    </row>
    <row r="526" spans="1:4">
      <c r="A526" s="1426" t="s">
        <v>393</v>
      </c>
      <c r="B526" s="1426" t="s">
        <v>405</v>
      </c>
      <c r="C526" s="1426" t="s">
        <v>706</v>
      </c>
      <c r="D526" s="1431">
        <v>0</v>
      </c>
    </row>
    <row r="527" spans="1:4">
      <c r="A527" s="1426" t="s">
        <v>393</v>
      </c>
      <c r="B527" s="1426" t="s">
        <v>405</v>
      </c>
      <c r="C527" s="1426" t="s">
        <v>705</v>
      </c>
      <c r="D527" s="1431">
        <v>0</v>
      </c>
    </row>
    <row r="528" spans="1:4">
      <c r="A528" s="1426" t="s">
        <v>393</v>
      </c>
      <c r="B528" s="1426" t="s">
        <v>405</v>
      </c>
      <c r="C528" s="1426" t="s">
        <v>704</v>
      </c>
      <c r="D528" s="1431">
        <v>0</v>
      </c>
    </row>
    <row r="529" spans="1:4">
      <c r="A529" s="1426" t="s">
        <v>393</v>
      </c>
      <c r="B529" s="1426" t="s">
        <v>405</v>
      </c>
      <c r="C529" s="1426" t="s">
        <v>703</v>
      </c>
      <c r="D529" s="1431">
        <v>0</v>
      </c>
    </row>
    <row r="530" spans="1:4">
      <c r="A530" s="1426" t="s">
        <v>393</v>
      </c>
      <c r="B530" s="1426" t="s">
        <v>405</v>
      </c>
      <c r="C530" s="1426" t="s">
        <v>702</v>
      </c>
      <c r="D530" s="1431">
        <v>0</v>
      </c>
    </row>
    <row r="531" spans="1:4">
      <c r="A531" s="1426" t="s">
        <v>396</v>
      </c>
      <c r="B531" s="1426" t="s">
        <v>404</v>
      </c>
      <c r="C531" s="1426" t="s">
        <v>712</v>
      </c>
      <c r="D531" s="1431">
        <v>0</v>
      </c>
    </row>
    <row r="532" spans="1:4">
      <c r="A532" s="1426" t="s">
        <v>396</v>
      </c>
      <c r="B532" s="1426" t="s">
        <v>404</v>
      </c>
      <c r="C532" s="1426" t="s">
        <v>711</v>
      </c>
      <c r="D532" s="1431">
        <v>0</v>
      </c>
    </row>
    <row r="533" spans="1:4">
      <c r="A533" s="1426" t="s">
        <v>396</v>
      </c>
      <c r="B533" s="1426" t="s">
        <v>404</v>
      </c>
      <c r="C533" s="1426" t="s">
        <v>710</v>
      </c>
      <c r="D533" s="1431">
        <v>0</v>
      </c>
    </row>
    <row r="534" spans="1:4">
      <c r="A534" s="1426" t="s">
        <v>396</v>
      </c>
      <c r="B534" s="1426" t="s">
        <v>404</v>
      </c>
      <c r="C534" s="1426" t="s">
        <v>709</v>
      </c>
      <c r="D534" s="1431">
        <v>0</v>
      </c>
    </row>
    <row r="535" spans="1:4">
      <c r="A535" s="1426" t="s">
        <v>396</v>
      </c>
      <c r="B535" s="1426" t="s">
        <v>404</v>
      </c>
      <c r="C535" s="1426" t="s">
        <v>708</v>
      </c>
      <c r="D535" s="1431">
        <v>0</v>
      </c>
    </row>
    <row r="536" spans="1:4">
      <c r="A536" s="1426" t="s">
        <v>396</v>
      </c>
      <c r="B536" s="1426" t="s">
        <v>404</v>
      </c>
      <c r="C536" s="1426" t="s">
        <v>707</v>
      </c>
      <c r="D536" s="1431">
        <v>0</v>
      </c>
    </row>
    <row r="537" spans="1:4">
      <c r="A537" s="1426" t="s">
        <v>396</v>
      </c>
      <c r="B537" s="1426" t="s">
        <v>404</v>
      </c>
      <c r="C537" s="1426" t="s">
        <v>706</v>
      </c>
      <c r="D537" s="1431">
        <v>0</v>
      </c>
    </row>
    <row r="538" spans="1:4">
      <c r="A538" s="1426" t="s">
        <v>396</v>
      </c>
      <c r="B538" s="1426" t="s">
        <v>404</v>
      </c>
      <c r="C538" s="1426" t="s">
        <v>705</v>
      </c>
      <c r="D538" s="1431">
        <v>300</v>
      </c>
    </row>
    <row r="539" spans="1:4">
      <c r="A539" s="1426" t="s">
        <v>396</v>
      </c>
      <c r="B539" s="1426" t="s">
        <v>404</v>
      </c>
      <c r="C539" s="1426" t="s">
        <v>704</v>
      </c>
      <c r="D539" s="1431">
        <v>0</v>
      </c>
    </row>
    <row r="540" spans="1:4">
      <c r="A540" s="1426" t="s">
        <v>396</v>
      </c>
      <c r="B540" s="1426" t="s">
        <v>404</v>
      </c>
      <c r="C540" s="1426" t="s">
        <v>703</v>
      </c>
      <c r="D540" s="1431">
        <v>100</v>
      </c>
    </row>
    <row r="541" spans="1:4">
      <c r="A541" s="1426" t="s">
        <v>396</v>
      </c>
      <c r="B541" s="1426" t="s">
        <v>404</v>
      </c>
      <c r="C541" s="1426" t="s">
        <v>702</v>
      </c>
      <c r="D541" s="1431">
        <v>100</v>
      </c>
    </row>
    <row r="542" spans="1:4">
      <c r="A542" s="1426" t="s">
        <v>396</v>
      </c>
      <c r="B542" s="1426" t="s">
        <v>407</v>
      </c>
      <c r="C542" s="1426" t="s">
        <v>712</v>
      </c>
      <c r="D542" s="1431">
        <v>0</v>
      </c>
    </row>
    <row r="543" spans="1:4">
      <c r="A543" s="1426" t="s">
        <v>396</v>
      </c>
      <c r="B543" s="1426" t="s">
        <v>407</v>
      </c>
      <c r="C543" s="1426" t="s">
        <v>711</v>
      </c>
      <c r="D543" s="1431">
        <v>0</v>
      </c>
    </row>
    <row r="544" spans="1:4">
      <c r="A544" s="1426" t="s">
        <v>396</v>
      </c>
      <c r="B544" s="1426" t="s">
        <v>407</v>
      </c>
      <c r="C544" s="1426" t="s">
        <v>710</v>
      </c>
      <c r="D544" s="1431">
        <v>0</v>
      </c>
    </row>
    <row r="545" spans="1:4">
      <c r="A545" s="1426" t="s">
        <v>396</v>
      </c>
      <c r="B545" s="1426" t="s">
        <v>407</v>
      </c>
      <c r="C545" s="1426" t="s">
        <v>709</v>
      </c>
      <c r="D545" s="1431">
        <v>0</v>
      </c>
    </row>
    <row r="546" spans="1:4">
      <c r="A546" s="1426" t="s">
        <v>396</v>
      </c>
      <c r="B546" s="1426" t="s">
        <v>407</v>
      </c>
      <c r="C546" s="1426" t="s">
        <v>708</v>
      </c>
      <c r="D546" s="1431">
        <v>100</v>
      </c>
    </row>
    <row r="547" spans="1:4">
      <c r="A547" s="1426" t="s">
        <v>396</v>
      </c>
      <c r="B547" s="1426" t="s">
        <v>407</v>
      </c>
      <c r="C547" s="1426" t="s">
        <v>707</v>
      </c>
      <c r="D547" s="1431">
        <v>300</v>
      </c>
    </row>
    <row r="548" spans="1:4">
      <c r="A548" s="1426" t="s">
        <v>396</v>
      </c>
      <c r="B548" s="1426" t="s">
        <v>407</v>
      </c>
      <c r="C548" s="1426" t="s">
        <v>706</v>
      </c>
      <c r="D548" s="1431">
        <v>300</v>
      </c>
    </row>
    <row r="549" spans="1:4">
      <c r="A549" s="1426" t="s">
        <v>396</v>
      </c>
      <c r="B549" s="1426" t="s">
        <v>407</v>
      </c>
      <c r="C549" s="1426" t="s">
        <v>705</v>
      </c>
      <c r="D549" s="1431">
        <v>200</v>
      </c>
    </row>
    <row r="550" spans="1:4">
      <c r="A550" s="1426" t="s">
        <v>396</v>
      </c>
      <c r="B550" s="1426" t="s">
        <v>407</v>
      </c>
      <c r="C550" s="1426" t="s">
        <v>704</v>
      </c>
      <c r="D550" s="1431">
        <v>800</v>
      </c>
    </row>
    <row r="551" spans="1:4">
      <c r="A551" s="1426" t="s">
        <v>396</v>
      </c>
      <c r="B551" s="1426" t="s">
        <v>407</v>
      </c>
      <c r="C551" s="1426" t="s">
        <v>703</v>
      </c>
      <c r="D551" s="1431">
        <v>0</v>
      </c>
    </row>
    <row r="552" spans="1:4">
      <c r="A552" s="1426" t="s">
        <v>396</v>
      </c>
      <c r="B552" s="1426" t="s">
        <v>407</v>
      </c>
      <c r="C552" s="1426" t="s">
        <v>702</v>
      </c>
      <c r="D552" s="1431">
        <v>600</v>
      </c>
    </row>
    <row r="553" spans="1:4">
      <c r="A553" s="1426" t="s">
        <v>396</v>
      </c>
      <c r="B553" s="1426" t="s">
        <v>406</v>
      </c>
      <c r="C553" s="1426" t="s">
        <v>712</v>
      </c>
      <c r="D553" s="1431">
        <v>0</v>
      </c>
    </row>
    <row r="554" spans="1:4">
      <c r="A554" s="1426" t="s">
        <v>396</v>
      </c>
      <c r="B554" s="1426" t="s">
        <v>406</v>
      </c>
      <c r="C554" s="1426" t="s">
        <v>711</v>
      </c>
      <c r="D554" s="1431">
        <v>0</v>
      </c>
    </row>
    <row r="555" spans="1:4">
      <c r="A555" s="1426" t="s">
        <v>396</v>
      </c>
      <c r="B555" s="1426" t="s">
        <v>406</v>
      </c>
      <c r="C555" s="1426" t="s">
        <v>710</v>
      </c>
      <c r="D555" s="1431">
        <v>0</v>
      </c>
    </row>
    <row r="556" spans="1:4">
      <c r="A556" s="1426" t="s">
        <v>396</v>
      </c>
      <c r="B556" s="1426" t="s">
        <v>406</v>
      </c>
      <c r="C556" s="1426" t="s">
        <v>709</v>
      </c>
      <c r="D556" s="1431">
        <v>0</v>
      </c>
    </row>
    <row r="557" spans="1:4">
      <c r="A557" s="1426" t="s">
        <v>396</v>
      </c>
      <c r="B557" s="1426" t="s">
        <v>406</v>
      </c>
      <c r="C557" s="1426" t="s">
        <v>708</v>
      </c>
      <c r="D557" s="1431">
        <v>0</v>
      </c>
    </row>
    <row r="558" spans="1:4">
      <c r="A558" s="1426" t="s">
        <v>396</v>
      </c>
      <c r="B558" s="1426" t="s">
        <v>406</v>
      </c>
      <c r="C558" s="1426" t="s">
        <v>707</v>
      </c>
      <c r="D558" s="1431">
        <v>0</v>
      </c>
    </row>
    <row r="559" spans="1:4">
      <c r="A559" s="1426" t="s">
        <v>396</v>
      </c>
      <c r="B559" s="1426" t="s">
        <v>406</v>
      </c>
      <c r="C559" s="1426" t="s">
        <v>706</v>
      </c>
      <c r="D559" s="1431">
        <v>0</v>
      </c>
    </row>
    <row r="560" spans="1:4">
      <c r="A560" s="1426" t="s">
        <v>396</v>
      </c>
      <c r="B560" s="1426" t="s">
        <v>406</v>
      </c>
      <c r="C560" s="1426" t="s">
        <v>705</v>
      </c>
      <c r="D560" s="1431">
        <v>0</v>
      </c>
    </row>
    <row r="561" spans="1:4">
      <c r="A561" s="1426" t="s">
        <v>396</v>
      </c>
      <c r="B561" s="1426" t="s">
        <v>406</v>
      </c>
      <c r="C561" s="1426" t="s">
        <v>704</v>
      </c>
      <c r="D561" s="1431">
        <v>0</v>
      </c>
    </row>
    <row r="562" spans="1:4">
      <c r="A562" s="1426" t="s">
        <v>396</v>
      </c>
      <c r="B562" s="1426" t="s">
        <v>406</v>
      </c>
      <c r="C562" s="1426" t="s">
        <v>703</v>
      </c>
      <c r="D562" s="1431">
        <v>0</v>
      </c>
    </row>
    <row r="563" spans="1:4">
      <c r="A563" s="1426" t="s">
        <v>396</v>
      </c>
      <c r="B563" s="1426" t="s">
        <v>406</v>
      </c>
      <c r="C563" s="1426" t="s">
        <v>702</v>
      </c>
      <c r="D563" s="1431">
        <v>0</v>
      </c>
    </row>
    <row r="564" spans="1:4">
      <c r="A564" s="1426" t="s">
        <v>396</v>
      </c>
      <c r="B564" s="1426" t="s">
        <v>405</v>
      </c>
      <c r="C564" s="1426" t="s">
        <v>712</v>
      </c>
      <c r="D564" s="1431">
        <v>0</v>
      </c>
    </row>
    <row r="565" spans="1:4">
      <c r="A565" s="1426" t="s">
        <v>396</v>
      </c>
      <c r="B565" s="1426" t="s">
        <v>405</v>
      </c>
      <c r="C565" s="1426" t="s">
        <v>711</v>
      </c>
      <c r="D565" s="1431">
        <v>0</v>
      </c>
    </row>
    <row r="566" spans="1:4">
      <c r="A566" s="1426" t="s">
        <v>396</v>
      </c>
      <c r="B566" s="1426" t="s">
        <v>405</v>
      </c>
      <c r="C566" s="1426" t="s">
        <v>710</v>
      </c>
      <c r="D566" s="1431">
        <v>0</v>
      </c>
    </row>
    <row r="567" spans="1:4">
      <c r="A567" s="1426" t="s">
        <v>396</v>
      </c>
      <c r="B567" s="1426" t="s">
        <v>405</v>
      </c>
      <c r="C567" s="1426" t="s">
        <v>709</v>
      </c>
      <c r="D567" s="1431">
        <v>0</v>
      </c>
    </row>
    <row r="568" spans="1:4">
      <c r="A568" s="1426" t="s">
        <v>396</v>
      </c>
      <c r="B568" s="1426" t="s">
        <v>405</v>
      </c>
      <c r="C568" s="1426" t="s">
        <v>708</v>
      </c>
      <c r="D568" s="1431">
        <v>0</v>
      </c>
    </row>
    <row r="569" spans="1:4">
      <c r="A569" s="1426" t="s">
        <v>396</v>
      </c>
      <c r="B569" s="1426" t="s">
        <v>405</v>
      </c>
      <c r="C569" s="1426" t="s">
        <v>707</v>
      </c>
      <c r="D569" s="1431">
        <v>0</v>
      </c>
    </row>
    <row r="570" spans="1:4">
      <c r="A570" s="1426" t="s">
        <v>396</v>
      </c>
      <c r="B570" s="1426" t="s">
        <v>405</v>
      </c>
      <c r="C570" s="1426" t="s">
        <v>706</v>
      </c>
      <c r="D570" s="1431">
        <v>0</v>
      </c>
    </row>
    <row r="571" spans="1:4">
      <c r="A571" s="1426" t="s">
        <v>396</v>
      </c>
      <c r="B571" s="1426" t="s">
        <v>405</v>
      </c>
      <c r="C571" s="1426" t="s">
        <v>705</v>
      </c>
      <c r="D571" s="1431">
        <v>0</v>
      </c>
    </row>
    <row r="572" spans="1:4">
      <c r="A572" s="1426" t="s">
        <v>396</v>
      </c>
      <c r="B572" s="1426" t="s">
        <v>405</v>
      </c>
      <c r="C572" s="1426" t="s">
        <v>704</v>
      </c>
      <c r="D572" s="1431">
        <v>0</v>
      </c>
    </row>
    <row r="573" spans="1:4">
      <c r="A573" s="1426" t="s">
        <v>396</v>
      </c>
      <c r="B573" s="1426" t="s">
        <v>405</v>
      </c>
      <c r="C573" s="1426" t="s">
        <v>703</v>
      </c>
      <c r="D573" s="1431">
        <v>0</v>
      </c>
    </row>
    <row r="574" spans="1:4">
      <c r="A574" s="1426" t="s">
        <v>396</v>
      </c>
      <c r="B574" s="1426" t="s">
        <v>405</v>
      </c>
      <c r="C574" s="1426" t="s">
        <v>702</v>
      </c>
      <c r="D574" s="1431">
        <v>0</v>
      </c>
    </row>
    <row r="575" spans="1:4">
      <c r="A575" s="1426" t="s">
        <v>400</v>
      </c>
      <c r="B575" s="1426" t="s">
        <v>404</v>
      </c>
      <c r="C575" s="1426" t="s">
        <v>712</v>
      </c>
      <c r="D575" s="1427">
        <v>4100</v>
      </c>
    </row>
    <row r="576" spans="1:4">
      <c r="A576" s="1426" t="s">
        <v>400</v>
      </c>
      <c r="B576" s="1426" t="s">
        <v>404</v>
      </c>
      <c r="C576" s="1426" t="s">
        <v>711</v>
      </c>
      <c r="D576" s="1427">
        <v>4200</v>
      </c>
    </row>
    <row r="577" spans="1:4">
      <c r="A577" s="1426" t="s">
        <v>400</v>
      </c>
      <c r="B577" s="1426" t="s">
        <v>404</v>
      </c>
      <c r="C577" s="1426" t="s">
        <v>710</v>
      </c>
      <c r="D577" s="1427">
        <v>5700</v>
      </c>
    </row>
    <row r="578" spans="1:4">
      <c r="A578" s="1426" t="s">
        <v>400</v>
      </c>
      <c r="B578" s="1426" t="s">
        <v>404</v>
      </c>
      <c r="C578" s="1426" t="s">
        <v>709</v>
      </c>
      <c r="D578" s="1427">
        <v>6900</v>
      </c>
    </row>
    <row r="579" spans="1:4">
      <c r="A579" s="1426" t="s">
        <v>400</v>
      </c>
      <c r="B579" s="1426" t="s">
        <v>404</v>
      </c>
      <c r="C579" s="1426" t="s">
        <v>708</v>
      </c>
      <c r="D579" s="1427">
        <v>7300</v>
      </c>
    </row>
    <row r="580" spans="1:4">
      <c r="A580" s="1426" t="s">
        <v>400</v>
      </c>
      <c r="B580" s="1426" t="s">
        <v>404</v>
      </c>
      <c r="C580" s="1426" t="s">
        <v>707</v>
      </c>
      <c r="D580" s="1427">
        <v>6900</v>
      </c>
    </row>
    <row r="581" spans="1:4">
      <c r="A581" s="1426" t="s">
        <v>400</v>
      </c>
      <c r="B581" s="1426" t="s">
        <v>404</v>
      </c>
      <c r="C581" s="1426" t="s">
        <v>706</v>
      </c>
      <c r="D581" s="1427">
        <v>4800</v>
      </c>
    </row>
    <row r="582" spans="1:4">
      <c r="A582" s="1426" t="s">
        <v>400</v>
      </c>
      <c r="B582" s="1426" t="s">
        <v>404</v>
      </c>
      <c r="C582" s="1426" t="s">
        <v>705</v>
      </c>
      <c r="D582" s="1427">
        <v>7400</v>
      </c>
    </row>
    <row r="583" spans="1:4">
      <c r="A583" s="1426" t="s">
        <v>400</v>
      </c>
      <c r="B583" s="1426" t="s">
        <v>404</v>
      </c>
      <c r="C583" s="1426" t="s">
        <v>704</v>
      </c>
      <c r="D583" s="1427">
        <v>16000</v>
      </c>
    </row>
    <row r="584" spans="1:4">
      <c r="A584" s="1426" t="s">
        <v>400</v>
      </c>
      <c r="B584" s="1426" t="s">
        <v>404</v>
      </c>
      <c r="C584" s="1426" t="s">
        <v>703</v>
      </c>
      <c r="D584" s="1427">
        <v>13100</v>
      </c>
    </row>
    <row r="585" spans="1:4">
      <c r="A585" s="1426" t="s">
        <v>400</v>
      </c>
      <c r="B585" s="1426" t="s">
        <v>404</v>
      </c>
      <c r="C585" s="1426" t="s">
        <v>702</v>
      </c>
      <c r="D585" s="1427">
        <v>13200</v>
      </c>
    </row>
    <row r="586" spans="1:4">
      <c r="A586" s="1426" t="s">
        <v>400</v>
      </c>
      <c r="B586" s="1426" t="s">
        <v>407</v>
      </c>
      <c r="C586" s="1426" t="s">
        <v>712</v>
      </c>
      <c r="D586" s="1427">
        <v>29000</v>
      </c>
    </row>
    <row r="587" spans="1:4">
      <c r="A587" s="1426" t="s">
        <v>400</v>
      </c>
      <c r="B587" s="1426" t="s">
        <v>407</v>
      </c>
      <c r="C587" s="1426" t="s">
        <v>711</v>
      </c>
      <c r="D587" s="1427">
        <v>23700</v>
      </c>
    </row>
    <row r="588" spans="1:4">
      <c r="A588" s="1426" t="s">
        <v>400</v>
      </c>
      <c r="B588" s="1426" t="s">
        <v>407</v>
      </c>
      <c r="C588" s="1426" t="s">
        <v>710</v>
      </c>
      <c r="D588" s="1427">
        <v>22200</v>
      </c>
    </row>
    <row r="589" spans="1:4">
      <c r="A589" s="1426" t="s">
        <v>400</v>
      </c>
      <c r="B589" s="1426" t="s">
        <v>407</v>
      </c>
      <c r="C589" s="1426" t="s">
        <v>709</v>
      </c>
      <c r="D589" s="1427">
        <v>19100</v>
      </c>
    </row>
    <row r="590" spans="1:4">
      <c r="A590" s="1426" t="s">
        <v>400</v>
      </c>
      <c r="B590" s="1426" t="s">
        <v>407</v>
      </c>
      <c r="C590" s="1426" t="s">
        <v>708</v>
      </c>
      <c r="D590" s="1427">
        <v>19500</v>
      </c>
    </row>
    <row r="591" spans="1:4">
      <c r="A591" s="1426" t="s">
        <v>400</v>
      </c>
      <c r="B591" s="1426" t="s">
        <v>407</v>
      </c>
      <c r="C591" s="1426" t="s">
        <v>707</v>
      </c>
      <c r="D591" s="1427">
        <v>20300</v>
      </c>
    </row>
    <row r="592" spans="1:4">
      <c r="A592" s="1426" t="s">
        <v>400</v>
      </c>
      <c r="B592" s="1426" t="s">
        <v>407</v>
      </c>
      <c r="C592" s="1426" t="s">
        <v>706</v>
      </c>
      <c r="D592" s="1427">
        <v>13900</v>
      </c>
    </row>
    <row r="593" spans="1:4">
      <c r="A593" s="1426" t="s">
        <v>400</v>
      </c>
      <c r="B593" s="1426" t="s">
        <v>407</v>
      </c>
      <c r="C593" s="1426" t="s">
        <v>705</v>
      </c>
      <c r="D593" s="1427">
        <v>16400</v>
      </c>
    </row>
    <row r="594" spans="1:4">
      <c r="A594" s="1426" t="s">
        <v>400</v>
      </c>
      <c r="B594" s="1426" t="s">
        <v>407</v>
      </c>
      <c r="C594" s="1426" t="s">
        <v>704</v>
      </c>
      <c r="D594" s="1427">
        <v>32600</v>
      </c>
    </row>
    <row r="595" spans="1:4">
      <c r="A595" s="1426" t="s">
        <v>400</v>
      </c>
      <c r="B595" s="1426" t="s">
        <v>407</v>
      </c>
      <c r="C595" s="1426" t="s">
        <v>703</v>
      </c>
      <c r="D595" s="1427">
        <v>27400</v>
      </c>
    </row>
    <row r="596" spans="1:4">
      <c r="A596" s="1426" t="s">
        <v>400</v>
      </c>
      <c r="B596" s="1426" t="s">
        <v>407</v>
      </c>
      <c r="C596" s="1426" t="s">
        <v>702</v>
      </c>
      <c r="D596" s="1427">
        <v>35500</v>
      </c>
    </row>
    <row r="597" spans="1:4">
      <c r="A597" s="1426" t="s">
        <v>400</v>
      </c>
      <c r="B597" s="1426" t="s">
        <v>406</v>
      </c>
      <c r="C597" s="1426" t="s">
        <v>712</v>
      </c>
      <c r="D597" s="1427">
        <v>5100</v>
      </c>
    </row>
    <row r="598" spans="1:4">
      <c r="A598" s="1426" t="s">
        <v>400</v>
      </c>
      <c r="B598" s="1426" t="s">
        <v>406</v>
      </c>
      <c r="C598" s="1426" t="s">
        <v>711</v>
      </c>
      <c r="D598" s="1427">
        <v>4500</v>
      </c>
    </row>
    <row r="599" spans="1:4">
      <c r="A599" s="1426" t="s">
        <v>400</v>
      </c>
      <c r="B599" s="1426" t="s">
        <v>406</v>
      </c>
      <c r="C599" s="1426" t="s">
        <v>710</v>
      </c>
      <c r="D599" s="1427">
        <v>3200</v>
      </c>
    </row>
    <row r="600" spans="1:4">
      <c r="A600" s="1426" t="s">
        <v>400</v>
      </c>
      <c r="B600" s="1426" t="s">
        <v>406</v>
      </c>
      <c r="C600" s="1426" t="s">
        <v>709</v>
      </c>
      <c r="D600" s="1427">
        <v>1900</v>
      </c>
    </row>
    <row r="601" spans="1:4">
      <c r="A601" s="1426" t="s">
        <v>400</v>
      </c>
      <c r="B601" s="1426" t="s">
        <v>406</v>
      </c>
      <c r="C601" s="1426" t="s">
        <v>708</v>
      </c>
      <c r="D601" s="1427">
        <v>2200</v>
      </c>
    </row>
    <row r="602" spans="1:4">
      <c r="A602" s="1426" t="s">
        <v>400</v>
      </c>
      <c r="B602" s="1426" t="s">
        <v>406</v>
      </c>
      <c r="C602" s="1426" t="s">
        <v>707</v>
      </c>
      <c r="D602" s="1427">
        <v>2200</v>
      </c>
    </row>
    <row r="603" spans="1:4">
      <c r="A603" s="1426" t="s">
        <v>400</v>
      </c>
      <c r="B603" s="1426" t="s">
        <v>406</v>
      </c>
      <c r="C603" s="1426" t="s">
        <v>706</v>
      </c>
      <c r="D603" s="1427">
        <v>1000</v>
      </c>
    </row>
    <row r="604" spans="1:4">
      <c r="A604" s="1426" t="s">
        <v>400</v>
      </c>
      <c r="B604" s="1426" t="s">
        <v>406</v>
      </c>
      <c r="C604" s="1426" t="s">
        <v>705</v>
      </c>
      <c r="D604" s="1431">
        <v>400</v>
      </c>
    </row>
    <row r="605" spans="1:4">
      <c r="A605" s="1426" t="s">
        <v>400</v>
      </c>
      <c r="B605" s="1426" t="s">
        <v>406</v>
      </c>
      <c r="C605" s="1426" t="s">
        <v>704</v>
      </c>
      <c r="D605" s="1427">
        <v>1100</v>
      </c>
    </row>
    <row r="606" spans="1:4">
      <c r="A606" s="1426" t="s">
        <v>400</v>
      </c>
      <c r="B606" s="1426" t="s">
        <v>406</v>
      </c>
      <c r="C606" s="1426" t="s">
        <v>703</v>
      </c>
      <c r="D606" s="1431">
        <v>700</v>
      </c>
    </row>
    <row r="607" spans="1:4">
      <c r="A607" s="1426" t="s">
        <v>400</v>
      </c>
      <c r="B607" s="1426" t="s">
        <v>406</v>
      </c>
      <c r="C607" s="1426" t="s">
        <v>702</v>
      </c>
      <c r="D607" s="1431">
        <v>0</v>
      </c>
    </row>
    <row r="608" spans="1:4">
      <c r="A608" s="1426" t="s">
        <v>400</v>
      </c>
      <c r="B608" s="1426" t="s">
        <v>405</v>
      </c>
      <c r="C608" s="1426" t="s">
        <v>712</v>
      </c>
      <c r="D608" s="1427">
        <v>8400</v>
      </c>
    </row>
    <row r="609" spans="1:4">
      <c r="A609" s="1426" t="s">
        <v>400</v>
      </c>
      <c r="B609" s="1426" t="s">
        <v>405</v>
      </c>
      <c r="C609" s="1426" t="s">
        <v>711</v>
      </c>
      <c r="D609" s="1427">
        <v>7800</v>
      </c>
    </row>
    <row r="610" spans="1:4">
      <c r="A610" s="1426" t="s">
        <v>400</v>
      </c>
      <c r="B610" s="1426" t="s">
        <v>405</v>
      </c>
      <c r="C610" s="1426" t="s">
        <v>710</v>
      </c>
      <c r="D610" s="1427">
        <v>6900</v>
      </c>
    </row>
    <row r="611" spans="1:4">
      <c r="A611" s="1426" t="s">
        <v>400</v>
      </c>
      <c r="B611" s="1426" t="s">
        <v>405</v>
      </c>
      <c r="C611" s="1426" t="s">
        <v>709</v>
      </c>
      <c r="D611" s="1427">
        <v>5300</v>
      </c>
    </row>
    <row r="612" spans="1:4">
      <c r="A612" s="1426" t="s">
        <v>400</v>
      </c>
      <c r="B612" s="1426" t="s">
        <v>405</v>
      </c>
      <c r="C612" s="1426" t="s">
        <v>708</v>
      </c>
      <c r="D612" s="1427">
        <v>6200</v>
      </c>
    </row>
    <row r="613" spans="1:4">
      <c r="A613" s="1426" t="s">
        <v>400</v>
      </c>
      <c r="B613" s="1426" t="s">
        <v>405</v>
      </c>
      <c r="C613" s="1426" t="s">
        <v>707</v>
      </c>
      <c r="D613" s="1427">
        <v>3700</v>
      </c>
    </row>
    <row r="614" spans="1:4">
      <c r="A614" s="1426" t="s">
        <v>400</v>
      </c>
      <c r="B614" s="1426" t="s">
        <v>405</v>
      </c>
      <c r="C614" s="1426" t="s">
        <v>706</v>
      </c>
      <c r="D614" s="1427">
        <v>1800</v>
      </c>
    </row>
    <row r="615" spans="1:4">
      <c r="A615" s="1426" t="s">
        <v>400</v>
      </c>
      <c r="B615" s="1426" t="s">
        <v>405</v>
      </c>
      <c r="C615" s="1426" t="s">
        <v>705</v>
      </c>
      <c r="D615" s="1427">
        <v>1700</v>
      </c>
    </row>
    <row r="616" spans="1:4">
      <c r="A616" s="1426" t="s">
        <v>400</v>
      </c>
      <c r="B616" s="1426" t="s">
        <v>405</v>
      </c>
      <c r="C616" s="1426" t="s">
        <v>704</v>
      </c>
      <c r="D616" s="1427">
        <v>2800</v>
      </c>
    </row>
    <row r="617" spans="1:4">
      <c r="A617" s="1426" t="s">
        <v>400</v>
      </c>
      <c r="B617" s="1426" t="s">
        <v>405</v>
      </c>
      <c r="C617" s="1426" t="s">
        <v>703</v>
      </c>
      <c r="D617" s="1427">
        <v>2500</v>
      </c>
    </row>
    <row r="618" spans="1:4">
      <c r="A618" s="1426" t="s">
        <v>400</v>
      </c>
      <c r="B618" s="1426" t="s">
        <v>405</v>
      </c>
      <c r="C618" s="1426" t="s">
        <v>702</v>
      </c>
      <c r="D618" s="1427">
        <v>1600</v>
      </c>
    </row>
    <row r="619" spans="1:4">
      <c r="A619" s="1426" t="s">
        <v>401</v>
      </c>
      <c r="B619" s="1426" t="s">
        <v>404</v>
      </c>
      <c r="C619" s="1426" t="s">
        <v>712</v>
      </c>
      <c r="D619" s="1427">
        <v>4000</v>
      </c>
    </row>
    <row r="620" spans="1:4">
      <c r="A620" s="1426" t="s">
        <v>401</v>
      </c>
      <c r="B620" s="1426" t="s">
        <v>404</v>
      </c>
      <c r="C620" s="1426" t="s">
        <v>711</v>
      </c>
      <c r="D620" s="1427">
        <v>5300</v>
      </c>
    </row>
    <row r="621" spans="1:4">
      <c r="A621" s="1426" t="s">
        <v>401</v>
      </c>
      <c r="B621" s="1426" t="s">
        <v>404</v>
      </c>
      <c r="C621" s="1426" t="s">
        <v>710</v>
      </c>
      <c r="D621" s="1427">
        <v>2600</v>
      </c>
    </row>
    <row r="622" spans="1:4">
      <c r="A622" s="1426" t="s">
        <v>401</v>
      </c>
      <c r="B622" s="1426" t="s">
        <v>404</v>
      </c>
      <c r="C622" s="1426" t="s">
        <v>709</v>
      </c>
      <c r="D622" s="1427">
        <v>4300</v>
      </c>
    </row>
    <row r="623" spans="1:4">
      <c r="A623" s="1426" t="s">
        <v>401</v>
      </c>
      <c r="B623" s="1426" t="s">
        <v>404</v>
      </c>
      <c r="C623" s="1426" t="s">
        <v>708</v>
      </c>
      <c r="D623" s="1427">
        <v>5200</v>
      </c>
    </row>
    <row r="624" spans="1:4">
      <c r="A624" s="1426" t="s">
        <v>401</v>
      </c>
      <c r="B624" s="1426" t="s">
        <v>404</v>
      </c>
      <c r="C624" s="1426" t="s">
        <v>707</v>
      </c>
      <c r="D624" s="1427">
        <v>5000</v>
      </c>
    </row>
    <row r="625" spans="1:4">
      <c r="A625" s="1426" t="s">
        <v>401</v>
      </c>
      <c r="B625" s="1426" t="s">
        <v>404</v>
      </c>
      <c r="C625" s="1426" t="s">
        <v>706</v>
      </c>
      <c r="D625" s="1427">
        <v>3200</v>
      </c>
    </row>
    <row r="626" spans="1:4">
      <c r="A626" s="1426" t="s">
        <v>401</v>
      </c>
      <c r="B626" s="1426" t="s">
        <v>404</v>
      </c>
      <c r="C626" s="1426" t="s">
        <v>705</v>
      </c>
      <c r="D626" s="1427">
        <v>2700</v>
      </c>
    </row>
    <row r="627" spans="1:4">
      <c r="A627" s="1426" t="s">
        <v>401</v>
      </c>
      <c r="B627" s="1426" t="s">
        <v>404</v>
      </c>
      <c r="C627" s="1426" t="s">
        <v>704</v>
      </c>
      <c r="D627" s="1427">
        <v>8700</v>
      </c>
    </row>
    <row r="628" spans="1:4">
      <c r="A628" s="1426" t="s">
        <v>401</v>
      </c>
      <c r="B628" s="1426" t="s">
        <v>404</v>
      </c>
      <c r="C628" s="1426" t="s">
        <v>703</v>
      </c>
      <c r="D628" s="1427">
        <v>10400</v>
      </c>
    </row>
    <row r="629" spans="1:4">
      <c r="A629" s="1426" t="s">
        <v>401</v>
      </c>
      <c r="B629" s="1426" t="s">
        <v>404</v>
      </c>
      <c r="C629" s="1426" t="s">
        <v>702</v>
      </c>
      <c r="D629" s="1427">
        <v>10300</v>
      </c>
    </row>
    <row r="630" spans="1:4">
      <c r="A630" s="1426" t="s">
        <v>401</v>
      </c>
      <c r="B630" s="1426" t="s">
        <v>407</v>
      </c>
      <c r="C630" s="1426" t="s">
        <v>712</v>
      </c>
      <c r="D630" s="1427">
        <v>76200</v>
      </c>
    </row>
    <row r="631" spans="1:4">
      <c r="A631" s="1426" t="s">
        <v>401</v>
      </c>
      <c r="B631" s="1426" t="s">
        <v>407</v>
      </c>
      <c r="C631" s="1426" t="s">
        <v>711</v>
      </c>
      <c r="D631" s="1427">
        <v>57800</v>
      </c>
    </row>
    <row r="632" spans="1:4">
      <c r="A632" s="1426" t="s">
        <v>401</v>
      </c>
      <c r="B632" s="1426" t="s">
        <v>407</v>
      </c>
      <c r="C632" s="1426" t="s">
        <v>710</v>
      </c>
      <c r="D632" s="1427">
        <v>37800</v>
      </c>
    </row>
    <row r="633" spans="1:4">
      <c r="A633" s="1426" t="s">
        <v>401</v>
      </c>
      <c r="B633" s="1426" t="s">
        <v>407</v>
      </c>
      <c r="C633" s="1426" t="s">
        <v>709</v>
      </c>
      <c r="D633" s="1427">
        <v>43300</v>
      </c>
    </row>
    <row r="634" spans="1:4">
      <c r="A634" s="1426" t="s">
        <v>401</v>
      </c>
      <c r="B634" s="1426" t="s">
        <v>407</v>
      </c>
      <c r="C634" s="1426" t="s">
        <v>708</v>
      </c>
      <c r="D634" s="1427">
        <v>46900</v>
      </c>
    </row>
    <row r="635" spans="1:4">
      <c r="A635" s="1426" t="s">
        <v>401</v>
      </c>
      <c r="B635" s="1426" t="s">
        <v>407</v>
      </c>
      <c r="C635" s="1426" t="s">
        <v>707</v>
      </c>
      <c r="D635" s="1427">
        <v>47200</v>
      </c>
    </row>
    <row r="636" spans="1:4">
      <c r="A636" s="1426" t="s">
        <v>401</v>
      </c>
      <c r="B636" s="1426" t="s">
        <v>407</v>
      </c>
      <c r="C636" s="1426" t="s">
        <v>706</v>
      </c>
      <c r="D636" s="1427">
        <v>32100</v>
      </c>
    </row>
    <row r="637" spans="1:4">
      <c r="A637" s="1426" t="s">
        <v>401</v>
      </c>
      <c r="B637" s="1426" t="s">
        <v>407</v>
      </c>
      <c r="C637" s="1426" t="s">
        <v>705</v>
      </c>
      <c r="D637" s="1427">
        <v>23800</v>
      </c>
    </row>
    <row r="638" spans="1:4">
      <c r="A638" s="1426" t="s">
        <v>401</v>
      </c>
      <c r="B638" s="1426" t="s">
        <v>407</v>
      </c>
      <c r="C638" s="1426" t="s">
        <v>704</v>
      </c>
      <c r="D638" s="1427">
        <v>55700</v>
      </c>
    </row>
    <row r="639" spans="1:4">
      <c r="A639" s="1426" t="s">
        <v>401</v>
      </c>
      <c r="B639" s="1426" t="s">
        <v>407</v>
      </c>
      <c r="C639" s="1426" t="s">
        <v>703</v>
      </c>
      <c r="D639" s="1427">
        <v>63000</v>
      </c>
    </row>
    <row r="640" spans="1:4">
      <c r="A640" s="1426" t="s">
        <v>401</v>
      </c>
      <c r="B640" s="1426" t="s">
        <v>407</v>
      </c>
      <c r="C640" s="1426" t="s">
        <v>702</v>
      </c>
      <c r="D640" s="1427">
        <v>55400</v>
      </c>
    </row>
    <row r="641" spans="1:4">
      <c r="A641" s="1426" t="s">
        <v>401</v>
      </c>
      <c r="B641" s="1426" t="s">
        <v>406</v>
      </c>
      <c r="C641" s="1426" t="s">
        <v>712</v>
      </c>
      <c r="D641" s="1427">
        <v>8000</v>
      </c>
    </row>
    <row r="642" spans="1:4">
      <c r="A642" s="1426" t="s">
        <v>401</v>
      </c>
      <c r="B642" s="1426" t="s">
        <v>406</v>
      </c>
      <c r="C642" s="1426" t="s">
        <v>711</v>
      </c>
      <c r="D642" s="1427">
        <v>8700</v>
      </c>
    </row>
    <row r="643" spans="1:4">
      <c r="A643" s="1426" t="s">
        <v>401</v>
      </c>
      <c r="B643" s="1426" t="s">
        <v>406</v>
      </c>
      <c r="C643" s="1426" t="s">
        <v>710</v>
      </c>
      <c r="D643" s="1427">
        <v>7300</v>
      </c>
    </row>
    <row r="644" spans="1:4">
      <c r="A644" s="1426" t="s">
        <v>401</v>
      </c>
      <c r="B644" s="1426" t="s">
        <v>406</v>
      </c>
      <c r="C644" s="1426" t="s">
        <v>709</v>
      </c>
      <c r="D644" s="1427">
        <v>4700</v>
      </c>
    </row>
    <row r="645" spans="1:4">
      <c r="A645" s="1426" t="s">
        <v>401</v>
      </c>
      <c r="B645" s="1426" t="s">
        <v>406</v>
      </c>
      <c r="C645" s="1426" t="s">
        <v>708</v>
      </c>
      <c r="D645" s="1427">
        <v>3600</v>
      </c>
    </row>
    <row r="646" spans="1:4">
      <c r="A646" s="1426" t="s">
        <v>401</v>
      </c>
      <c r="B646" s="1426" t="s">
        <v>406</v>
      </c>
      <c r="C646" s="1426" t="s">
        <v>707</v>
      </c>
      <c r="D646" s="1427">
        <v>2500</v>
      </c>
    </row>
    <row r="647" spans="1:4">
      <c r="A647" s="1426" t="s">
        <v>401</v>
      </c>
      <c r="B647" s="1426" t="s">
        <v>406</v>
      </c>
      <c r="C647" s="1426" t="s">
        <v>706</v>
      </c>
      <c r="D647" s="1427">
        <v>1300</v>
      </c>
    </row>
    <row r="648" spans="1:4">
      <c r="A648" s="1426" t="s">
        <v>401</v>
      </c>
      <c r="B648" s="1426" t="s">
        <v>406</v>
      </c>
      <c r="C648" s="1426" t="s">
        <v>705</v>
      </c>
      <c r="D648" s="1427">
        <v>1000</v>
      </c>
    </row>
    <row r="649" spans="1:4">
      <c r="A649" s="1426" t="s">
        <v>401</v>
      </c>
      <c r="B649" s="1426" t="s">
        <v>406</v>
      </c>
      <c r="C649" s="1426" t="s">
        <v>704</v>
      </c>
      <c r="D649" s="1427">
        <v>2800</v>
      </c>
    </row>
    <row r="650" spans="1:4">
      <c r="A650" s="1426" t="s">
        <v>401</v>
      </c>
      <c r="B650" s="1426" t="s">
        <v>406</v>
      </c>
      <c r="C650" s="1426" t="s">
        <v>703</v>
      </c>
      <c r="D650" s="1427">
        <v>1600</v>
      </c>
    </row>
    <row r="651" spans="1:4">
      <c r="A651" s="1426" t="s">
        <v>401</v>
      </c>
      <c r="B651" s="1426" t="s">
        <v>406</v>
      </c>
      <c r="C651" s="1426" t="s">
        <v>702</v>
      </c>
      <c r="D651" s="1431">
        <v>0</v>
      </c>
    </row>
    <row r="652" spans="1:4">
      <c r="A652" s="1426" t="s">
        <v>401</v>
      </c>
      <c r="B652" s="1426" t="s">
        <v>405</v>
      </c>
      <c r="C652" s="1426" t="s">
        <v>712</v>
      </c>
      <c r="D652" s="1427">
        <v>2700</v>
      </c>
    </row>
    <row r="653" spans="1:4">
      <c r="A653" s="1426" t="s">
        <v>401</v>
      </c>
      <c r="B653" s="1426" t="s">
        <v>405</v>
      </c>
      <c r="C653" s="1426" t="s">
        <v>711</v>
      </c>
      <c r="D653" s="1427">
        <v>3700</v>
      </c>
    </row>
    <row r="654" spans="1:4">
      <c r="A654" s="1426" t="s">
        <v>401</v>
      </c>
      <c r="B654" s="1426" t="s">
        <v>405</v>
      </c>
      <c r="C654" s="1426" t="s">
        <v>710</v>
      </c>
      <c r="D654" s="1427">
        <v>3100</v>
      </c>
    </row>
    <row r="655" spans="1:4">
      <c r="A655" s="1426" t="s">
        <v>401</v>
      </c>
      <c r="B655" s="1426" t="s">
        <v>405</v>
      </c>
      <c r="C655" s="1426" t="s">
        <v>709</v>
      </c>
      <c r="D655" s="1427">
        <v>3100</v>
      </c>
    </row>
    <row r="656" spans="1:4">
      <c r="A656" s="1426" t="s">
        <v>401</v>
      </c>
      <c r="B656" s="1426" t="s">
        <v>405</v>
      </c>
      <c r="C656" s="1426" t="s">
        <v>708</v>
      </c>
      <c r="D656" s="1427">
        <v>4200</v>
      </c>
    </row>
    <row r="657" spans="1:4">
      <c r="A657" s="1426" t="s">
        <v>401</v>
      </c>
      <c r="B657" s="1426" t="s">
        <v>405</v>
      </c>
      <c r="C657" s="1426" t="s">
        <v>707</v>
      </c>
      <c r="D657" s="1427">
        <v>3400</v>
      </c>
    </row>
    <row r="658" spans="1:4">
      <c r="A658" s="1426" t="s">
        <v>401</v>
      </c>
      <c r="B658" s="1426" t="s">
        <v>405</v>
      </c>
      <c r="C658" s="1426" t="s">
        <v>706</v>
      </c>
      <c r="D658" s="1427">
        <v>2400</v>
      </c>
    </row>
    <row r="659" spans="1:4">
      <c r="A659" s="1426" t="s">
        <v>401</v>
      </c>
      <c r="B659" s="1426" t="s">
        <v>405</v>
      </c>
      <c r="C659" s="1426" t="s">
        <v>705</v>
      </c>
      <c r="D659" s="1427">
        <v>2400</v>
      </c>
    </row>
    <row r="660" spans="1:4">
      <c r="A660" s="1426" t="s">
        <v>401</v>
      </c>
      <c r="B660" s="1426" t="s">
        <v>405</v>
      </c>
      <c r="C660" s="1426" t="s">
        <v>704</v>
      </c>
      <c r="D660" s="1427">
        <v>7300</v>
      </c>
    </row>
    <row r="661" spans="1:4">
      <c r="A661" s="1426" t="s">
        <v>401</v>
      </c>
      <c r="B661" s="1426" t="s">
        <v>405</v>
      </c>
      <c r="C661" s="1426" t="s">
        <v>703</v>
      </c>
      <c r="D661" s="1427">
        <v>9800</v>
      </c>
    </row>
    <row r="662" spans="1:4">
      <c r="A662" s="1426" t="s">
        <v>401</v>
      </c>
      <c r="B662" s="1426" t="s">
        <v>405</v>
      </c>
      <c r="C662" s="1426" t="s">
        <v>702</v>
      </c>
      <c r="D662" s="1427">
        <v>7300</v>
      </c>
    </row>
    <row r="663" spans="1:4">
      <c r="A663" s="1426" t="s">
        <v>387</v>
      </c>
      <c r="B663" s="1426" t="s">
        <v>404</v>
      </c>
      <c r="C663" s="1426" t="s">
        <v>712</v>
      </c>
      <c r="D663" s="1427">
        <v>74900</v>
      </c>
    </row>
    <row r="664" spans="1:4">
      <c r="A664" s="1426" t="s">
        <v>387</v>
      </c>
      <c r="B664" s="1426" t="s">
        <v>404</v>
      </c>
      <c r="C664" s="1426" t="s">
        <v>711</v>
      </c>
      <c r="D664" s="1427">
        <v>69900</v>
      </c>
    </row>
    <row r="665" spans="1:4">
      <c r="A665" s="1426" t="s">
        <v>387</v>
      </c>
      <c r="B665" s="1426" t="s">
        <v>404</v>
      </c>
      <c r="C665" s="1426" t="s">
        <v>710</v>
      </c>
      <c r="D665" s="1427">
        <v>45000</v>
      </c>
    </row>
    <row r="666" spans="1:4">
      <c r="A666" s="1426" t="s">
        <v>387</v>
      </c>
      <c r="B666" s="1426" t="s">
        <v>404</v>
      </c>
      <c r="C666" s="1426" t="s">
        <v>709</v>
      </c>
      <c r="D666" s="1427">
        <v>65800</v>
      </c>
    </row>
    <row r="667" spans="1:4">
      <c r="A667" s="1426" t="s">
        <v>387</v>
      </c>
      <c r="B667" s="1426" t="s">
        <v>404</v>
      </c>
      <c r="C667" s="1426" t="s">
        <v>708</v>
      </c>
      <c r="D667" s="1427">
        <v>52300</v>
      </c>
    </row>
    <row r="668" spans="1:4">
      <c r="A668" s="1426" t="s">
        <v>387</v>
      </c>
      <c r="B668" s="1426" t="s">
        <v>404</v>
      </c>
      <c r="C668" s="1426" t="s">
        <v>707</v>
      </c>
      <c r="D668" s="1427">
        <v>59400</v>
      </c>
    </row>
    <row r="669" spans="1:4">
      <c r="A669" s="1426" t="s">
        <v>387</v>
      </c>
      <c r="B669" s="1426" t="s">
        <v>404</v>
      </c>
      <c r="C669" s="1426" t="s">
        <v>706</v>
      </c>
      <c r="D669" s="1427">
        <v>34900</v>
      </c>
    </row>
    <row r="670" spans="1:4">
      <c r="A670" s="1426" t="s">
        <v>387</v>
      </c>
      <c r="B670" s="1426" t="s">
        <v>404</v>
      </c>
      <c r="C670" s="1426" t="s">
        <v>705</v>
      </c>
      <c r="D670" s="1427">
        <v>38100</v>
      </c>
    </row>
    <row r="671" spans="1:4">
      <c r="A671" s="1426" t="s">
        <v>387</v>
      </c>
      <c r="B671" s="1426" t="s">
        <v>404</v>
      </c>
      <c r="C671" s="1426" t="s">
        <v>704</v>
      </c>
      <c r="D671" s="1427">
        <v>26800</v>
      </c>
    </row>
    <row r="672" spans="1:4">
      <c r="A672" s="1426" t="s">
        <v>387</v>
      </c>
      <c r="B672" s="1426" t="s">
        <v>404</v>
      </c>
      <c r="C672" s="1426" t="s">
        <v>703</v>
      </c>
      <c r="D672" s="1427">
        <v>17800</v>
      </c>
    </row>
    <row r="673" spans="1:4">
      <c r="A673" s="1426" t="s">
        <v>387</v>
      </c>
      <c r="B673" s="1426" t="s">
        <v>404</v>
      </c>
      <c r="C673" s="1426" t="s">
        <v>702</v>
      </c>
      <c r="D673" s="1431">
        <v>0</v>
      </c>
    </row>
    <row r="674" spans="1:4">
      <c r="A674" s="1426" t="s">
        <v>387</v>
      </c>
      <c r="B674" s="1426" t="s">
        <v>407</v>
      </c>
      <c r="C674" s="1426" t="s">
        <v>712</v>
      </c>
      <c r="D674" s="1427">
        <v>4900</v>
      </c>
    </row>
    <row r="675" spans="1:4">
      <c r="A675" s="1426" t="s">
        <v>387</v>
      </c>
      <c r="B675" s="1426" t="s">
        <v>407</v>
      </c>
      <c r="C675" s="1426" t="s">
        <v>711</v>
      </c>
      <c r="D675" s="1427">
        <v>4700</v>
      </c>
    </row>
    <row r="676" spans="1:4">
      <c r="A676" s="1426" t="s">
        <v>387</v>
      </c>
      <c r="B676" s="1426" t="s">
        <v>407</v>
      </c>
      <c r="C676" s="1426" t="s">
        <v>710</v>
      </c>
      <c r="D676" s="1427">
        <v>3000</v>
      </c>
    </row>
    <row r="677" spans="1:4">
      <c r="A677" s="1426" t="s">
        <v>387</v>
      </c>
      <c r="B677" s="1426" t="s">
        <v>407</v>
      </c>
      <c r="C677" s="1426" t="s">
        <v>709</v>
      </c>
      <c r="D677" s="1427">
        <v>3800</v>
      </c>
    </row>
    <row r="678" spans="1:4">
      <c r="A678" s="1426" t="s">
        <v>387</v>
      </c>
      <c r="B678" s="1426" t="s">
        <v>407</v>
      </c>
      <c r="C678" s="1426" t="s">
        <v>708</v>
      </c>
      <c r="D678" s="1427">
        <v>1600</v>
      </c>
    </row>
    <row r="679" spans="1:4">
      <c r="A679" s="1426" t="s">
        <v>387</v>
      </c>
      <c r="B679" s="1426" t="s">
        <v>407</v>
      </c>
      <c r="C679" s="1426" t="s">
        <v>707</v>
      </c>
      <c r="D679" s="1431">
        <v>0</v>
      </c>
    </row>
    <row r="680" spans="1:4">
      <c r="A680" s="1426" t="s">
        <v>387</v>
      </c>
      <c r="B680" s="1426" t="s">
        <v>407</v>
      </c>
      <c r="C680" s="1426" t="s">
        <v>706</v>
      </c>
      <c r="D680" s="1431">
        <v>0</v>
      </c>
    </row>
    <row r="681" spans="1:4">
      <c r="A681" s="1426" t="s">
        <v>387</v>
      </c>
      <c r="B681" s="1426" t="s">
        <v>407</v>
      </c>
      <c r="C681" s="1426" t="s">
        <v>705</v>
      </c>
      <c r="D681" s="1427">
        <v>2100</v>
      </c>
    </row>
    <row r="682" spans="1:4">
      <c r="A682" s="1426" t="s">
        <v>387</v>
      </c>
      <c r="B682" s="1426" t="s">
        <v>407</v>
      </c>
      <c r="C682" s="1426" t="s">
        <v>704</v>
      </c>
      <c r="D682" s="1431">
        <v>0</v>
      </c>
    </row>
    <row r="683" spans="1:4">
      <c r="A683" s="1426" t="s">
        <v>387</v>
      </c>
      <c r="B683" s="1426" t="s">
        <v>407</v>
      </c>
      <c r="C683" s="1426" t="s">
        <v>703</v>
      </c>
      <c r="D683" s="1427">
        <v>1500</v>
      </c>
    </row>
    <row r="684" spans="1:4">
      <c r="A684" s="1426" t="s">
        <v>387</v>
      </c>
      <c r="B684" s="1426" t="s">
        <v>407</v>
      </c>
      <c r="C684" s="1426" t="s">
        <v>702</v>
      </c>
      <c r="D684" s="1431">
        <v>0</v>
      </c>
    </row>
    <row r="685" spans="1:4">
      <c r="A685" s="1426" t="s">
        <v>387</v>
      </c>
      <c r="B685" s="1426" t="s">
        <v>406</v>
      </c>
      <c r="C685" s="1426" t="s">
        <v>712</v>
      </c>
      <c r="D685" s="1431">
        <v>0</v>
      </c>
    </row>
    <row r="686" spans="1:4">
      <c r="A686" s="1426" t="s">
        <v>387</v>
      </c>
      <c r="B686" s="1426" t="s">
        <v>406</v>
      </c>
      <c r="C686" s="1426" t="s">
        <v>711</v>
      </c>
      <c r="D686" s="1431">
        <v>0</v>
      </c>
    </row>
    <row r="687" spans="1:4">
      <c r="A687" s="1426" t="s">
        <v>387</v>
      </c>
      <c r="B687" s="1426" t="s">
        <v>406</v>
      </c>
      <c r="C687" s="1426" t="s">
        <v>710</v>
      </c>
      <c r="D687" s="1431">
        <v>0</v>
      </c>
    </row>
    <row r="688" spans="1:4">
      <c r="A688" s="1426" t="s">
        <v>387</v>
      </c>
      <c r="B688" s="1426" t="s">
        <v>406</v>
      </c>
      <c r="C688" s="1426" t="s">
        <v>709</v>
      </c>
      <c r="D688" s="1431">
        <v>0</v>
      </c>
    </row>
    <row r="689" spans="1:4">
      <c r="A689" s="1426" t="s">
        <v>387</v>
      </c>
      <c r="B689" s="1426" t="s">
        <v>406</v>
      </c>
      <c r="C689" s="1426" t="s">
        <v>708</v>
      </c>
      <c r="D689" s="1431">
        <v>0</v>
      </c>
    </row>
    <row r="690" spans="1:4">
      <c r="A690" s="1426" t="s">
        <v>387</v>
      </c>
      <c r="B690" s="1426" t="s">
        <v>406</v>
      </c>
      <c r="C690" s="1426" t="s">
        <v>707</v>
      </c>
      <c r="D690" s="1431">
        <v>0</v>
      </c>
    </row>
    <row r="691" spans="1:4">
      <c r="A691" s="1426" t="s">
        <v>387</v>
      </c>
      <c r="B691" s="1426" t="s">
        <v>406</v>
      </c>
      <c r="C691" s="1426" t="s">
        <v>706</v>
      </c>
      <c r="D691" s="1431">
        <v>0</v>
      </c>
    </row>
    <row r="692" spans="1:4">
      <c r="A692" s="1426" t="s">
        <v>387</v>
      </c>
      <c r="B692" s="1426" t="s">
        <v>406</v>
      </c>
      <c r="C692" s="1426" t="s">
        <v>705</v>
      </c>
      <c r="D692" s="1431">
        <v>0</v>
      </c>
    </row>
    <row r="693" spans="1:4">
      <c r="A693" s="1426" t="s">
        <v>387</v>
      </c>
      <c r="B693" s="1426" t="s">
        <v>406</v>
      </c>
      <c r="C693" s="1426" t="s">
        <v>704</v>
      </c>
      <c r="D693" s="1431">
        <v>0</v>
      </c>
    </row>
    <row r="694" spans="1:4">
      <c r="A694" s="1426" t="s">
        <v>387</v>
      </c>
      <c r="B694" s="1426" t="s">
        <v>406</v>
      </c>
      <c r="C694" s="1426" t="s">
        <v>703</v>
      </c>
      <c r="D694" s="1431">
        <v>0</v>
      </c>
    </row>
    <row r="695" spans="1:4">
      <c r="A695" s="1426" t="s">
        <v>387</v>
      </c>
      <c r="B695" s="1426" t="s">
        <v>406</v>
      </c>
      <c r="C695" s="1426" t="s">
        <v>702</v>
      </c>
      <c r="D695" s="1431">
        <v>0</v>
      </c>
    </row>
    <row r="696" spans="1:4">
      <c r="A696" s="1426" t="s">
        <v>387</v>
      </c>
      <c r="B696" s="1426" t="s">
        <v>405</v>
      </c>
      <c r="C696" s="1426" t="s">
        <v>712</v>
      </c>
      <c r="D696" s="1427">
        <v>1900</v>
      </c>
    </row>
    <row r="697" spans="1:4">
      <c r="A697" s="1426" t="s">
        <v>387</v>
      </c>
      <c r="B697" s="1426" t="s">
        <v>405</v>
      </c>
      <c r="C697" s="1426" t="s">
        <v>711</v>
      </c>
      <c r="D697" s="1431">
        <v>0</v>
      </c>
    </row>
    <row r="698" spans="1:4">
      <c r="A698" s="1426" t="s">
        <v>387</v>
      </c>
      <c r="B698" s="1426" t="s">
        <v>405</v>
      </c>
      <c r="C698" s="1426" t="s">
        <v>710</v>
      </c>
      <c r="D698" s="1427">
        <v>1700</v>
      </c>
    </row>
    <row r="699" spans="1:4">
      <c r="A699" s="1426" t="s">
        <v>387</v>
      </c>
      <c r="B699" s="1426" t="s">
        <v>405</v>
      </c>
      <c r="C699" s="1426" t="s">
        <v>709</v>
      </c>
      <c r="D699" s="1427">
        <v>2100</v>
      </c>
    </row>
    <row r="700" spans="1:4">
      <c r="A700" s="1426" t="s">
        <v>387</v>
      </c>
      <c r="B700" s="1426" t="s">
        <v>405</v>
      </c>
      <c r="C700" s="1426" t="s">
        <v>708</v>
      </c>
      <c r="D700" s="1427">
        <v>1700</v>
      </c>
    </row>
    <row r="701" spans="1:4">
      <c r="A701" s="1426" t="s">
        <v>387</v>
      </c>
      <c r="B701" s="1426" t="s">
        <v>405</v>
      </c>
      <c r="C701" s="1426" t="s">
        <v>707</v>
      </c>
      <c r="D701" s="1431">
        <v>0</v>
      </c>
    </row>
    <row r="702" spans="1:4">
      <c r="A702" s="1426" t="s">
        <v>387</v>
      </c>
      <c r="B702" s="1426" t="s">
        <v>405</v>
      </c>
      <c r="C702" s="1426" t="s">
        <v>706</v>
      </c>
      <c r="D702" s="1431">
        <v>0</v>
      </c>
    </row>
    <row r="703" spans="1:4">
      <c r="A703" s="1426" t="s">
        <v>387</v>
      </c>
      <c r="B703" s="1426" t="s">
        <v>405</v>
      </c>
      <c r="C703" s="1426" t="s">
        <v>705</v>
      </c>
      <c r="D703" s="1431">
        <v>0</v>
      </c>
    </row>
    <row r="704" spans="1:4">
      <c r="A704" s="1426" t="s">
        <v>387</v>
      </c>
      <c r="B704" s="1426" t="s">
        <v>405</v>
      </c>
      <c r="C704" s="1426" t="s">
        <v>704</v>
      </c>
      <c r="D704" s="1431">
        <v>0</v>
      </c>
    </row>
    <row r="705" spans="1:4">
      <c r="A705" s="1426" t="s">
        <v>387</v>
      </c>
      <c r="B705" s="1426" t="s">
        <v>405</v>
      </c>
      <c r="C705" s="1426" t="s">
        <v>703</v>
      </c>
      <c r="D705" s="1431">
        <v>0</v>
      </c>
    </row>
    <row r="706" spans="1:4">
      <c r="A706" s="1426" t="s">
        <v>387</v>
      </c>
      <c r="B706" s="1426" t="s">
        <v>405</v>
      </c>
      <c r="C706" s="1426" t="s">
        <v>702</v>
      </c>
      <c r="D706" s="1431">
        <v>0</v>
      </c>
    </row>
    <row r="707" spans="1:4">
      <c r="A707" s="1426" t="s">
        <v>402</v>
      </c>
      <c r="B707" s="1426" t="s">
        <v>404</v>
      </c>
      <c r="C707" s="1426" t="s">
        <v>712</v>
      </c>
      <c r="D707" s="1427">
        <v>15500</v>
      </c>
    </row>
    <row r="708" spans="1:4">
      <c r="A708" s="1426" t="s">
        <v>402</v>
      </c>
      <c r="B708" s="1426" t="s">
        <v>404</v>
      </c>
      <c r="C708" s="1426" t="s">
        <v>711</v>
      </c>
      <c r="D708" s="1427">
        <v>17600</v>
      </c>
    </row>
    <row r="709" spans="1:4">
      <c r="A709" s="1426" t="s">
        <v>402</v>
      </c>
      <c r="B709" s="1426" t="s">
        <v>404</v>
      </c>
      <c r="C709" s="1426" t="s">
        <v>710</v>
      </c>
      <c r="D709" s="1427">
        <v>11700</v>
      </c>
    </row>
    <row r="710" spans="1:4">
      <c r="A710" s="1426" t="s">
        <v>402</v>
      </c>
      <c r="B710" s="1426" t="s">
        <v>404</v>
      </c>
      <c r="C710" s="1426" t="s">
        <v>709</v>
      </c>
      <c r="D710" s="1427">
        <v>11800</v>
      </c>
    </row>
    <row r="711" spans="1:4">
      <c r="A711" s="1426" t="s">
        <v>402</v>
      </c>
      <c r="B711" s="1426" t="s">
        <v>404</v>
      </c>
      <c r="C711" s="1426" t="s">
        <v>708</v>
      </c>
      <c r="D711" s="1427">
        <v>15400</v>
      </c>
    </row>
    <row r="712" spans="1:4">
      <c r="A712" s="1426" t="s">
        <v>402</v>
      </c>
      <c r="B712" s="1426" t="s">
        <v>404</v>
      </c>
      <c r="C712" s="1426" t="s">
        <v>707</v>
      </c>
      <c r="D712" s="1427">
        <v>13100</v>
      </c>
    </row>
    <row r="713" spans="1:4">
      <c r="A713" s="1426" t="s">
        <v>402</v>
      </c>
      <c r="B713" s="1426" t="s">
        <v>404</v>
      </c>
      <c r="C713" s="1426" t="s">
        <v>706</v>
      </c>
      <c r="D713" s="1427">
        <v>7000</v>
      </c>
    </row>
    <row r="714" spans="1:4">
      <c r="A714" s="1426" t="s">
        <v>402</v>
      </c>
      <c r="B714" s="1426" t="s">
        <v>404</v>
      </c>
      <c r="C714" s="1426" t="s">
        <v>705</v>
      </c>
      <c r="D714" s="1427">
        <v>6600</v>
      </c>
    </row>
    <row r="715" spans="1:4">
      <c r="A715" s="1426" t="s">
        <v>402</v>
      </c>
      <c r="B715" s="1426" t="s">
        <v>404</v>
      </c>
      <c r="C715" s="1426" t="s">
        <v>704</v>
      </c>
      <c r="D715" s="1427">
        <v>14100</v>
      </c>
    </row>
    <row r="716" spans="1:4">
      <c r="A716" s="1426" t="s">
        <v>402</v>
      </c>
      <c r="B716" s="1426" t="s">
        <v>404</v>
      </c>
      <c r="C716" s="1426" t="s">
        <v>703</v>
      </c>
      <c r="D716" s="1427">
        <v>11600</v>
      </c>
    </row>
    <row r="717" spans="1:4">
      <c r="A717" s="1426" t="s">
        <v>402</v>
      </c>
      <c r="B717" s="1426" t="s">
        <v>404</v>
      </c>
      <c r="C717" s="1426" t="s">
        <v>702</v>
      </c>
      <c r="D717" s="1427">
        <v>13800</v>
      </c>
    </row>
    <row r="718" spans="1:4">
      <c r="A718" s="1426" t="s">
        <v>402</v>
      </c>
      <c r="B718" s="1426" t="s">
        <v>407</v>
      </c>
      <c r="C718" s="1426" t="s">
        <v>712</v>
      </c>
      <c r="D718" s="1427">
        <v>52200</v>
      </c>
    </row>
    <row r="719" spans="1:4">
      <c r="A719" s="1426" t="s">
        <v>402</v>
      </c>
      <c r="B719" s="1426" t="s">
        <v>407</v>
      </c>
      <c r="C719" s="1426" t="s">
        <v>711</v>
      </c>
      <c r="D719" s="1427">
        <v>47500</v>
      </c>
    </row>
    <row r="720" spans="1:4">
      <c r="A720" s="1426" t="s">
        <v>402</v>
      </c>
      <c r="B720" s="1426" t="s">
        <v>407</v>
      </c>
      <c r="C720" s="1426" t="s">
        <v>710</v>
      </c>
      <c r="D720" s="1427">
        <v>34400</v>
      </c>
    </row>
    <row r="721" spans="1:4">
      <c r="A721" s="1426" t="s">
        <v>402</v>
      </c>
      <c r="B721" s="1426" t="s">
        <v>407</v>
      </c>
      <c r="C721" s="1426" t="s">
        <v>709</v>
      </c>
      <c r="D721" s="1427">
        <v>33900</v>
      </c>
    </row>
    <row r="722" spans="1:4">
      <c r="A722" s="1426" t="s">
        <v>402</v>
      </c>
      <c r="B722" s="1426" t="s">
        <v>407</v>
      </c>
      <c r="C722" s="1426" t="s">
        <v>708</v>
      </c>
      <c r="D722" s="1427">
        <v>37300</v>
      </c>
    </row>
    <row r="723" spans="1:4">
      <c r="A723" s="1426" t="s">
        <v>402</v>
      </c>
      <c r="B723" s="1426" t="s">
        <v>407</v>
      </c>
      <c r="C723" s="1426" t="s">
        <v>707</v>
      </c>
      <c r="D723" s="1427">
        <v>37000</v>
      </c>
    </row>
    <row r="724" spans="1:4">
      <c r="A724" s="1426" t="s">
        <v>402</v>
      </c>
      <c r="B724" s="1426" t="s">
        <v>407</v>
      </c>
      <c r="C724" s="1426" t="s">
        <v>706</v>
      </c>
      <c r="D724" s="1427">
        <v>25200</v>
      </c>
    </row>
    <row r="725" spans="1:4">
      <c r="A725" s="1426" t="s">
        <v>402</v>
      </c>
      <c r="B725" s="1426" t="s">
        <v>407</v>
      </c>
      <c r="C725" s="1426" t="s">
        <v>705</v>
      </c>
      <c r="D725" s="1427">
        <v>27300</v>
      </c>
    </row>
    <row r="726" spans="1:4">
      <c r="A726" s="1426" t="s">
        <v>402</v>
      </c>
      <c r="B726" s="1426" t="s">
        <v>407</v>
      </c>
      <c r="C726" s="1426" t="s">
        <v>704</v>
      </c>
      <c r="D726" s="1427">
        <v>55500</v>
      </c>
    </row>
    <row r="727" spans="1:4">
      <c r="A727" s="1426" t="s">
        <v>402</v>
      </c>
      <c r="B727" s="1426" t="s">
        <v>407</v>
      </c>
      <c r="C727" s="1426" t="s">
        <v>703</v>
      </c>
      <c r="D727" s="1427">
        <v>46500</v>
      </c>
    </row>
    <row r="728" spans="1:4">
      <c r="A728" s="1426" t="s">
        <v>402</v>
      </c>
      <c r="B728" s="1426" t="s">
        <v>407</v>
      </c>
      <c r="C728" s="1426" t="s">
        <v>702</v>
      </c>
      <c r="D728" s="1427">
        <v>51400</v>
      </c>
    </row>
    <row r="729" spans="1:4">
      <c r="A729" s="1426" t="s">
        <v>402</v>
      </c>
      <c r="B729" s="1426" t="s">
        <v>406</v>
      </c>
      <c r="C729" s="1426" t="s">
        <v>712</v>
      </c>
      <c r="D729" s="1427">
        <v>1500</v>
      </c>
    </row>
    <row r="730" spans="1:4">
      <c r="A730" s="1426" t="s">
        <v>402</v>
      </c>
      <c r="B730" s="1426" t="s">
        <v>406</v>
      </c>
      <c r="C730" s="1426" t="s">
        <v>711</v>
      </c>
      <c r="D730" s="1427">
        <v>1600</v>
      </c>
    </row>
    <row r="731" spans="1:4">
      <c r="A731" s="1426" t="s">
        <v>402</v>
      </c>
      <c r="B731" s="1426" t="s">
        <v>406</v>
      </c>
      <c r="C731" s="1426" t="s">
        <v>710</v>
      </c>
      <c r="D731" s="1427">
        <v>1700</v>
      </c>
    </row>
    <row r="732" spans="1:4">
      <c r="A732" s="1426" t="s">
        <v>402</v>
      </c>
      <c r="B732" s="1426" t="s">
        <v>406</v>
      </c>
      <c r="C732" s="1426" t="s">
        <v>709</v>
      </c>
      <c r="D732" s="1427">
        <v>1300</v>
      </c>
    </row>
    <row r="733" spans="1:4">
      <c r="A733" s="1426" t="s">
        <v>402</v>
      </c>
      <c r="B733" s="1426" t="s">
        <v>406</v>
      </c>
      <c r="C733" s="1426" t="s">
        <v>708</v>
      </c>
      <c r="D733" s="1427">
        <v>1000</v>
      </c>
    </row>
    <row r="734" spans="1:4">
      <c r="A734" s="1426" t="s">
        <v>402</v>
      </c>
      <c r="B734" s="1426" t="s">
        <v>406</v>
      </c>
      <c r="C734" s="1426" t="s">
        <v>707</v>
      </c>
      <c r="D734" s="1427">
        <v>1200</v>
      </c>
    </row>
    <row r="735" spans="1:4">
      <c r="A735" s="1426" t="s">
        <v>402</v>
      </c>
      <c r="B735" s="1426" t="s">
        <v>406</v>
      </c>
      <c r="C735" s="1426" t="s">
        <v>706</v>
      </c>
      <c r="D735" s="1431">
        <v>400</v>
      </c>
    </row>
    <row r="736" spans="1:4">
      <c r="A736" s="1426" t="s">
        <v>402</v>
      </c>
      <c r="B736" s="1426" t="s">
        <v>406</v>
      </c>
      <c r="C736" s="1426" t="s">
        <v>705</v>
      </c>
      <c r="D736" s="1431">
        <v>400</v>
      </c>
    </row>
    <row r="737" spans="1:4">
      <c r="A737" s="1426" t="s">
        <v>402</v>
      </c>
      <c r="B737" s="1426" t="s">
        <v>406</v>
      </c>
      <c r="C737" s="1426" t="s">
        <v>704</v>
      </c>
      <c r="D737" s="1431">
        <v>600</v>
      </c>
    </row>
    <row r="738" spans="1:4">
      <c r="A738" s="1426" t="s">
        <v>402</v>
      </c>
      <c r="B738" s="1426" t="s">
        <v>406</v>
      </c>
      <c r="C738" s="1426" t="s">
        <v>703</v>
      </c>
      <c r="D738" s="1431">
        <v>500</v>
      </c>
    </row>
    <row r="739" spans="1:4">
      <c r="A739" s="1426" t="s">
        <v>402</v>
      </c>
      <c r="B739" s="1426" t="s">
        <v>406</v>
      </c>
      <c r="C739" s="1426" t="s">
        <v>702</v>
      </c>
      <c r="D739" s="1431">
        <v>0</v>
      </c>
    </row>
    <row r="740" spans="1:4">
      <c r="A740" s="1426" t="s">
        <v>402</v>
      </c>
      <c r="B740" s="1426" t="s">
        <v>405</v>
      </c>
      <c r="C740" s="1426" t="s">
        <v>712</v>
      </c>
      <c r="D740" s="1427">
        <v>1900</v>
      </c>
    </row>
    <row r="741" spans="1:4">
      <c r="A741" s="1426" t="s">
        <v>402</v>
      </c>
      <c r="B741" s="1426" t="s">
        <v>405</v>
      </c>
      <c r="C741" s="1426" t="s">
        <v>711</v>
      </c>
      <c r="D741" s="1427">
        <v>2000</v>
      </c>
    </row>
    <row r="742" spans="1:4">
      <c r="A742" s="1426" t="s">
        <v>402</v>
      </c>
      <c r="B742" s="1426" t="s">
        <v>405</v>
      </c>
      <c r="C742" s="1426" t="s">
        <v>710</v>
      </c>
      <c r="D742" s="1427">
        <v>1800</v>
      </c>
    </row>
    <row r="743" spans="1:4">
      <c r="A743" s="1426" t="s">
        <v>402</v>
      </c>
      <c r="B743" s="1426" t="s">
        <v>405</v>
      </c>
      <c r="C743" s="1426" t="s">
        <v>709</v>
      </c>
      <c r="D743" s="1427">
        <v>1700</v>
      </c>
    </row>
    <row r="744" spans="1:4">
      <c r="A744" s="1426" t="s">
        <v>402</v>
      </c>
      <c r="B744" s="1426" t="s">
        <v>405</v>
      </c>
      <c r="C744" s="1426" t="s">
        <v>708</v>
      </c>
      <c r="D744" s="1427">
        <v>1900</v>
      </c>
    </row>
    <row r="745" spans="1:4">
      <c r="A745" s="1426" t="s">
        <v>402</v>
      </c>
      <c r="B745" s="1426" t="s">
        <v>405</v>
      </c>
      <c r="C745" s="1426" t="s">
        <v>707</v>
      </c>
      <c r="D745" s="1431">
        <v>800</v>
      </c>
    </row>
    <row r="746" spans="1:4">
      <c r="A746" s="1426" t="s">
        <v>402</v>
      </c>
      <c r="B746" s="1426" t="s">
        <v>405</v>
      </c>
      <c r="C746" s="1426" t="s">
        <v>706</v>
      </c>
      <c r="D746" s="1431">
        <v>500</v>
      </c>
    </row>
    <row r="747" spans="1:4">
      <c r="A747" s="1426" t="s">
        <v>402</v>
      </c>
      <c r="B747" s="1426" t="s">
        <v>405</v>
      </c>
      <c r="C747" s="1426" t="s">
        <v>705</v>
      </c>
      <c r="D747" s="1431">
        <v>400</v>
      </c>
    </row>
    <row r="748" spans="1:4">
      <c r="A748" s="1426" t="s">
        <v>402</v>
      </c>
      <c r="B748" s="1426" t="s">
        <v>405</v>
      </c>
      <c r="C748" s="1426" t="s">
        <v>704</v>
      </c>
      <c r="D748" s="1427">
        <v>1600</v>
      </c>
    </row>
    <row r="749" spans="1:4">
      <c r="A749" s="1426" t="s">
        <v>402</v>
      </c>
      <c r="B749" s="1426" t="s">
        <v>405</v>
      </c>
      <c r="C749" s="1426" t="s">
        <v>703</v>
      </c>
      <c r="D749" s="1427">
        <v>1800</v>
      </c>
    </row>
    <row r="750" spans="1:4">
      <c r="A750" s="1426" t="s">
        <v>402</v>
      </c>
      <c r="B750" s="1426" t="s">
        <v>405</v>
      </c>
      <c r="C750" s="1426" t="s">
        <v>702</v>
      </c>
      <c r="D750" s="1427">
        <v>1800</v>
      </c>
    </row>
    <row r="751" spans="1:4">
      <c r="A751" s="1433" t="s">
        <v>462</v>
      </c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3:C750" numberStoredAsText="1"/>
  </ignoredError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8">
    <tabColor theme="0" tint="-0.499984740745262"/>
  </sheetPr>
  <dimension ref="A1:AU77"/>
  <sheetViews>
    <sheetView zoomScaleNormal="100" zoomScaleSheetLayoutView="100" workbookViewId="0">
      <selection activeCell="F67" sqref="E67:F67"/>
    </sheetView>
  </sheetViews>
  <sheetFormatPr baseColWidth="10" defaultColWidth="11.3828125" defaultRowHeight="11.6"/>
  <cols>
    <col min="1" max="1" width="6.69140625" style="151" customWidth="1"/>
    <col min="2" max="2" width="1.84375" style="151" customWidth="1"/>
    <col min="3" max="3" width="28.69140625" style="151" customWidth="1"/>
    <col min="4" max="4" width="15.69140625" style="152" customWidth="1"/>
    <col min="5" max="6" width="15.69140625" style="151" customWidth="1"/>
    <col min="7" max="7" width="5.3046875" style="151" customWidth="1"/>
    <col min="8" max="9" width="12.15234375" style="161" customWidth="1"/>
    <col min="10" max="11" width="6.3046875" style="151" customWidth="1"/>
    <col min="12" max="12" width="6.3046875" style="152" customWidth="1"/>
    <col min="13" max="14" width="6.3046875" style="151" customWidth="1"/>
    <col min="15" max="15" width="6.3046875" style="152" customWidth="1"/>
    <col min="16" max="17" width="6.3046875" style="151" customWidth="1"/>
    <col min="18" max="18" width="6.3046875" style="152" customWidth="1"/>
    <col min="19" max="19" width="10.3046875" style="161" customWidth="1"/>
    <col min="20" max="21" width="6.3046875" style="151" customWidth="1"/>
    <col min="22" max="22" width="6.3046875" style="152" customWidth="1"/>
    <col min="23" max="23" width="10.3046875" style="161" customWidth="1"/>
    <col min="24" max="16384" width="11.3828125" style="151"/>
  </cols>
  <sheetData>
    <row r="1" spans="1:47" ht="13.2" customHeight="1">
      <c r="A1" s="218"/>
      <c r="B1" s="218"/>
    </row>
    <row r="2" spans="1:47" ht="13.2" customHeight="1">
      <c r="B2" s="728" t="s">
        <v>213</v>
      </c>
      <c r="D2" s="40"/>
      <c r="F2" s="534"/>
    </row>
    <row r="3" spans="1:47">
      <c r="C3" s="1685" t="s">
        <v>200</v>
      </c>
      <c r="D3" s="1685"/>
      <c r="E3" s="1685"/>
      <c r="F3" s="1685"/>
      <c r="R3" s="161"/>
      <c r="S3" s="151"/>
      <c r="U3" s="152"/>
      <c r="V3" s="161"/>
      <c r="W3" s="151"/>
    </row>
    <row r="4" spans="1:47" ht="10.95" customHeight="1"/>
    <row r="5" spans="1:47" ht="25.2" customHeight="1">
      <c r="A5" s="153"/>
      <c r="B5" s="153"/>
      <c r="C5" s="1692" t="s">
        <v>361</v>
      </c>
      <c r="D5" s="1692"/>
      <c r="E5" s="1692"/>
      <c r="F5" s="1692"/>
      <c r="G5" s="154"/>
      <c r="H5" s="155"/>
      <c r="I5" s="151"/>
      <c r="J5" s="156"/>
      <c r="K5" s="154"/>
      <c r="L5" s="157"/>
      <c r="M5" s="154"/>
      <c r="N5" s="154"/>
      <c r="O5" s="157"/>
      <c r="P5" s="154"/>
      <c r="Q5" s="154"/>
      <c r="R5" s="157"/>
      <c r="S5" s="155"/>
      <c r="T5" s="154"/>
      <c r="U5" s="154"/>
      <c r="V5" s="157"/>
      <c r="W5" s="155"/>
    </row>
    <row r="6" spans="1:47" ht="10.95" customHeight="1" thickBot="1">
      <c r="A6" s="158"/>
      <c r="B6" s="158"/>
      <c r="C6" s="159"/>
      <c r="D6" s="160"/>
      <c r="E6" s="160"/>
      <c r="F6" s="160"/>
      <c r="G6" s="154"/>
      <c r="H6" s="155"/>
      <c r="I6" s="155"/>
      <c r="J6" s="156"/>
      <c r="K6" s="154"/>
      <c r="L6" s="157"/>
      <c r="M6" s="154"/>
      <c r="N6" s="154"/>
      <c r="O6" s="157"/>
      <c r="P6" s="154"/>
      <c r="Q6" s="154"/>
      <c r="R6" s="157"/>
      <c r="S6" s="155"/>
      <c r="T6" s="154"/>
      <c r="U6" s="154"/>
      <c r="V6" s="157"/>
      <c r="W6" s="155"/>
    </row>
    <row r="7" spans="1:47" ht="13.2" customHeight="1">
      <c r="B7" s="1696" t="s">
        <v>130</v>
      </c>
      <c r="C7" s="1697"/>
      <c r="D7" s="1686" t="s">
        <v>360</v>
      </c>
      <c r="E7" s="1687"/>
      <c r="F7" s="1688"/>
      <c r="J7" s="162"/>
    </row>
    <row r="8" spans="1:47" ht="13.2" customHeight="1">
      <c r="A8" s="163"/>
      <c r="B8" s="1698"/>
      <c r="C8" s="1699"/>
      <c r="D8" s="1689"/>
      <c r="E8" s="1690"/>
      <c r="F8" s="1691"/>
      <c r="G8" s="158"/>
      <c r="H8" s="164"/>
      <c r="I8" s="164"/>
      <c r="J8" s="165"/>
      <c r="K8" s="158"/>
      <c r="L8" s="166"/>
      <c r="M8" s="158"/>
      <c r="N8" s="158"/>
      <c r="O8" s="166"/>
      <c r="P8" s="165"/>
      <c r="Q8" s="158"/>
      <c r="R8" s="166"/>
      <c r="S8" s="164"/>
      <c r="T8" s="158"/>
      <c r="U8" s="158"/>
      <c r="V8" s="166"/>
      <c r="W8" s="164"/>
    </row>
    <row r="9" spans="1:47" ht="13.2" customHeight="1" thickBot="1">
      <c r="B9" s="1700"/>
      <c r="C9" s="1701"/>
      <c r="D9" s="192" t="s">
        <v>131</v>
      </c>
      <c r="E9" s="193" t="s">
        <v>92</v>
      </c>
      <c r="F9" s="194" t="s">
        <v>93</v>
      </c>
      <c r="G9" s="158"/>
      <c r="H9" s="670"/>
      <c r="I9" s="164"/>
      <c r="J9" s="169"/>
      <c r="K9" s="158"/>
      <c r="L9" s="170"/>
      <c r="M9" s="158"/>
      <c r="N9" s="154"/>
      <c r="O9" s="157"/>
      <c r="P9" s="171"/>
      <c r="Q9" s="158"/>
      <c r="R9" s="166"/>
      <c r="S9" s="172"/>
      <c r="T9" s="158"/>
      <c r="U9" s="154"/>
      <c r="V9" s="157"/>
      <c r="W9" s="155"/>
      <c r="Y9" s="139"/>
      <c r="Z9" s="156"/>
      <c r="AA9" s="173"/>
      <c r="AB9" s="173"/>
      <c r="AC9" s="173"/>
      <c r="AD9" s="173"/>
      <c r="AE9" s="173"/>
      <c r="AF9" s="173"/>
      <c r="AG9" s="174"/>
      <c r="AH9" s="174"/>
      <c r="AI9" s="175"/>
      <c r="AJ9" s="173"/>
      <c r="AK9" s="173"/>
      <c r="AL9" s="173"/>
      <c r="AM9" s="173"/>
      <c r="AN9" s="173"/>
      <c r="AO9" s="173"/>
      <c r="AP9" s="173"/>
      <c r="AQ9" s="173"/>
      <c r="AR9" s="174"/>
      <c r="AS9" s="173"/>
      <c r="AT9" s="173"/>
      <c r="AU9" s="176"/>
    </row>
    <row r="10" spans="1:47" ht="13.95" customHeight="1">
      <c r="B10" s="1702" t="s">
        <v>211</v>
      </c>
      <c r="C10" s="1703"/>
      <c r="D10" s="191"/>
      <c r="E10" s="191"/>
      <c r="F10" s="705"/>
      <c r="G10" s="178"/>
      <c r="H10" s="164"/>
      <c r="I10" s="164"/>
      <c r="J10" s="170"/>
      <c r="K10" s="177"/>
      <c r="L10" s="158"/>
      <c r="M10" s="166"/>
      <c r="N10" s="158"/>
      <c r="O10" s="158"/>
      <c r="P10" s="166"/>
      <c r="Q10" s="158"/>
      <c r="R10" s="158"/>
      <c r="S10" s="172"/>
      <c r="T10" s="166"/>
      <c r="U10" s="158"/>
      <c r="V10" s="158"/>
      <c r="W10" s="164"/>
    </row>
    <row r="11" spans="1:47" ht="15" customHeight="1">
      <c r="B11" s="706"/>
      <c r="C11" s="1029" t="s">
        <v>132</v>
      </c>
      <c r="D11" s="1132">
        <v>0</v>
      </c>
      <c r="E11" s="1132">
        <v>0</v>
      </c>
      <c r="F11" s="1275">
        <v>0</v>
      </c>
      <c r="H11" s="155"/>
      <c r="I11" s="155"/>
      <c r="J11" s="167"/>
      <c r="K11" s="179"/>
      <c r="L11" s="154"/>
      <c r="M11" s="157"/>
      <c r="N11" s="154"/>
      <c r="O11" s="154"/>
      <c r="P11" s="157"/>
      <c r="Q11" s="154"/>
      <c r="R11" s="154"/>
      <c r="S11" s="168"/>
      <c r="T11" s="157"/>
      <c r="U11" s="154"/>
      <c r="V11" s="154"/>
      <c r="W11" s="164"/>
    </row>
    <row r="12" spans="1:47" ht="12" customHeight="1">
      <c r="B12" s="707"/>
      <c r="C12" s="1030" t="s">
        <v>268</v>
      </c>
      <c r="D12" s="1133">
        <v>0</v>
      </c>
      <c r="E12" s="1133">
        <v>0</v>
      </c>
      <c r="F12" s="1276">
        <v>0</v>
      </c>
      <c r="H12" s="155"/>
      <c r="I12" s="155"/>
      <c r="J12" s="167"/>
      <c r="K12" s="179"/>
      <c r="L12" s="154"/>
      <c r="M12" s="157"/>
      <c r="N12" s="154"/>
      <c r="O12" s="154"/>
      <c r="P12" s="157"/>
      <c r="Q12" s="154"/>
      <c r="R12" s="154"/>
      <c r="S12" s="168"/>
      <c r="T12" s="157"/>
      <c r="U12" s="154"/>
      <c r="V12" s="154"/>
      <c r="W12" s="164"/>
    </row>
    <row r="13" spans="1:47" ht="12" customHeight="1">
      <c r="B13" s="707"/>
      <c r="C13" s="1030" t="s">
        <v>269</v>
      </c>
      <c r="D13" s="1133">
        <v>0</v>
      </c>
      <c r="E13" s="1133">
        <v>0</v>
      </c>
      <c r="F13" s="1276">
        <v>0</v>
      </c>
      <c r="H13" s="155"/>
      <c r="I13" s="155"/>
      <c r="J13" s="167"/>
      <c r="K13" s="179"/>
      <c r="L13" s="154"/>
      <c r="M13" s="157"/>
      <c r="N13" s="154"/>
      <c r="O13" s="154"/>
      <c r="P13" s="157"/>
      <c r="Q13" s="154"/>
      <c r="R13" s="154"/>
      <c r="S13" s="168"/>
      <c r="T13" s="157"/>
      <c r="U13" s="154"/>
      <c r="V13" s="154"/>
      <c r="W13" s="164"/>
    </row>
    <row r="14" spans="1:47" ht="12" customHeight="1">
      <c r="B14" s="707"/>
      <c r="C14" s="1030" t="s">
        <v>270</v>
      </c>
      <c r="D14" s="1133">
        <v>0</v>
      </c>
      <c r="E14" s="1133">
        <v>0</v>
      </c>
      <c r="F14" s="1276">
        <v>0</v>
      </c>
      <c r="H14" s="155"/>
      <c r="I14" s="155"/>
      <c r="J14" s="167"/>
      <c r="K14" s="179"/>
      <c r="L14" s="154"/>
      <c r="M14" s="157"/>
      <c r="N14" s="154"/>
      <c r="O14" s="154"/>
      <c r="P14" s="157"/>
      <c r="Q14" s="154"/>
      <c r="R14" s="154"/>
      <c r="S14" s="168"/>
      <c r="T14" s="157"/>
      <c r="U14" s="154"/>
      <c r="V14" s="154"/>
      <c r="W14" s="164"/>
    </row>
    <row r="15" spans="1:47" ht="12" customHeight="1">
      <c r="B15" s="707"/>
      <c r="C15" s="1030" t="s">
        <v>271</v>
      </c>
      <c r="D15" s="1133">
        <v>3</v>
      </c>
      <c r="E15" s="1133">
        <v>0</v>
      </c>
      <c r="F15" s="1276">
        <v>3</v>
      </c>
      <c r="H15" s="155"/>
      <c r="I15" s="155"/>
      <c r="J15" s="167"/>
      <c r="K15" s="179"/>
      <c r="L15" s="154"/>
      <c r="M15" s="157"/>
      <c r="N15" s="154"/>
      <c r="O15" s="154"/>
      <c r="P15" s="157"/>
      <c r="Q15" s="154"/>
      <c r="R15" s="154"/>
      <c r="S15" s="168"/>
      <c r="T15" s="157"/>
      <c r="U15" s="154"/>
      <c r="V15" s="154"/>
      <c r="W15" s="164"/>
    </row>
    <row r="16" spans="1:47" ht="12" customHeight="1">
      <c r="A16" s="180"/>
      <c r="B16" s="708"/>
      <c r="C16" s="1030" t="s">
        <v>182</v>
      </c>
      <c r="D16" s="1133">
        <v>9</v>
      </c>
      <c r="E16" s="1133">
        <v>6</v>
      </c>
      <c r="F16" s="1276">
        <v>3</v>
      </c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ht="12" customHeight="1">
      <c r="A17" s="180"/>
      <c r="B17" s="708"/>
      <c r="C17" s="1030" t="s">
        <v>145</v>
      </c>
      <c r="D17" s="1133">
        <v>3</v>
      </c>
      <c r="E17" s="1133">
        <v>3</v>
      </c>
      <c r="F17" s="1276">
        <v>0</v>
      </c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</row>
    <row r="18" spans="1:23" ht="12" customHeight="1">
      <c r="A18" s="180"/>
      <c r="B18" s="708"/>
      <c r="C18" s="1030" t="s">
        <v>272</v>
      </c>
      <c r="D18" s="1133">
        <v>0</v>
      </c>
      <c r="E18" s="1133">
        <v>0</v>
      </c>
      <c r="F18" s="1276">
        <v>0</v>
      </c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</row>
    <row r="19" spans="1:23" ht="12" customHeight="1">
      <c r="A19" s="180"/>
      <c r="B19" s="708"/>
      <c r="C19" s="1030" t="s">
        <v>133</v>
      </c>
      <c r="D19" s="1133">
        <v>3</v>
      </c>
      <c r="E19" s="1133">
        <v>3</v>
      </c>
      <c r="F19" s="1276">
        <v>0</v>
      </c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</row>
    <row r="20" spans="1:23" ht="12" customHeight="1">
      <c r="A20" s="180"/>
      <c r="B20" s="708"/>
      <c r="C20" s="1030" t="s">
        <v>273</v>
      </c>
      <c r="D20" s="1133">
        <v>0</v>
      </c>
      <c r="E20" s="1133">
        <v>0</v>
      </c>
      <c r="F20" s="1276">
        <v>0</v>
      </c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</row>
    <row r="21" spans="1:23" ht="12" customHeight="1">
      <c r="A21" s="180"/>
      <c r="B21" s="708"/>
      <c r="C21" s="1030" t="s">
        <v>134</v>
      </c>
      <c r="D21" s="1133">
        <v>24</v>
      </c>
      <c r="E21" s="1133">
        <v>21</v>
      </c>
      <c r="F21" s="1276">
        <v>3</v>
      </c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</row>
    <row r="22" spans="1:23" ht="12" customHeight="1">
      <c r="A22" s="180"/>
      <c r="B22" s="708"/>
      <c r="C22" s="1030" t="s">
        <v>274</v>
      </c>
      <c r="D22" s="1133">
        <v>0</v>
      </c>
      <c r="E22" s="1133">
        <v>0</v>
      </c>
      <c r="F22" s="1276">
        <v>0</v>
      </c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</row>
    <row r="23" spans="1:23" ht="12" customHeight="1">
      <c r="A23" s="180"/>
      <c r="B23" s="708"/>
      <c r="C23" s="1030" t="s">
        <v>275</v>
      </c>
      <c r="D23" s="1133">
        <v>3</v>
      </c>
      <c r="E23" s="1133">
        <v>3</v>
      </c>
      <c r="F23" s="1276">
        <v>0</v>
      </c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</row>
    <row r="24" spans="1:23" ht="12" customHeight="1">
      <c r="A24" s="180"/>
      <c r="B24" s="708"/>
      <c r="C24" s="1030" t="s">
        <v>135</v>
      </c>
      <c r="D24" s="1133">
        <v>6</v>
      </c>
      <c r="E24" s="1133">
        <v>3</v>
      </c>
      <c r="F24" s="1276">
        <v>0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</row>
    <row r="25" spans="1:23" ht="12" customHeight="1">
      <c r="A25" s="180"/>
      <c r="B25" s="708"/>
      <c r="C25" s="1030" t="s">
        <v>276</v>
      </c>
      <c r="D25" s="1133">
        <v>0</v>
      </c>
      <c r="E25" s="1133">
        <v>0</v>
      </c>
      <c r="F25" s="1276">
        <v>0</v>
      </c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</row>
    <row r="26" spans="1:23" ht="12" customHeight="1">
      <c r="A26" s="180"/>
      <c r="B26" s="708"/>
      <c r="C26" s="1030" t="s">
        <v>136</v>
      </c>
      <c r="D26" s="1133">
        <v>21</v>
      </c>
      <c r="E26" s="1133">
        <v>18</v>
      </c>
      <c r="F26" s="1276">
        <v>6</v>
      </c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</row>
    <row r="27" spans="1:23" ht="12" customHeight="1">
      <c r="A27" s="180"/>
      <c r="B27" s="708"/>
      <c r="C27" s="1030" t="s">
        <v>137</v>
      </c>
      <c r="D27" s="1133">
        <v>15</v>
      </c>
      <c r="E27" s="1133">
        <v>6</v>
      </c>
      <c r="F27" s="1276">
        <v>9</v>
      </c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</row>
    <row r="28" spans="1:23" ht="12" customHeight="1">
      <c r="A28" s="180"/>
      <c r="B28" s="708"/>
      <c r="C28" s="1030" t="s">
        <v>138</v>
      </c>
      <c r="D28" s="1133">
        <v>24</v>
      </c>
      <c r="E28" s="1133">
        <v>15</v>
      </c>
      <c r="F28" s="1276">
        <v>9</v>
      </c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ht="12" customHeight="1">
      <c r="A29" s="180"/>
      <c r="B29" s="708"/>
      <c r="C29" s="1030" t="s">
        <v>139</v>
      </c>
      <c r="D29" s="1133">
        <v>9</v>
      </c>
      <c r="E29" s="1133">
        <v>9</v>
      </c>
      <c r="F29" s="1276">
        <v>0</v>
      </c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</row>
    <row r="30" spans="1:23" ht="12" customHeight="1">
      <c r="A30" s="180"/>
      <c r="B30" s="708"/>
      <c r="C30" s="1030" t="s">
        <v>146</v>
      </c>
      <c r="D30" s="1133">
        <v>6</v>
      </c>
      <c r="E30" s="1133">
        <v>6</v>
      </c>
      <c r="F30" s="1276">
        <v>0</v>
      </c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</row>
    <row r="31" spans="1:23" ht="12" customHeight="1">
      <c r="A31" s="180"/>
      <c r="B31" s="708"/>
      <c r="C31" s="1030" t="s">
        <v>277</v>
      </c>
      <c r="D31" s="1133">
        <v>0</v>
      </c>
      <c r="E31" s="1133">
        <v>0</v>
      </c>
      <c r="F31" s="1276">
        <v>0</v>
      </c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</row>
    <row r="32" spans="1:23" s="184" customFormat="1" ht="12" customHeight="1">
      <c r="A32" s="182"/>
      <c r="B32" s="709"/>
      <c r="C32" s="1030" t="s">
        <v>140</v>
      </c>
      <c r="D32" s="1133">
        <v>9</v>
      </c>
      <c r="E32" s="1133">
        <v>0</v>
      </c>
      <c r="F32" s="1276">
        <v>9</v>
      </c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</row>
    <row r="33" spans="1:23" s="162" customFormat="1" ht="12" customHeight="1">
      <c r="A33" s="185"/>
      <c r="B33" s="710"/>
      <c r="C33" s="1030" t="s">
        <v>141</v>
      </c>
      <c r="D33" s="1133">
        <v>18</v>
      </c>
      <c r="E33" s="1133">
        <v>12</v>
      </c>
      <c r="F33" s="1276">
        <v>3</v>
      </c>
      <c r="G33" s="187"/>
      <c r="H33" s="187"/>
      <c r="I33" s="187"/>
      <c r="J33" s="186"/>
      <c r="K33" s="187"/>
      <c r="L33" s="187"/>
      <c r="M33" s="186"/>
      <c r="N33" s="187"/>
      <c r="O33" s="187"/>
      <c r="P33" s="186"/>
      <c r="Q33" s="187"/>
      <c r="R33" s="187"/>
      <c r="S33" s="187"/>
      <c r="T33" s="187"/>
      <c r="U33" s="187"/>
      <c r="V33" s="186"/>
      <c r="W33" s="187"/>
    </row>
    <row r="34" spans="1:23" s="162" customFormat="1" ht="12" customHeight="1">
      <c r="A34" s="185"/>
      <c r="B34" s="710"/>
      <c r="C34" s="1030" t="s">
        <v>142</v>
      </c>
      <c r="D34" s="1133">
        <v>0</v>
      </c>
      <c r="E34" s="1133">
        <v>0</v>
      </c>
      <c r="F34" s="1276">
        <v>0</v>
      </c>
      <c r="G34" s="187"/>
      <c r="H34" s="187"/>
      <c r="I34" s="187"/>
      <c r="J34" s="186"/>
      <c r="K34" s="187"/>
      <c r="L34" s="187"/>
      <c r="M34" s="186"/>
      <c r="N34" s="187"/>
      <c r="O34" s="187"/>
      <c r="P34" s="186"/>
      <c r="Q34" s="187"/>
      <c r="R34" s="187"/>
      <c r="S34" s="187"/>
      <c r="T34" s="187"/>
      <c r="U34" s="187"/>
      <c r="V34" s="186"/>
      <c r="W34" s="187"/>
    </row>
    <row r="35" spans="1:23" s="162" customFormat="1" ht="12" customHeight="1">
      <c r="A35" s="185"/>
      <c r="B35" s="710"/>
      <c r="C35" s="1030" t="s">
        <v>278</v>
      </c>
      <c r="D35" s="1133">
        <v>12</v>
      </c>
      <c r="E35" s="1133">
        <v>12</v>
      </c>
      <c r="F35" s="1276">
        <v>0</v>
      </c>
      <c r="G35" s="187"/>
      <c r="H35" s="187"/>
      <c r="I35" s="187"/>
      <c r="J35" s="186"/>
      <c r="K35" s="187"/>
      <c r="L35" s="187"/>
      <c r="M35" s="186"/>
      <c r="N35" s="187"/>
      <c r="O35" s="187"/>
      <c r="P35" s="186"/>
      <c r="Q35" s="187"/>
      <c r="R35" s="187"/>
      <c r="S35" s="187"/>
      <c r="T35" s="187"/>
      <c r="U35" s="187"/>
      <c r="V35" s="186"/>
      <c r="W35" s="187"/>
    </row>
    <row r="36" spans="1:23" s="162" customFormat="1" ht="12" customHeight="1">
      <c r="A36" s="185"/>
      <c r="B36" s="710"/>
      <c r="C36" s="1030" t="s">
        <v>279</v>
      </c>
      <c r="D36" s="1133">
        <v>6</v>
      </c>
      <c r="E36" s="1133">
        <v>3</v>
      </c>
      <c r="F36" s="1276">
        <v>0</v>
      </c>
      <c r="G36" s="187"/>
      <c r="H36" s="187"/>
      <c r="I36" s="187"/>
      <c r="J36" s="186"/>
      <c r="K36" s="187"/>
      <c r="L36" s="187"/>
      <c r="M36" s="186"/>
      <c r="N36" s="187"/>
      <c r="O36" s="187"/>
      <c r="P36" s="186"/>
      <c r="Q36" s="187"/>
      <c r="R36" s="187"/>
      <c r="S36" s="187"/>
      <c r="T36" s="187"/>
      <c r="U36" s="187"/>
      <c r="V36" s="186"/>
      <c r="W36" s="187"/>
    </row>
    <row r="37" spans="1:23" ht="12" customHeight="1">
      <c r="A37" s="150"/>
      <c r="B37" s="711"/>
      <c r="C37" s="1030" t="s">
        <v>280</v>
      </c>
      <c r="D37" s="1133">
        <v>0</v>
      </c>
      <c r="E37" s="1133">
        <v>0</v>
      </c>
      <c r="F37" s="1276">
        <v>0</v>
      </c>
      <c r="G37" s="188"/>
      <c r="H37" s="168"/>
      <c r="I37" s="168"/>
      <c r="J37" s="179"/>
      <c r="K37" s="188"/>
      <c r="L37" s="167"/>
      <c r="M37" s="188"/>
      <c r="N37" s="188"/>
      <c r="P37" s="188"/>
      <c r="Q37" s="188"/>
      <c r="R37" s="167"/>
      <c r="S37" s="168"/>
      <c r="T37" s="188"/>
      <c r="U37" s="188"/>
      <c r="V37" s="167"/>
      <c r="W37" s="189"/>
    </row>
    <row r="38" spans="1:23" ht="13.2" customHeight="1" thickBot="1">
      <c r="B38" s="712"/>
      <c r="C38" s="1145" t="s">
        <v>143</v>
      </c>
      <c r="D38" s="1134">
        <f>SUM(D11:D37)</f>
        <v>171</v>
      </c>
      <c r="E38" s="1134">
        <f>SUM(E11:E37)</f>
        <v>120</v>
      </c>
      <c r="F38" s="1135">
        <f>SUM(F11:F37)</f>
        <v>45</v>
      </c>
    </row>
    <row r="39" spans="1:23" ht="11.5" customHeight="1" thickBot="1">
      <c r="B39" s="1139"/>
      <c r="C39" s="1140"/>
      <c r="D39" s="1138"/>
      <c r="E39" s="1138"/>
      <c r="F39" s="1142"/>
    </row>
    <row r="40" spans="1:23" ht="14.15">
      <c r="B40" s="1681" t="s">
        <v>321</v>
      </c>
      <c r="C40" s="1682"/>
      <c r="D40" s="1141"/>
      <c r="E40" s="1141"/>
      <c r="F40" s="1016"/>
    </row>
    <row r="41" spans="1:23" ht="15" customHeight="1">
      <c r="B41" s="1232"/>
      <c r="C41" s="1030" t="s">
        <v>362</v>
      </c>
      <c r="D41" s="1137">
        <v>3</v>
      </c>
      <c r="E41" s="1137">
        <v>3</v>
      </c>
      <c r="F41" s="1136">
        <v>0</v>
      </c>
    </row>
    <row r="42" spans="1:23" ht="12" customHeight="1">
      <c r="B42" s="707"/>
      <c r="C42" s="1030" t="s">
        <v>144</v>
      </c>
      <c r="D42" s="1137">
        <v>9</v>
      </c>
      <c r="E42" s="1137">
        <v>9</v>
      </c>
      <c r="F42" s="1136">
        <v>0</v>
      </c>
    </row>
    <row r="43" spans="1:23" ht="12" customHeight="1">
      <c r="B43" s="707"/>
      <c r="C43" s="1030" t="s">
        <v>254</v>
      </c>
      <c r="D43" s="1133">
        <v>6</v>
      </c>
      <c r="E43" s="1133">
        <v>6</v>
      </c>
      <c r="F43" s="1136">
        <v>0</v>
      </c>
    </row>
    <row r="44" spans="1:23" ht="12" customHeight="1">
      <c r="B44" s="707"/>
      <c r="C44" s="1030" t="s">
        <v>363</v>
      </c>
      <c r="D44" s="1133">
        <v>12</v>
      </c>
      <c r="E44" s="1133">
        <v>6</v>
      </c>
      <c r="F44" s="1136">
        <v>6</v>
      </c>
    </row>
    <row r="45" spans="1:23" ht="12" customHeight="1">
      <c r="B45" s="707"/>
      <c r="C45" s="1030" t="s">
        <v>106</v>
      </c>
      <c r="D45" s="1133">
        <v>3</v>
      </c>
      <c r="E45" s="1133">
        <v>3</v>
      </c>
      <c r="F45" s="1136">
        <v>0</v>
      </c>
    </row>
    <row r="46" spans="1:23" ht="12" customHeight="1">
      <c r="B46" s="707"/>
      <c r="C46" s="1030" t="s">
        <v>281</v>
      </c>
      <c r="D46" s="1133">
        <v>9</v>
      </c>
      <c r="E46" s="1133">
        <v>6</v>
      </c>
      <c r="F46" s="1136">
        <v>3</v>
      </c>
    </row>
    <row r="47" spans="1:23" ht="12" customHeight="1">
      <c r="B47" s="707"/>
      <c r="C47" s="1030" t="s">
        <v>15</v>
      </c>
      <c r="D47" s="1133">
        <v>63</v>
      </c>
      <c r="E47" s="1133">
        <v>60</v>
      </c>
      <c r="F47" s="1136">
        <v>3</v>
      </c>
    </row>
    <row r="48" spans="1:23" ht="12" hidden="1" customHeight="1">
      <c r="C48" s="1031"/>
      <c r="D48" s="524"/>
      <c r="E48" s="524"/>
      <c r="F48" s="1014"/>
    </row>
    <row r="49" spans="2:6" ht="12" hidden="1" customHeight="1">
      <c r="C49" s="1685" t="s">
        <v>208</v>
      </c>
      <c r="D49" s="1685"/>
      <c r="E49" s="1685"/>
      <c r="F49" s="1695"/>
    </row>
    <row r="50" spans="2:6" ht="12" hidden="1" customHeight="1">
      <c r="C50" s="1693" t="s">
        <v>253</v>
      </c>
      <c r="D50" s="1693"/>
      <c r="E50" s="1693"/>
      <c r="F50" s="1694"/>
    </row>
    <row r="51" spans="2:6" ht="13.5" hidden="1" customHeight="1" thickBot="1">
      <c r="C51" s="1032"/>
      <c r="D51" s="525"/>
      <c r="E51" s="525"/>
      <c r="F51" s="1015"/>
    </row>
    <row r="52" spans="2:6" ht="12" hidden="1" customHeight="1">
      <c r="B52" s="1696" t="s">
        <v>130</v>
      </c>
      <c r="C52" s="1704"/>
      <c r="D52" s="1686" t="s">
        <v>227</v>
      </c>
      <c r="E52" s="1687"/>
      <c r="F52" s="1688"/>
    </row>
    <row r="53" spans="2:6" ht="12" hidden="1" customHeight="1">
      <c r="B53" s="1705"/>
      <c r="C53" s="1706"/>
      <c r="D53" s="1689"/>
      <c r="E53" s="1690"/>
      <c r="F53" s="1691"/>
    </row>
    <row r="54" spans="2:6" ht="12.75" hidden="1" customHeight="1" thickBot="1">
      <c r="B54" s="1705"/>
      <c r="C54" s="1707"/>
      <c r="D54" s="192" t="s">
        <v>131</v>
      </c>
      <c r="E54" s="193" t="s">
        <v>92</v>
      </c>
      <c r="F54" s="194" t="s">
        <v>93</v>
      </c>
    </row>
    <row r="55" spans="2:6" ht="12" customHeight="1">
      <c r="B55" s="707"/>
      <c r="C55" s="1030" t="s">
        <v>147</v>
      </c>
      <c r="D55" s="1133">
        <v>18</v>
      </c>
      <c r="E55" s="1133">
        <v>15</v>
      </c>
      <c r="F55" s="1136">
        <v>3</v>
      </c>
    </row>
    <row r="56" spans="2:6" ht="12" customHeight="1">
      <c r="B56" s="713"/>
      <c r="C56" s="1233" t="s">
        <v>365</v>
      </c>
      <c r="D56" s="1133">
        <v>3</v>
      </c>
      <c r="E56" s="1133">
        <v>0</v>
      </c>
      <c r="F56" s="1136">
        <v>0</v>
      </c>
    </row>
    <row r="57" spans="2:6" ht="13.2" customHeight="1" thickBot="1">
      <c r="B57" s="712"/>
      <c r="C57" s="1145" t="s">
        <v>161</v>
      </c>
      <c r="D57" s="1134">
        <f>D55+D47+D46+D45+D43+D42+D41+D44+D56</f>
        <v>126</v>
      </c>
      <c r="E57" s="1134">
        <f>E55+E47+E46+E45+E43+E42+E41+E44+E56</f>
        <v>108</v>
      </c>
      <c r="F57" s="1135">
        <f>F55+F47+F46+F45+F43+F42+F41+F44+F56</f>
        <v>15</v>
      </c>
    </row>
    <row r="58" spans="2:6" ht="12" customHeight="1" thickBot="1">
      <c r="B58" s="1143"/>
      <c r="C58" s="1144"/>
      <c r="D58" s="1142"/>
      <c r="E58" s="1142"/>
      <c r="F58" s="1142"/>
    </row>
    <row r="59" spans="2:6" ht="13.95" customHeight="1">
      <c r="B59" s="1681" t="s">
        <v>322</v>
      </c>
      <c r="C59" s="1682"/>
      <c r="D59" s="1141"/>
      <c r="E59" s="1141"/>
      <c r="F59" s="1016"/>
    </row>
    <row r="60" spans="2:6" ht="15" customHeight="1">
      <c r="B60" s="1232"/>
      <c r="C60" s="1030" t="s">
        <v>284</v>
      </c>
      <c r="D60" s="1137">
        <v>9</v>
      </c>
      <c r="E60" s="1137">
        <v>9</v>
      </c>
      <c r="F60" s="1136">
        <v>0</v>
      </c>
    </row>
    <row r="61" spans="2:6" ht="12" customHeight="1">
      <c r="B61" s="707"/>
      <c r="C61" s="1030" t="s">
        <v>148</v>
      </c>
      <c r="D61" s="1137">
        <v>6</v>
      </c>
      <c r="E61" s="1137">
        <v>3</v>
      </c>
      <c r="F61" s="1136">
        <v>3</v>
      </c>
    </row>
    <row r="62" spans="2:6" ht="12" customHeight="1">
      <c r="B62" s="707"/>
      <c r="C62" s="1030" t="s">
        <v>285</v>
      </c>
      <c r="D62" s="1137">
        <v>0</v>
      </c>
      <c r="E62" s="1137">
        <v>0</v>
      </c>
      <c r="F62" s="1136">
        <v>0</v>
      </c>
    </row>
    <row r="63" spans="2:6" ht="12" customHeight="1">
      <c r="B63" s="707"/>
      <c r="C63" s="1030" t="s">
        <v>364</v>
      </c>
      <c r="D63" s="1137">
        <v>3</v>
      </c>
      <c r="E63" s="1137">
        <v>0</v>
      </c>
      <c r="F63" s="1136">
        <v>0</v>
      </c>
    </row>
    <row r="64" spans="2:6" ht="12" customHeight="1">
      <c r="B64" s="707"/>
      <c r="C64" s="1030" t="s">
        <v>286</v>
      </c>
      <c r="D64" s="1137">
        <v>3</v>
      </c>
      <c r="E64" s="1137">
        <v>0</v>
      </c>
      <c r="F64" s="1136">
        <v>0</v>
      </c>
    </row>
    <row r="65" spans="2:6" ht="12" customHeight="1">
      <c r="B65" s="707"/>
      <c r="C65" s="1030" t="s">
        <v>282</v>
      </c>
      <c r="D65" s="1137">
        <v>84</v>
      </c>
      <c r="E65" s="1137">
        <v>72</v>
      </c>
      <c r="F65" s="1136">
        <v>12</v>
      </c>
    </row>
    <row r="66" spans="2:6" ht="13.2" customHeight="1" thickBot="1">
      <c r="B66" s="1146"/>
      <c r="C66" s="1147" t="s">
        <v>283</v>
      </c>
      <c r="D66" s="1134">
        <f>SUM(D60:D65)</f>
        <v>105</v>
      </c>
      <c r="E66" s="1134">
        <f>SUM(E60:E65)</f>
        <v>84</v>
      </c>
      <c r="F66" s="1135">
        <f>SUM(F60:F65)</f>
        <v>15</v>
      </c>
    </row>
    <row r="67" spans="2:6" ht="18" customHeight="1" thickBot="1">
      <c r="B67" s="1683" t="s">
        <v>14</v>
      </c>
      <c r="C67" s="1684"/>
      <c r="D67" s="1273">
        <f>D66+D57+D38</f>
        <v>402</v>
      </c>
      <c r="E67" s="1273">
        <f>E66+E57+E38</f>
        <v>312</v>
      </c>
      <c r="F67" s="1274">
        <f>F66+F57+F38</f>
        <v>75</v>
      </c>
    </row>
    <row r="68" spans="2:6" ht="3.65" customHeight="1">
      <c r="C68" s="8"/>
      <c r="D68" s="9"/>
      <c r="E68" s="8"/>
      <c r="F68" s="8"/>
    </row>
    <row r="69" spans="2:6" ht="11.9" customHeight="1">
      <c r="B69" s="70" t="s">
        <v>320</v>
      </c>
      <c r="D69" s="9"/>
      <c r="E69" s="8"/>
      <c r="F69" s="8"/>
    </row>
    <row r="70" spans="2:6" ht="9.75" customHeight="1">
      <c r="B70" s="8" t="s">
        <v>249</v>
      </c>
      <c r="D70" s="9"/>
      <c r="E70" s="8"/>
      <c r="F70" s="8"/>
    </row>
    <row r="71" spans="2:6" ht="16" customHeight="1">
      <c r="C71" s="8"/>
      <c r="D71" s="9"/>
      <c r="E71" s="8"/>
      <c r="F71" s="8"/>
    </row>
    <row r="72" spans="2:6">
      <c r="C72" s="8"/>
      <c r="D72" s="9"/>
      <c r="E72" s="8"/>
      <c r="F72" s="8"/>
    </row>
    <row r="73" spans="2:6">
      <c r="C73" s="8"/>
      <c r="D73" s="9"/>
      <c r="E73" s="8"/>
      <c r="F73" s="8"/>
    </row>
    <row r="74" spans="2:6">
      <c r="C74" s="8"/>
      <c r="D74" s="9"/>
      <c r="E74" s="8"/>
      <c r="F74" s="8"/>
    </row>
    <row r="75" spans="2:6">
      <c r="C75" s="8"/>
      <c r="D75" s="9"/>
      <c r="E75" s="8"/>
      <c r="F75" s="8"/>
    </row>
    <row r="76" spans="2:6">
      <c r="C76" s="8"/>
      <c r="D76" s="9"/>
      <c r="E76" s="8"/>
      <c r="F76" s="8"/>
    </row>
    <row r="77" spans="2:6">
      <c r="C77" s="8"/>
      <c r="D77" s="9"/>
      <c r="E77" s="8"/>
      <c r="F77" s="8"/>
    </row>
  </sheetData>
  <mergeCells count="12">
    <mergeCell ref="B59:C59"/>
    <mergeCell ref="B67:C67"/>
    <mergeCell ref="C3:F3"/>
    <mergeCell ref="D52:F53"/>
    <mergeCell ref="C5:F5"/>
    <mergeCell ref="D7:F8"/>
    <mergeCell ref="C50:F50"/>
    <mergeCell ref="C49:F49"/>
    <mergeCell ref="B7:C9"/>
    <mergeCell ref="B10:C10"/>
    <mergeCell ref="B40:C40"/>
    <mergeCell ref="B52:C54"/>
  </mergeCells>
  <printOptions horizontalCentered="1"/>
  <pageMargins left="0.51181102362204722" right="0.51181102362204722" top="0.70866141732283472" bottom="0.19685039370078741" header="0.51181102362204722" footer="0.27559055118110237"/>
  <pageSetup paperSize="9" scale="98" orientation="portrait" r:id="rId1"/>
  <headerFooter alignWithMargins="0">
    <oddHeader>&amp;R&amp;8&amp;D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50">
    <tabColor theme="0" tint="-0.499984740745262"/>
  </sheetPr>
  <dimension ref="A2:BK202"/>
  <sheetViews>
    <sheetView topLeftCell="A118" zoomScaleNormal="100" zoomScaleSheetLayoutView="100" workbookViewId="0">
      <selection activeCell="A5" sqref="A5:K5"/>
    </sheetView>
  </sheetViews>
  <sheetFormatPr baseColWidth="10" defaultColWidth="11.3828125" defaultRowHeight="10.3"/>
  <cols>
    <col min="1" max="1" width="5.69140625" style="605" customWidth="1"/>
    <col min="2" max="2" width="1" style="605" customWidth="1"/>
    <col min="3" max="3" width="47.3828125" style="605" customWidth="1"/>
    <col min="4" max="11" width="8.69140625" style="605" customWidth="1"/>
    <col min="12" max="16384" width="11.3828125" style="605"/>
  </cols>
  <sheetData>
    <row r="2" spans="1:63">
      <c r="C2" s="652"/>
      <c r="D2" s="649"/>
      <c r="E2" s="649"/>
      <c r="F2" s="649"/>
      <c r="G2" s="649"/>
      <c r="H2" s="649"/>
      <c r="I2" s="649"/>
      <c r="J2" s="651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  <c r="AK2" s="742"/>
      <c r="AL2" s="742"/>
      <c r="AM2" s="742"/>
      <c r="AN2" s="742"/>
      <c r="AO2" s="742"/>
      <c r="AP2" s="742"/>
      <c r="AQ2" s="742"/>
      <c r="AR2" s="742"/>
      <c r="AS2" s="742"/>
      <c r="AT2" s="742"/>
      <c r="AU2" s="742"/>
      <c r="AV2" s="742"/>
      <c r="AW2" s="742"/>
      <c r="AX2" s="742"/>
      <c r="AY2" s="742"/>
      <c r="AZ2" s="742"/>
      <c r="BA2" s="742"/>
      <c r="BB2" s="742"/>
      <c r="BC2" s="742"/>
      <c r="BD2" s="742"/>
      <c r="BE2" s="742"/>
      <c r="BF2" s="742"/>
      <c r="BG2" s="742"/>
      <c r="BH2" s="742"/>
      <c r="BI2" s="742"/>
      <c r="BJ2" s="742"/>
      <c r="BK2" s="742"/>
    </row>
    <row r="3" spans="1:63" ht="12.45">
      <c r="A3" s="1708" t="s">
        <v>213</v>
      </c>
      <c r="B3" s="1708"/>
      <c r="C3" s="1708"/>
      <c r="D3" s="1708"/>
      <c r="E3" s="1017" t="s">
        <v>264</v>
      </c>
      <c r="F3" s="987"/>
      <c r="G3" s="987"/>
      <c r="H3" s="987"/>
      <c r="I3" s="843"/>
      <c r="J3" s="843"/>
      <c r="K3" s="844"/>
      <c r="L3" s="742"/>
      <c r="M3" s="742"/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  <c r="BB3" s="742"/>
      <c r="BC3" s="742"/>
      <c r="BD3" s="742"/>
      <c r="BE3" s="742"/>
      <c r="BF3" s="742"/>
      <c r="BG3" s="742"/>
      <c r="BH3" s="742"/>
      <c r="BI3" s="742"/>
      <c r="BJ3" s="742"/>
      <c r="BK3" s="742"/>
    </row>
    <row r="4" spans="1:63">
      <c r="A4" s="653"/>
      <c r="B4" s="653"/>
      <c r="C4" s="645"/>
      <c r="D4" s="645"/>
      <c r="E4" s="645"/>
      <c r="F4" s="645"/>
      <c r="G4" s="645"/>
      <c r="K4" s="743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</row>
    <row r="5" spans="1:63" ht="12.45">
      <c r="A5" s="1710" t="s">
        <v>368</v>
      </c>
      <c r="B5" s="1710"/>
      <c r="C5" s="1710"/>
      <c r="D5" s="1710"/>
      <c r="E5" s="1710"/>
      <c r="F5" s="1710"/>
      <c r="G5" s="1710"/>
      <c r="H5" s="1710"/>
      <c r="I5" s="1710"/>
      <c r="J5" s="1710"/>
      <c r="K5" s="1710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742"/>
      <c r="AO5" s="742"/>
      <c r="AP5" s="742"/>
      <c r="AQ5" s="742"/>
      <c r="AR5" s="742"/>
      <c r="AS5" s="742"/>
      <c r="AT5" s="742"/>
      <c r="AU5" s="742"/>
      <c r="AV5" s="742"/>
      <c r="AW5" s="742"/>
      <c r="AX5" s="742"/>
      <c r="AY5" s="742"/>
      <c r="AZ5" s="742"/>
      <c r="BA5" s="742"/>
      <c r="BB5" s="742"/>
      <c r="BC5" s="742"/>
      <c r="BD5" s="742"/>
      <c r="BE5" s="742"/>
      <c r="BF5" s="742"/>
      <c r="BG5" s="742"/>
      <c r="BH5" s="742"/>
      <c r="BI5" s="742"/>
      <c r="BJ5" s="742"/>
      <c r="BK5" s="742"/>
    </row>
    <row r="6" spans="1:63">
      <c r="A6" s="647"/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742"/>
      <c r="AF6" s="742"/>
      <c r="AG6" s="742"/>
      <c r="AH6" s="742"/>
      <c r="AI6" s="742"/>
      <c r="AJ6" s="742"/>
      <c r="AK6" s="742"/>
      <c r="AL6" s="742"/>
      <c r="AM6" s="742"/>
      <c r="AN6" s="742"/>
      <c r="AO6" s="742"/>
      <c r="AP6" s="742"/>
      <c r="AQ6" s="742"/>
      <c r="AR6" s="742"/>
      <c r="AS6" s="742"/>
      <c r="AT6" s="742"/>
      <c r="AU6" s="742"/>
      <c r="AV6" s="742"/>
      <c r="AW6" s="742"/>
      <c r="AX6" s="742"/>
      <c r="AY6" s="742"/>
      <c r="AZ6" s="742"/>
      <c r="BA6" s="742"/>
      <c r="BB6" s="742"/>
      <c r="BC6" s="742"/>
      <c r="BD6" s="742"/>
      <c r="BE6" s="742"/>
      <c r="BF6" s="742"/>
      <c r="BG6" s="742"/>
      <c r="BH6" s="742"/>
      <c r="BI6" s="742"/>
      <c r="BJ6" s="742"/>
      <c r="BK6" s="742"/>
    </row>
    <row r="7" spans="1:63" ht="10.75" thickBot="1">
      <c r="A7" s="647"/>
      <c r="B7" s="647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  <c r="AE7" s="742"/>
      <c r="AF7" s="742"/>
      <c r="AG7" s="742"/>
      <c r="AH7" s="742"/>
      <c r="AI7" s="742"/>
      <c r="AJ7" s="742"/>
      <c r="AK7" s="742"/>
      <c r="AL7" s="742"/>
      <c r="AM7" s="742"/>
      <c r="AN7" s="742"/>
      <c r="AO7" s="742"/>
      <c r="AP7" s="742"/>
      <c r="AQ7" s="742"/>
      <c r="AR7" s="742"/>
      <c r="AS7" s="742"/>
      <c r="AT7" s="742"/>
      <c r="AU7" s="742"/>
      <c r="AV7" s="742"/>
      <c r="AW7" s="742"/>
      <c r="AX7" s="742"/>
      <c r="AY7" s="742"/>
      <c r="AZ7" s="742"/>
      <c r="BA7" s="742"/>
      <c r="BB7" s="742"/>
      <c r="BC7" s="742"/>
      <c r="BD7" s="742"/>
      <c r="BE7" s="742"/>
      <c r="BF7" s="742"/>
      <c r="BG7" s="742"/>
      <c r="BH7" s="742"/>
      <c r="BI7" s="742"/>
      <c r="BJ7" s="742"/>
      <c r="BK7" s="742"/>
    </row>
    <row r="8" spans="1:63" ht="16.5" customHeight="1">
      <c r="A8" s="1590" t="s">
        <v>43</v>
      </c>
      <c r="B8" s="1726"/>
      <c r="C8" s="744"/>
      <c r="D8" s="1715" t="s">
        <v>247</v>
      </c>
      <c r="E8" s="1716"/>
      <c r="F8" s="1716"/>
      <c r="G8" s="1716"/>
      <c r="H8" s="1716"/>
      <c r="I8" s="1716"/>
      <c r="J8" s="1716"/>
      <c r="K8" s="1717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742"/>
      <c r="W8" s="742"/>
      <c r="X8" s="742"/>
      <c r="Y8" s="742"/>
      <c r="Z8" s="742"/>
      <c r="AA8" s="742"/>
      <c r="AB8" s="742"/>
      <c r="AC8" s="742"/>
      <c r="AD8" s="742"/>
      <c r="AE8" s="742"/>
      <c r="AF8" s="742"/>
      <c r="AG8" s="742"/>
      <c r="AH8" s="742"/>
      <c r="AI8" s="742"/>
      <c r="AJ8" s="742"/>
      <c r="AK8" s="742"/>
      <c r="AL8" s="742"/>
      <c r="AM8" s="742"/>
      <c r="AN8" s="742"/>
      <c r="AO8" s="742"/>
      <c r="AP8" s="742"/>
      <c r="AQ8" s="742"/>
      <c r="AR8" s="742"/>
      <c r="AS8" s="742"/>
      <c r="AT8" s="742"/>
      <c r="AU8" s="742"/>
      <c r="AV8" s="742"/>
      <c r="AW8" s="742"/>
      <c r="AX8" s="742"/>
      <c r="AY8" s="742"/>
      <c r="AZ8" s="742"/>
      <c r="BA8" s="742"/>
      <c r="BB8" s="742"/>
      <c r="BC8" s="742"/>
      <c r="BD8" s="742"/>
      <c r="BE8" s="742"/>
      <c r="BF8" s="742"/>
      <c r="BG8" s="742"/>
      <c r="BH8" s="742"/>
      <c r="BI8" s="742"/>
      <c r="BJ8" s="742"/>
      <c r="BK8" s="742"/>
    </row>
    <row r="9" spans="1:63" ht="11.5" customHeight="1">
      <c r="A9" s="1727"/>
      <c r="B9" s="1728"/>
      <c r="C9" s="745"/>
      <c r="D9" s="1162"/>
      <c r="E9" s="1162"/>
      <c r="F9" s="1163"/>
      <c r="G9" s="1164"/>
      <c r="H9" s="1718" t="s">
        <v>192</v>
      </c>
      <c r="I9" s="1719"/>
      <c r="J9" s="1719"/>
      <c r="K9" s="1720"/>
      <c r="L9" s="649"/>
      <c r="M9" s="651"/>
      <c r="N9" s="651"/>
      <c r="O9" s="746"/>
      <c r="P9" s="649"/>
      <c r="Q9" s="649"/>
      <c r="R9" s="649"/>
      <c r="S9" s="649"/>
      <c r="T9" s="649"/>
      <c r="U9" s="649"/>
      <c r="V9" s="649"/>
      <c r="W9" s="649"/>
      <c r="X9" s="651"/>
      <c r="Y9" s="649"/>
      <c r="Z9" s="649"/>
      <c r="AA9" s="736" t="s">
        <v>110</v>
      </c>
      <c r="AB9" s="742"/>
      <c r="AC9" s="742"/>
      <c r="AD9" s="742"/>
      <c r="AE9" s="742"/>
      <c r="AF9" s="742"/>
      <c r="AG9" s="742"/>
      <c r="AH9" s="742"/>
      <c r="AI9" s="742"/>
      <c r="AJ9" s="742"/>
      <c r="AK9" s="742"/>
      <c r="AL9" s="742"/>
      <c r="AM9" s="742"/>
      <c r="AN9" s="742"/>
      <c r="AO9" s="742"/>
      <c r="AP9" s="742"/>
      <c r="AQ9" s="742"/>
      <c r="AR9" s="742"/>
      <c r="AS9" s="742"/>
      <c r="AT9" s="742"/>
      <c r="AU9" s="742"/>
      <c r="AV9" s="742"/>
      <c r="AW9" s="742"/>
      <c r="AX9" s="742"/>
      <c r="AY9" s="742"/>
      <c r="AZ9" s="742"/>
      <c r="BA9" s="742"/>
      <c r="BB9" s="742"/>
      <c r="BC9" s="742"/>
      <c r="BD9" s="742"/>
      <c r="BE9" s="742"/>
      <c r="BF9" s="742"/>
      <c r="BG9" s="742"/>
      <c r="BH9" s="742"/>
      <c r="BI9" s="742"/>
      <c r="BJ9" s="742"/>
      <c r="BK9" s="742"/>
    </row>
    <row r="10" spans="1:63" ht="11.5" customHeight="1">
      <c r="A10" s="1727"/>
      <c r="B10" s="1728"/>
      <c r="C10" s="1724" t="s">
        <v>191</v>
      </c>
      <c r="D10" s="1165"/>
      <c r="E10" s="1165"/>
      <c r="F10" s="1166"/>
      <c r="G10" s="795" t="s">
        <v>5</v>
      </c>
      <c r="H10" s="1721" t="s">
        <v>209</v>
      </c>
      <c r="I10" s="1722"/>
      <c r="J10" s="1722"/>
      <c r="K10" s="1723"/>
      <c r="L10" s="742"/>
      <c r="M10" s="742"/>
      <c r="N10" s="742"/>
      <c r="O10" s="742"/>
      <c r="P10" s="742"/>
      <c r="Q10" s="742"/>
      <c r="R10" s="742"/>
      <c r="S10" s="742"/>
      <c r="T10" s="742"/>
      <c r="U10" s="742"/>
      <c r="V10" s="742"/>
      <c r="W10" s="742"/>
      <c r="X10" s="742"/>
      <c r="Y10" s="742"/>
      <c r="Z10" s="742"/>
      <c r="AA10" s="742"/>
      <c r="AB10" s="742"/>
      <c r="AC10" s="742"/>
      <c r="AD10" s="742"/>
      <c r="AE10" s="742"/>
      <c r="AF10" s="742"/>
      <c r="AG10" s="742"/>
      <c r="AH10" s="742"/>
      <c r="AI10" s="742"/>
      <c r="AJ10" s="742"/>
      <c r="AK10" s="742"/>
      <c r="AL10" s="742"/>
      <c r="AM10" s="742"/>
      <c r="AN10" s="742"/>
      <c r="AO10" s="742"/>
      <c r="AP10" s="742"/>
      <c r="AQ10" s="742"/>
      <c r="AR10" s="742"/>
      <c r="AS10" s="742"/>
      <c r="AT10" s="742"/>
      <c r="AU10" s="742"/>
      <c r="AV10" s="742"/>
      <c r="AW10" s="742"/>
      <c r="AX10" s="742"/>
      <c r="AY10" s="742"/>
      <c r="AZ10" s="742"/>
      <c r="BA10" s="742"/>
      <c r="BB10" s="742"/>
      <c r="BC10" s="742"/>
      <c r="BD10" s="742"/>
      <c r="BE10" s="742"/>
      <c r="BF10" s="742"/>
      <c r="BG10" s="742"/>
      <c r="BH10" s="742"/>
      <c r="BI10" s="742"/>
      <c r="BJ10" s="742"/>
      <c r="BK10" s="742"/>
    </row>
    <row r="11" spans="1:63" ht="11.5" customHeight="1">
      <c r="A11" s="1727"/>
      <c r="B11" s="1728"/>
      <c r="C11" s="1724"/>
      <c r="D11" s="1166"/>
      <c r="E11" s="1167"/>
      <c r="F11" s="1165"/>
      <c r="G11" s="795" t="s">
        <v>190</v>
      </c>
      <c r="H11" s="1168"/>
      <c r="I11" s="960"/>
      <c r="J11" s="960"/>
      <c r="K11" s="799" t="s">
        <v>190</v>
      </c>
      <c r="L11" s="742"/>
      <c r="M11" s="742"/>
      <c r="N11" s="742"/>
      <c r="O11" s="742"/>
      <c r="P11" s="742"/>
      <c r="Q11" s="742"/>
      <c r="R11" s="742"/>
      <c r="S11" s="742"/>
      <c r="T11" s="742"/>
      <c r="U11" s="742"/>
      <c r="V11" s="742"/>
      <c r="W11" s="742"/>
      <c r="X11" s="742"/>
      <c r="Y11" s="742"/>
      <c r="Z11" s="742"/>
      <c r="AA11" s="742"/>
      <c r="AB11" s="742"/>
      <c r="AC11" s="742"/>
      <c r="AD11" s="742"/>
      <c r="AE11" s="742"/>
      <c r="AF11" s="742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  <c r="AT11" s="742"/>
      <c r="AU11" s="742"/>
      <c r="AV11" s="742"/>
      <c r="AW11" s="742"/>
      <c r="AX11" s="742"/>
      <c r="AY11" s="742"/>
      <c r="AZ11" s="742"/>
      <c r="BA11" s="742"/>
      <c r="BB11" s="742"/>
      <c r="BC11" s="742"/>
      <c r="BD11" s="742"/>
      <c r="BE11" s="742"/>
      <c r="BF11" s="742"/>
      <c r="BG11" s="742"/>
      <c r="BH11" s="742"/>
      <c r="BI11" s="742"/>
      <c r="BJ11" s="742"/>
      <c r="BK11" s="742"/>
    </row>
    <row r="12" spans="1:63" ht="11.5" customHeight="1">
      <c r="A12" s="1727"/>
      <c r="B12" s="1728"/>
      <c r="C12" s="1724" t="s">
        <v>189</v>
      </c>
      <c r="D12" s="1169" t="s">
        <v>19</v>
      </c>
      <c r="E12" s="782" t="s">
        <v>17</v>
      </c>
      <c r="F12" s="782" t="s">
        <v>18</v>
      </c>
      <c r="G12" s="795" t="s">
        <v>188</v>
      </c>
      <c r="H12" s="1169" t="s">
        <v>19</v>
      </c>
      <c r="I12" s="782" t="s">
        <v>17</v>
      </c>
      <c r="J12" s="782" t="s">
        <v>18</v>
      </c>
      <c r="K12" s="799" t="s">
        <v>188</v>
      </c>
      <c r="L12" s="742"/>
      <c r="M12" s="742"/>
      <c r="N12" s="742"/>
      <c r="O12" s="742"/>
      <c r="P12" s="742"/>
      <c r="Q12" s="742"/>
      <c r="R12" s="742"/>
      <c r="S12" s="742"/>
      <c r="T12" s="742"/>
      <c r="U12" s="742"/>
      <c r="V12" s="742"/>
      <c r="W12" s="742"/>
      <c r="X12" s="742"/>
      <c r="Y12" s="742"/>
      <c r="Z12" s="742"/>
      <c r="AA12" s="742"/>
      <c r="AB12" s="742"/>
      <c r="AC12" s="742"/>
      <c r="AD12" s="742"/>
      <c r="AE12" s="742"/>
      <c r="AF12" s="742"/>
      <c r="AG12" s="742"/>
      <c r="AH12" s="742"/>
      <c r="AI12" s="742"/>
      <c r="AJ12" s="742"/>
      <c r="AK12" s="742"/>
      <c r="AL12" s="742"/>
      <c r="AM12" s="742"/>
      <c r="AN12" s="742"/>
      <c r="AO12" s="742"/>
      <c r="AP12" s="742"/>
      <c r="AQ12" s="742"/>
      <c r="AR12" s="742"/>
      <c r="AS12" s="742"/>
      <c r="AT12" s="742"/>
      <c r="AU12" s="742"/>
      <c r="AV12" s="742"/>
      <c r="AW12" s="742"/>
      <c r="AX12" s="742"/>
      <c r="AY12" s="742"/>
      <c r="AZ12" s="742"/>
      <c r="BA12" s="742"/>
      <c r="BB12" s="742"/>
      <c r="BC12" s="742"/>
      <c r="BD12" s="742"/>
      <c r="BE12" s="742"/>
      <c r="BF12" s="742"/>
      <c r="BG12" s="742"/>
      <c r="BH12" s="742"/>
      <c r="BI12" s="742"/>
      <c r="BJ12" s="742"/>
      <c r="BK12" s="742"/>
    </row>
    <row r="13" spans="1:63" ht="11.5" customHeight="1">
      <c r="A13" s="1727"/>
      <c r="B13" s="1728"/>
      <c r="C13" s="1724"/>
      <c r="D13" s="1169" t="s">
        <v>29</v>
      </c>
      <c r="E13" s="782" t="s">
        <v>28</v>
      </c>
      <c r="F13" s="782" t="s">
        <v>34</v>
      </c>
      <c r="G13" s="795" t="s">
        <v>187</v>
      </c>
      <c r="H13" s="1169" t="s">
        <v>29</v>
      </c>
      <c r="I13" s="782" t="s">
        <v>28</v>
      </c>
      <c r="J13" s="782" t="s">
        <v>34</v>
      </c>
      <c r="K13" s="1170" t="s">
        <v>341</v>
      </c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  <c r="AF13" s="742"/>
      <c r="AG13" s="742"/>
      <c r="AH13" s="742"/>
      <c r="AI13" s="742"/>
      <c r="AJ13" s="742"/>
      <c r="AK13" s="742"/>
      <c r="AL13" s="742"/>
      <c r="AM13" s="742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  <c r="BB13" s="742"/>
      <c r="BC13" s="742"/>
      <c r="BD13" s="742"/>
      <c r="BE13" s="742"/>
      <c r="BF13" s="742"/>
      <c r="BG13" s="742"/>
      <c r="BH13" s="742"/>
      <c r="BI13" s="742"/>
      <c r="BJ13" s="742"/>
      <c r="BK13" s="742"/>
    </row>
    <row r="14" spans="1:63" ht="4" customHeight="1">
      <c r="A14" s="747"/>
      <c r="B14" s="748"/>
      <c r="C14" s="660"/>
      <c r="D14" s="392"/>
      <c r="E14" s="391"/>
      <c r="F14" s="391"/>
      <c r="G14" s="393"/>
      <c r="H14" s="392"/>
      <c r="I14" s="391"/>
      <c r="J14" s="391"/>
      <c r="K14" s="390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2"/>
      <c r="AE14" s="742"/>
      <c r="AF14" s="742"/>
      <c r="AG14" s="742"/>
      <c r="AH14" s="742"/>
      <c r="AI14" s="742"/>
      <c r="AJ14" s="742"/>
      <c r="AK14" s="742"/>
      <c r="AL14" s="742"/>
      <c r="AM14" s="742"/>
      <c r="AN14" s="742"/>
      <c r="AO14" s="742"/>
      <c r="AP14" s="742"/>
      <c r="AQ14" s="742"/>
      <c r="AR14" s="742"/>
      <c r="AS14" s="742"/>
      <c r="AT14" s="742"/>
      <c r="AU14" s="742"/>
      <c r="AV14" s="742"/>
      <c r="AW14" s="742"/>
      <c r="AX14" s="742"/>
      <c r="AY14" s="742"/>
      <c r="AZ14" s="742"/>
      <c r="BA14" s="742"/>
      <c r="BB14" s="742"/>
      <c r="BC14" s="742"/>
      <c r="BD14" s="742"/>
      <c r="BE14" s="742"/>
      <c r="BF14" s="742"/>
      <c r="BG14" s="742"/>
      <c r="BH14" s="742"/>
      <c r="BI14" s="742"/>
      <c r="BJ14" s="742"/>
      <c r="BK14" s="742"/>
    </row>
    <row r="15" spans="1:63" ht="11.25" customHeight="1">
      <c r="A15" s="614" t="s">
        <v>167</v>
      </c>
      <c r="B15" s="971"/>
      <c r="C15" s="749" t="s">
        <v>230</v>
      </c>
      <c r="D15" s="1182">
        <v>6</v>
      </c>
      <c r="E15" s="1174">
        <v>3</v>
      </c>
      <c r="F15" s="1175">
        <v>3</v>
      </c>
      <c r="G15" s="1173">
        <v>6</v>
      </c>
      <c r="H15" s="1184">
        <v>0</v>
      </c>
      <c r="I15" s="1176">
        <v>0</v>
      </c>
      <c r="J15" s="1177">
        <v>0</v>
      </c>
      <c r="K15" s="1178">
        <v>0</v>
      </c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2"/>
      <c r="AJ15" s="742"/>
      <c r="AK15" s="742"/>
      <c r="AL15" s="742"/>
      <c r="AM15" s="742"/>
      <c r="AN15" s="742"/>
      <c r="AO15" s="742"/>
      <c r="AP15" s="742"/>
      <c r="AQ15" s="742"/>
      <c r="AR15" s="742"/>
      <c r="AS15" s="742"/>
      <c r="AT15" s="742"/>
      <c r="AU15" s="742"/>
      <c r="AV15" s="742"/>
      <c r="AW15" s="742"/>
      <c r="AX15" s="742"/>
      <c r="AY15" s="742"/>
      <c r="AZ15" s="742"/>
      <c r="BA15" s="742"/>
      <c r="BB15" s="742"/>
      <c r="BC15" s="742"/>
      <c r="BD15" s="742"/>
      <c r="BE15" s="742"/>
      <c r="BF15" s="742"/>
      <c r="BG15" s="742"/>
      <c r="BH15" s="742"/>
      <c r="BI15" s="742"/>
      <c r="BJ15" s="742"/>
      <c r="BK15" s="742"/>
    </row>
    <row r="16" spans="1:63" ht="11.25" customHeight="1">
      <c r="A16" s="614"/>
      <c r="B16" s="971"/>
      <c r="C16" s="749" t="s">
        <v>231</v>
      </c>
      <c r="D16" s="1182">
        <v>3</v>
      </c>
      <c r="E16" s="1174">
        <v>0</v>
      </c>
      <c r="F16" s="1175">
        <v>3</v>
      </c>
      <c r="G16" s="1173">
        <v>3</v>
      </c>
      <c r="H16" s="1184">
        <v>0</v>
      </c>
      <c r="I16" s="1176">
        <v>0</v>
      </c>
      <c r="J16" s="1177">
        <v>0</v>
      </c>
      <c r="K16" s="1178">
        <v>0</v>
      </c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2"/>
      <c r="AJ16" s="742"/>
      <c r="AK16" s="742"/>
      <c r="AL16" s="742"/>
      <c r="AM16" s="742"/>
      <c r="AN16" s="742"/>
      <c r="AO16" s="742"/>
      <c r="AP16" s="742"/>
      <c r="AQ16" s="742"/>
      <c r="AR16" s="742"/>
      <c r="AS16" s="742"/>
      <c r="AT16" s="742"/>
      <c r="AU16" s="742"/>
      <c r="AV16" s="742"/>
      <c r="AW16" s="742"/>
      <c r="AX16" s="742"/>
      <c r="AY16" s="742"/>
      <c r="AZ16" s="742"/>
      <c r="BA16" s="742"/>
      <c r="BB16" s="742"/>
      <c r="BC16" s="742"/>
      <c r="BD16" s="742"/>
      <c r="BE16" s="742"/>
      <c r="BF16" s="742"/>
      <c r="BG16" s="742"/>
      <c r="BH16" s="742"/>
      <c r="BI16" s="742"/>
      <c r="BJ16" s="742"/>
      <c r="BK16" s="742"/>
    </row>
    <row r="17" spans="1:63" ht="11.25" customHeight="1">
      <c r="A17" s="614"/>
      <c r="B17" s="971"/>
      <c r="C17" s="749" t="s">
        <v>233</v>
      </c>
      <c r="D17" s="1182">
        <v>6</v>
      </c>
      <c r="E17" s="1174">
        <v>3</v>
      </c>
      <c r="F17" s="1175">
        <v>6</v>
      </c>
      <c r="G17" s="1173">
        <v>6</v>
      </c>
      <c r="H17" s="1184">
        <v>0</v>
      </c>
      <c r="I17" s="1176">
        <v>0</v>
      </c>
      <c r="J17" s="1177">
        <v>0</v>
      </c>
      <c r="K17" s="1178">
        <v>0</v>
      </c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742"/>
      <c r="X17" s="742"/>
      <c r="Y17" s="742"/>
      <c r="Z17" s="742"/>
      <c r="AA17" s="742"/>
      <c r="AB17" s="742"/>
      <c r="AC17" s="742"/>
      <c r="AD17" s="742"/>
      <c r="AE17" s="742"/>
      <c r="AF17" s="742"/>
      <c r="AG17" s="742"/>
      <c r="AH17" s="742"/>
      <c r="AI17" s="742"/>
      <c r="AJ17" s="742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2"/>
      <c r="BD17" s="742"/>
      <c r="BE17" s="742"/>
      <c r="BF17" s="742"/>
      <c r="BG17" s="742"/>
      <c r="BH17" s="742"/>
      <c r="BI17" s="742"/>
      <c r="BJ17" s="742"/>
      <c r="BK17" s="742"/>
    </row>
    <row r="18" spans="1:63" ht="11.25" customHeight="1">
      <c r="A18" s="614"/>
      <c r="B18" s="971"/>
      <c r="C18" s="749" t="s">
        <v>258</v>
      </c>
      <c r="D18" s="1182">
        <v>15</v>
      </c>
      <c r="E18" s="1174">
        <v>12</v>
      </c>
      <c r="F18" s="1175">
        <v>3</v>
      </c>
      <c r="G18" s="1173">
        <v>9</v>
      </c>
      <c r="H18" s="1184">
        <v>3</v>
      </c>
      <c r="I18" s="1176">
        <v>3</v>
      </c>
      <c r="J18" s="1177">
        <v>0</v>
      </c>
      <c r="K18" s="1178">
        <v>0</v>
      </c>
      <c r="L18" s="742"/>
      <c r="M18" s="742"/>
      <c r="N18" s="742"/>
      <c r="O18" s="742"/>
      <c r="P18" s="742"/>
      <c r="Q18" s="742"/>
      <c r="R18" s="742"/>
      <c r="S18" s="742"/>
      <c r="T18" s="742"/>
      <c r="U18" s="742"/>
      <c r="V18" s="742"/>
      <c r="W18" s="742"/>
      <c r="X18" s="742"/>
      <c r="Y18" s="742"/>
      <c r="Z18" s="742"/>
      <c r="AA18" s="742"/>
      <c r="AB18" s="742"/>
      <c r="AC18" s="742"/>
      <c r="AD18" s="742"/>
      <c r="AE18" s="742"/>
      <c r="AF18" s="742"/>
      <c r="AG18" s="742"/>
      <c r="AH18" s="742"/>
      <c r="AI18" s="742"/>
      <c r="AJ18" s="742"/>
      <c r="AK18" s="742"/>
      <c r="AL18" s="742"/>
      <c r="AM18" s="742"/>
      <c r="AN18" s="742"/>
      <c r="AO18" s="742"/>
      <c r="AP18" s="742"/>
      <c r="AQ18" s="742"/>
      <c r="AR18" s="742"/>
      <c r="AS18" s="742"/>
      <c r="AT18" s="742"/>
      <c r="AU18" s="742"/>
      <c r="AV18" s="742"/>
      <c r="AW18" s="742"/>
      <c r="AX18" s="742"/>
      <c r="AY18" s="742"/>
      <c r="AZ18" s="742"/>
      <c r="BA18" s="742"/>
      <c r="BB18" s="742"/>
      <c r="BC18" s="742"/>
      <c r="BD18" s="742"/>
      <c r="BE18" s="742"/>
      <c r="BF18" s="742"/>
      <c r="BG18" s="742"/>
      <c r="BH18" s="742"/>
      <c r="BI18" s="742"/>
      <c r="BJ18" s="742"/>
      <c r="BK18" s="742"/>
    </row>
    <row r="19" spans="1:63" ht="11.25" customHeight="1">
      <c r="A19" s="614"/>
      <c r="B19" s="971"/>
      <c r="C19" s="749" t="s">
        <v>235</v>
      </c>
      <c r="D19" s="1182">
        <v>0</v>
      </c>
      <c r="E19" s="1174">
        <v>0</v>
      </c>
      <c r="F19" s="1175">
        <v>0</v>
      </c>
      <c r="G19" s="1173">
        <v>0</v>
      </c>
      <c r="H19" s="1184">
        <v>0</v>
      </c>
      <c r="I19" s="1176">
        <v>0</v>
      </c>
      <c r="J19" s="1177">
        <v>0</v>
      </c>
      <c r="K19" s="1178">
        <v>0</v>
      </c>
      <c r="L19" s="742"/>
      <c r="M19" s="742"/>
      <c r="N19" s="742"/>
      <c r="O19" s="742"/>
      <c r="P19" s="742"/>
      <c r="Q19" s="742"/>
      <c r="R19" s="742"/>
      <c r="S19" s="742"/>
      <c r="T19" s="742"/>
      <c r="U19" s="742"/>
      <c r="V19" s="742"/>
      <c r="W19" s="742"/>
      <c r="X19" s="742"/>
      <c r="Y19" s="742"/>
      <c r="Z19" s="742"/>
      <c r="AA19" s="742"/>
      <c r="AB19" s="742"/>
      <c r="AC19" s="742"/>
      <c r="AD19" s="742"/>
      <c r="AE19" s="742"/>
      <c r="AF19" s="742"/>
      <c r="AG19" s="742"/>
      <c r="AH19" s="742"/>
      <c r="AI19" s="742"/>
      <c r="AJ19" s="742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</row>
    <row r="20" spans="1:63" ht="11.25" customHeight="1">
      <c r="A20" s="1234"/>
      <c r="B20" s="1235"/>
      <c r="C20" s="1236"/>
      <c r="D20" s="1237"/>
      <c r="E20" s="1238"/>
      <c r="F20" s="1239"/>
      <c r="G20" s="1240"/>
      <c r="H20" s="1241"/>
      <c r="I20" s="1242"/>
      <c r="J20" s="1243"/>
      <c r="K20" s="1244"/>
      <c r="L20" s="742"/>
      <c r="M20" s="742"/>
      <c r="N20" s="742"/>
      <c r="O20" s="742"/>
      <c r="P20" s="742"/>
      <c r="Q20" s="742"/>
      <c r="R20" s="742"/>
      <c r="S20" s="742"/>
      <c r="T20" s="742"/>
      <c r="U20" s="742"/>
      <c r="V20" s="742"/>
      <c r="W20" s="742"/>
      <c r="X20" s="742"/>
      <c r="Y20" s="742"/>
      <c r="Z20" s="742"/>
      <c r="AA20" s="742"/>
      <c r="AB20" s="742"/>
      <c r="AC20" s="742"/>
      <c r="AD20" s="742"/>
      <c r="AE20" s="742"/>
      <c r="AF20" s="742"/>
      <c r="AG20" s="742"/>
      <c r="AH20" s="742"/>
      <c r="AI20" s="742"/>
      <c r="AJ20" s="742"/>
      <c r="AK20" s="742"/>
      <c r="AL20" s="742"/>
      <c r="AM20" s="742"/>
      <c r="AN20" s="742"/>
      <c r="AO20" s="742"/>
      <c r="AP20" s="742"/>
      <c r="AQ20" s="742"/>
      <c r="AR20" s="742"/>
      <c r="AS20" s="742"/>
      <c r="AT20" s="742"/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2"/>
      <c r="BF20" s="742"/>
      <c r="BG20" s="742"/>
      <c r="BH20" s="742"/>
      <c r="BI20" s="742"/>
      <c r="BJ20" s="742"/>
      <c r="BK20" s="742"/>
    </row>
    <row r="21" spans="1:63" ht="11.25" customHeight="1">
      <c r="A21" s="614" t="s">
        <v>168</v>
      </c>
      <c r="B21" s="971"/>
      <c r="C21" s="749" t="s">
        <v>260</v>
      </c>
      <c r="D21" s="1182">
        <v>0</v>
      </c>
      <c r="E21" s="1174">
        <v>0</v>
      </c>
      <c r="F21" s="1175">
        <v>0</v>
      </c>
      <c r="G21" s="1173">
        <v>0</v>
      </c>
      <c r="H21" s="1184">
        <v>0</v>
      </c>
      <c r="I21" s="1176">
        <v>0</v>
      </c>
      <c r="J21" s="1177">
        <v>0</v>
      </c>
      <c r="K21" s="1178">
        <v>0</v>
      </c>
      <c r="L21" s="742"/>
      <c r="M21" s="742"/>
      <c r="N21" s="742"/>
      <c r="O21" s="742"/>
      <c r="P21" s="742"/>
      <c r="Q21" s="742"/>
      <c r="R21" s="742"/>
      <c r="S21" s="742"/>
      <c r="T21" s="742"/>
      <c r="U21" s="742"/>
      <c r="V21" s="742"/>
      <c r="W21" s="742"/>
      <c r="X21" s="742"/>
      <c r="Y21" s="742"/>
      <c r="Z21" s="742"/>
      <c r="AA21" s="742"/>
      <c r="AB21" s="742"/>
      <c r="AC21" s="742"/>
      <c r="AD21" s="742"/>
      <c r="AE21" s="742"/>
      <c r="AF21" s="742"/>
      <c r="AG21" s="742"/>
      <c r="AH21" s="742"/>
      <c r="AI21" s="742"/>
      <c r="AJ21" s="742"/>
      <c r="AK21" s="742"/>
      <c r="AL21" s="742"/>
      <c r="AM21" s="742"/>
      <c r="AN21" s="742"/>
      <c r="AO21" s="742"/>
      <c r="AP21" s="742"/>
      <c r="AQ21" s="742"/>
      <c r="AR21" s="742"/>
      <c r="AS21" s="742"/>
      <c r="AT21" s="742"/>
      <c r="AU21" s="742"/>
      <c r="AV21" s="742"/>
      <c r="AW21" s="742"/>
      <c r="AX21" s="742"/>
      <c r="AY21" s="742"/>
      <c r="AZ21" s="742"/>
      <c r="BA21" s="742"/>
      <c r="BB21" s="742"/>
      <c r="BC21" s="742"/>
      <c r="BD21" s="742"/>
      <c r="BE21" s="742"/>
      <c r="BF21" s="742"/>
      <c r="BG21" s="742"/>
      <c r="BH21" s="742"/>
      <c r="BI21" s="742"/>
      <c r="BJ21" s="742"/>
      <c r="BK21" s="742"/>
    </row>
    <row r="22" spans="1:63" ht="11.25" customHeight="1">
      <c r="A22" s="1234"/>
      <c r="B22" s="1235"/>
      <c r="C22" s="1236"/>
      <c r="D22" s="1237"/>
      <c r="E22" s="1238"/>
      <c r="F22" s="1239"/>
      <c r="G22" s="1240"/>
      <c r="H22" s="1241"/>
      <c r="I22" s="1242"/>
      <c r="J22" s="1243"/>
      <c r="K22" s="1244"/>
      <c r="L22" s="742"/>
      <c r="M22" s="742"/>
      <c r="N22" s="742"/>
      <c r="O22" s="742"/>
      <c r="P22" s="742"/>
      <c r="Q22" s="742"/>
      <c r="R22" s="742"/>
      <c r="S22" s="742"/>
      <c r="T22" s="742"/>
      <c r="U22" s="742"/>
      <c r="V22" s="742"/>
      <c r="W22" s="742"/>
      <c r="X22" s="742"/>
      <c r="Y22" s="742"/>
      <c r="Z22" s="742"/>
      <c r="AA22" s="742"/>
      <c r="AB22" s="742"/>
      <c r="AC22" s="742"/>
      <c r="AD22" s="742"/>
      <c r="AE22" s="742"/>
      <c r="AF22" s="742"/>
      <c r="AG22" s="742"/>
      <c r="AH22" s="742"/>
      <c r="AI22" s="742"/>
      <c r="AJ22" s="742"/>
      <c r="AK22" s="742"/>
      <c r="AL22" s="742"/>
      <c r="AM22" s="742"/>
      <c r="AN22" s="742"/>
      <c r="AO22" s="742"/>
      <c r="AP22" s="742"/>
      <c r="AQ22" s="742"/>
      <c r="AR22" s="742"/>
      <c r="AS22" s="742"/>
      <c r="AT22" s="742"/>
      <c r="AU22" s="742"/>
      <c r="AV22" s="742"/>
      <c r="AW22" s="742"/>
      <c r="AX22" s="742"/>
      <c r="AY22" s="742"/>
      <c r="AZ22" s="742"/>
      <c r="BA22" s="742"/>
      <c r="BB22" s="742"/>
      <c r="BC22" s="742"/>
      <c r="BD22" s="742"/>
      <c r="BE22" s="742"/>
      <c r="BF22" s="742"/>
      <c r="BG22" s="742"/>
      <c r="BH22" s="742"/>
      <c r="BI22" s="742"/>
      <c r="BJ22" s="742"/>
      <c r="BK22" s="742"/>
    </row>
    <row r="23" spans="1:63" ht="11.25" customHeight="1">
      <c r="A23" s="614" t="s">
        <v>169</v>
      </c>
      <c r="B23" s="971"/>
      <c r="C23" s="749" t="s">
        <v>229</v>
      </c>
      <c r="D23" s="1182">
        <v>159</v>
      </c>
      <c r="E23" s="1174">
        <v>147</v>
      </c>
      <c r="F23" s="1175">
        <v>12</v>
      </c>
      <c r="G23" s="1173">
        <v>120</v>
      </c>
      <c r="H23" s="1184">
        <v>21</v>
      </c>
      <c r="I23" s="1176">
        <v>21</v>
      </c>
      <c r="J23" s="1177">
        <v>0</v>
      </c>
      <c r="K23" s="1178">
        <v>15</v>
      </c>
      <c r="L23" s="742"/>
      <c r="M23" s="742"/>
      <c r="N23" s="742"/>
      <c r="O23" s="742"/>
      <c r="P23" s="742"/>
      <c r="Q23" s="742"/>
      <c r="R23" s="742"/>
      <c r="S23" s="742"/>
      <c r="T23" s="742"/>
      <c r="U23" s="742"/>
      <c r="V23" s="742"/>
      <c r="W23" s="742"/>
      <c r="X23" s="742"/>
      <c r="Y23" s="742"/>
      <c r="Z23" s="742"/>
      <c r="AA23" s="742"/>
      <c r="AB23" s="742"/>
      <c r="AC23" s="742"/>
      <c r="AD23" s="742"/>
      <c r="AE23" s="742"/>
      <c r="AF23" s="742"/>
      <c r="AG23" s="742"/>
      <c r="AH23" s="742"/>
      <c r="AI23" s="742"/>
      <c r="AJ23" s="742"/>
      <c r="AK23" s="742"/>
      <c r="AL23" s="742"/>
      <c r="AM23" s="742"/>
      <c r="AN23" s="742"/>
      <c r="AO23" s="742"/>
      <c r="AP23" s="742"/>
      <c r="AQ23" s="742"/>
      <c r="AR23" s="742"/>
      <c r="AS23" s="742"/>
      <c r="AT23" s="742"/>
      <c r="AU23" s="742"/>
      <c r="AV23" s="742"/>
      <c r="AW23" s="742"/>
      <c r="AX23" s="742"/>
      <c r="AY23" s="742"/>
      <c r="AZ23" s="742"/>
      <c r="BA23" s="742"/>
      <c r="BB23" s="742"/>
      <c r="BC23" s="742"/>
      <c r="BD23" s="742"/>
      <c r="BE23" s="742"/>
      <c r="BF23" s="742"/>
      <c r="BG23" s="742"/>
      <c r="BH23" s="742"/>
      <c r="BI23" s="742"/>
      <c r="BJ23" s="742"/>
      <c r="BK23" s="742"/>
    </row>
    <row r="24" spans="1:63" ht="11.25" customHeight="1">
      <c r="A24" s="614"/>
      <c r="B24" s="971"/>
      <c r="C24" s="749" t="s">
        <v>243</v>
      </c>
      <c r="D24" s="1182">
        <v>21</v>
      </c>
      <c r="E24" s="1174">
        <v>21</v>
      </c>
      <c r="F24" s="1175">
        <v>0</v>
      </c>
      <c r="G24" s="1173">
        <v>18</v>
      </c>
      <c r="H24" s="1184">
        <v>6</v>
      </c>
      <c r="I24" s="1176">
        <v>6</v>
      </c>
      <c r="J24" s="1177">
        <v>0</v>
      </c>
      <c r="K24" s="1178">
        <v>3</v>
      </c>
      <c r="L24" s="742"/>
      <c r="M24" s="742"/>
      <c r="N24" s="742"/>
      <c r="O24" s="742"/>
      <c r="P24" s="742"/>
      <c r="Q24" s="742"/>
      <c r="R24" s="742"/>
      <c r="S24" s="742"/>
      <c r="T24" s="742"/>
      <c r="U24" s="742"/>
      <c r="V24" s="742"/>
      <c r="W24" s="742"/>
      <c r="X24" s="742"/>
      <c r="Y24" s="742"/>
      <c r="Z24" s="742"/>
      <c r="AA24" s="742"/>
      <c r="AB24" s="742"/>
      <c r="AC24" s="742"/>
      <c r="AD24" s="742"/>
      <c r="AE24" s="742"/>
      <c r="AF24" s="742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  <c r="AT24" s="742"/>
      <c r="AU24" s="742"/>
      <c r="AV24" s="742"/>
      <c r="AW24" s="742"/>
      <c r="AX24" s="742"/>
      <c r="AY24" s="742"/>
      <c r="AZ24" s="742"/>
      <c r="BA24" s="742"/>
      <c r="BB24" s="742"/>
      <c r="BC24" s="742"/>
      <c r="BD24" s="742"/>
      <c r="BE24" s="742"/>
      <c r="BF24" s="742"/>
      <c r="BG24" s="742"/>
      <c r="BH24" s="742"/>
      <c r="BI24" s="742"/>
      <c r="BJ24" s="742"/>
      <c r="BK24" s="742"/>
    </row>
    <row r="25" spans="1:63" ht="11.25" customHeight="1">
      <c r="A25" s="614"/>
      <c r="B25" s="971"/>
      <c r="C25" s="749" t="s">
        <v>367</v>
      </c>
      <c r="D25" s="1182">
        <v>12</v>
      </c>
      <c r="E25" s="1174">
        <v>12</v>
      </c>
      <c r="F25" s="1175">
        <v>0</v>
      </c>
      <c r="G25" s="1173">
        <v>9</v>
      </c>
      <c r="H25" s="1184">
        <v>0</v>
      </c>
      <c r="I25" s="1176">
        <v>0</v>
      </c>
      <c r="J25" s="1177">
        <v>0</v>
      </c>
      <c r="K25" s="1178">
        <v>0</v>
      </c>
      <c r="L25" s="742"/>
      <c r="M25" s="742"/>
      <c r="N25" s="742"/>
      <c r="O25" s="742"/>
      <c r="P25" s="742"/>
      <c r="Q25" s="742"/>
      <c r="R25" s="742"/>
      <c r="S25" s="742"/>
      <c r="T25" s="742"/>
      <c r="U25" s="742"/>
      <c r="V25" s="742"/>
      <c r="W25" s="742"/>
      <c r="X25" s="742"/>
      <c r="Y25" s="742"/>
      <c r="Z25" s="742"/>
      <c r="AA25" s="742"/>
      <c r="AB25" s="742"/>
      <c r="AC25" s="742"/>
      <c r="AD25" s="742"/>
      <c r="AE25" s="742"/>
      <c r="AF25" s="742"/>
      <c r="AG25" s="742"/>
      <c r="AH25" s="742"/>
      <c r="AI25" s="742"/>
      <c r="AJ25" s="742"/>
      <c r="AK25" s="742"/>
      <c r="AL25" s="742"/>
      <c r="AM25" s="742"/>
      <c r="AN25" s="742"/>
      <c r="AO25" s="742"/>
      <c r="AP25" s="742"/>
      <c r="AQ25" s="742"/>
      <c r="AR25" s="742"/>
      <c r="AS25" s="742"/>
      <c r="AT25" s="742"/>
      <c r="AU25" s="742"/>
      <c r="AV25" s="742"/>
      <c r="AW25" s="742"/>
      <c r="AX25" s="742"/>
      <c r="AY25" s="742"/>
      <c r="AZ25" s="742"/>
      <c r="BA25" s="742"/>
      <c r="BB25" s="742"/>
      <c r="BC25" s="742"/>
      <c r="BD25" s="742"/>
      <c r="BE25" s="742"/>
      <c r="BF25" s="742"/>
      <c r="BG25" s="742"/>
      <c r="BH25" s="742"/>
      <c r="BI25" s="742"/>
      <c r="BJ25" s="742"/>
      <c r="BK25" s="742"/>
    </row>
    <row r="26" spans="1:63" ht="11.25" customHeight="1">
      <c r="A26" s="614"/>
      <c r="B26" s="971"/>
      <c r="C26" s="672" t="s">
        <v>255</v>
      </c>
      <c r="D26" s="1184">
        <v>18</v>
      </c>
      <c r="E26" s="1176">
        <v>18</v>
      </c>
      <c r="F26" s="1179">
        <v>0</v>
      </c>
      <c r="G26" s="1180">
        <v>15</v>
      </c>
      <c r="H26" s="1184">
        <v>9</v>
      </c>
      <c r="I26" s="1176">
        <v>9</v>
      </c>
      <c r="J26" s="1177">
        <v>0</v>
      </c>
      <c r="K26" s="1178">
        <v>9</v>
      </c>
      <c r="L26" s="742"/>
      <c r="M26" s="742"/>
      <c r="N26" s="742"/>
      <c r="O26" s="742"/>
      <c r="P26" s="742"/>
      <c r="Q26" s="742"/>
      <c r="R26" s="742"/>
      <c r="S26" s="742"/>
      <c r="T26" s="742"/>
      <c r="U26" s="742"/>
      <c r="V26" s="742"/>
      <c r="W26" s="742"/>
      <c r="X26" s="742"/>
      <c r="Y26" s="742"/>
      <c r="Z26" s="742"/>
      <c r="AA26" s="742"/>
      <c r="AB26" s="742"/>
      <c r="AC26" s="742"/>
      <c r="AD26" s="742"/>
      <c r="AE26" s="742"/>
      <c r="AF26" s="742"/>
      <c r="AG26" s="742"/>
      <c r="AH26" s="742"/>
      <c r="AI26" s="742"/>
      <c r="AJ26" s="742"/>
      <c r="AK26" s="742"/>
      <c r="AL26" s="742"/>
      <c r="AM26" s="742"/>
      <c r="AN26" s="742"/>
      <c r="AO26" s="742"/>
      <c r="AP26" s="742"/>
      <c r="AQ26" s="742"/>
      <c r="AR26" s="742"/>
      <c r="AS26" s="742"/>
      <c r="AT26" s="742"/>
      <c r="AU26" s="742"/>
      <c r="AV26" s="742"/>
      <c r="AW26" s="742"/>
      <c r="AX26" s="742"/>
      <c r="AY26" s="742"/>
      <c r="AZ26" s="742"/>
      <c r="BA26" s="742"/>
      <c r="BB26" s="742"/>
      <c r="BC26" s="742"/>
      <c r="BD26" s="742"/>
      <c r="BE26" s="742"/>
      <c r="BF26" s="742"/>
      <c r="BG26" s="742"/>
      <c r="BH26" s="742"/>
      <c r="BI26" s="742"/>
      <c r="BJ26" s="742"/>
      <c r="BK26" s="742"/>
    </row>
    <row r="27" spans="1:63" ht="11.25" customHeight="1">
      <c r="A27" s="614"/>
      <c r="B27" s="971"/>
      <c r="C27" s="749" t="s">
        <v>257</v>
      </c>
      <c r="D27" s="1182">
        <v>6</v>
      </c>
      <c r="E27" s="1174">
        <v>0</v>
      </c>
      <c r="F27" s="1175">
        <v>6</v>
      </c>
      <c r="G27" s="1173">
        <v>6</v>
      </c>
      <c r="H27" s="1184">
        <v>0</v>
      </c>
      <c r="I27" s="1176">
        <v>0</v>
      </c>
      <c r="J27" s="1177">
        <v>0</v>
      </c>
      <c r="K27" s="1178">
        <v>0</v>
      </c>
      <c r="L27" s="742"/>
      <c r="M27" s="742"/>
      <c r="N27" s="742"/>
      <c r="O27" s="742"/>
      <c r="P27" s="742"/>
      <c r="Q27" s="742"/>
      <c r="R27" s="742"/>
      <c r="S27" s="742"/>
      <c r="T27" s="742"/>
      <c r="U27" s="742"/>
      <c r="V27" s="742"/>
      <c r="W27" s="742"/>
      <c r="X27" s="742"/>
      <c r="Y27" s="742"/>
      <c r="Z27" s="742"/>
      <c r="AA27" s="742"/>
      <c r="AB27" s="742"/>
      <c r="AC27" s="742"/>
      <c r="AD27" s="742"/>
      <c r="AE27" s="742"/>
      <c r="AF27" s="742"/>
      <c r="AG27" s="742"/>
      <c r="AH27" s="742"/>
      <c r="AI27" s="742"/>
      <c r="AJ27" s="742"/>
      <c r="AK27" s="742"/>
      <c r="AL27" s="742"/>
      <c r="AM27" s="742"/>
      <c r="AN27" s="742"/>
      <c r="AO27" s="742"/>
      <c r="AP27" s="742"/>
      <c r="AQ27" s="742"/>
      <c r="AR27" s="742"/>
      <c r="AS27" s="742"/>
      <c r="AT27" s="742"/>
      <c r="AU27" s="742"/>
      <c r="AV27" s="742"/>
      <c r="AW27" s="742"/>
      <c r="AX27" s="742"/>
      <c r="AY27" s="742"/>
      <c r="AZ27" s="742"/>
      <c r="BA27" s="742"/>
      <c r="BB27" s="742"/>
      <c r="BC27" s="742"/>
      <c r="BD27" s="742"/>
      <c r="BE27" s="742"/>
      <c r="BF27" s="742"/>
      <c r="BG27" s="742"/>
      <c r="BH27" s="742"/>
      <c r="BI27" s="742"/>
      <c r="BJ27" s="742"/>
      <c r="BK27" s="742"/>
    </row>
    <row r="28" spans="1:63" ht="11.25" customHeight="1">
      <c r="A28" s="614"/>
      <c r="B28" s="971"/>
      <c r="C28" s="749" t="s">
        <v>239</v>
      </c>
      <c r="D28" s="1182">
        <v>9</v>
      </c>
      <c r="E28" s="1174">
        <v>0</v>
      </c>
      <c r="F28" s="1175">
        <v>9</v>
      </c>
      <c r="G28" s="1173">
        <v>9</v>
      </c>
      <c r="H28" s="1184">
        <v>0</v>
      </c>
      <c r="I28" s="1176">
        <v>0</v>
      </c>
      <c r="J28" s="1177">
        <v>0</v>
      </c>
      <c r="K28" s="1178">
        <v>0</v>
      </c>
      <c r="L28" s="742"/>
      <c r="M28" s="742"/>
      <c r="N28" s="742"/>
      <c r="O28" s="742"/>
      <c r="P28" s="742"/>
      <c r="Q28" s="742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  <c r="AM28" s="742"/>
      <c r="AN28" s="742"/>
      <c r="AO28" s="742"/>
      <c r="AP28" s="742"/>
      <c r="AQ28" s="742"/>
      <c r="AR28" s="742"/>
      <c r="AS28" s="742"/>
      <c r="AT28" s="742"/>
      <c r="AU28" s="742"/>
      <c r="AV28" s="742"/>
      <c r="AW28" s="742"/>
      <c r="AX28" s="742"/>
      <c r="AY28" s="742"/>
      <c r="AZ28" s="742"/>
      <c r="BA28" s="742"/>
      <c r="BB28" s="742"/>
      <c r="BC28" s="742"/>
      <c r="BD28" s="742"/>
      <c r="BE28" s="742"/>
      <c r="BF28" s="742"/>
      <c r="BG28" s="742"/>
      <c r="BH28" s="742"/>
      <c r="BI28" s="742"/>
      <c r="BJ28" s="742"/>
      <c r="BK28" s="742"/>
    </row>
    <row r="29" spans="1:63" ht="11.25" customHeight="1">
      <c r="A29" s="614"/>
      <c r="B29" s="971"/>
      <c r="C29" s="749" t="s">
        <v>244</v>
      </c>
      <c r="D29" s="1182">
        <v>0</v>
      </c>
      <c r="E29" s="1174">
        <v>0</v>
      </c>
      <c r="F29" s="1175">
        <v>0</v>
      </c>
      <c r="G29" s="1173">
        <v>0</v>
      </c>
      <c r="H29" s="1184">
        <v>0</v>
      </c>
      <c r="I29" s="1176">
        <v>0</v>
      </c>
      <c r="J29" s="1177">
        <v>0</v>
      </c>
      <c r="K29" s="1178">
        <v>0</v>
      </c>
      <c r="L29" s="742"/>
      <c r="M29" s="742"/>
      <c r="N29" s="742"/>
      <c r="O29" s="742"/>
      <c r="P29" s="742"/>
      <c r="Q29" s="742"/>
      <c r="R29" s="742"/>
      <c r="S29" s="742"/>
      <c r="T29" s="742"/>
      <c r="U29" s="742"/>
      <c r="V29" s="742"/>
      <c r="W29" s="742"/>
      <c r="X29" s="742"/>
      <c r="Y29" s="742"/>
      <c r="Z29" s="742"/>
      <c r="AA29" s="742"/>
      <c r="AB29" s="742"/>
      <c r="AC29" s="742"/>
      <c r="AD29" s="742"/>
      <c r="AE29" s="742"/>
      <c r="AF29" s="742"/>
      <c r="AG29" s="742"/>
      <c r="AH29" s="742"/>
      <c r="AI29" s="742"/>
      <c r="AJ29" s="742"/>
      <c r="AK29" s="742"/>
      <c r="AL29" s="742"/>
      <c r="AM29" s="742"/>
      <c r="AN29" s="742"/>
      <c r="AO29" s="742"/>
      <c r="AP29" s="742"/>
      <c r="AQ29" s="742"/>
      <c r="AR29" s="742"/>
      <c r="AS29" s="742"/>
      <c r="AT29" s="742"/>
      <c r="AU29" s="742"/>
      <c r="AV29" s="742"/>
      <c r="AW29" s="742"/>
      <c r="AX29" s="742"/>
      <c r="AY29" s="742"/>
      <c r="AZ29" s="742"/>
      <c r="BA29" s="742"/>
      <c r="BB29" s="742"/>
      <c r="BC29" s="742"/>
      <c r="BD29" s="742"/>
      <c r="BE29" s="742"/>
      <c r="BF29" s="742"/>
      <c r="BG29" s="742"/>
      <c r="BH29" s="742"/>
      <c r="BI29" s="742"/>
      <c r="BJ29" s="742"/>
      <c r="BK29" s="742"/>
    </row>
    <row r="30" spans="1:63" ht="11.25" customHeight="1">
      <c r="A30" s="614"/>
      <c r="B30" s="971"/>
      <c r="C30" s="749" t="s">
        <v>245</v>
      </c>
      <c r="D30" s="1182">
        <v>12</v>
      </c>
      <c r="E30" s="1174">
        <v>12</v>
      </c>
      <c r="F30" s="1175">
        <v>0</v>
      </c>
      <c r="G30" s="1173">
        <v>12</v>
      </c>
      <c r="H30" s="1184">
        <v>0</v>
      </c>
      <c r="I30" s="1176">
        <v>0</v>
      </c>
      <c r="J30" s="1177">
        <v>0</v>
      </c>
      <c r="K30" s="1178">
        <v>0</v>
      </c>
      <c r="L30" s="742"/>
      <c r="M30" s="742"/>
      <c r="N30" s="742"/>
      <c r="O30" s="742"/>
      <c r="P30" s="742"/>
      <c r="Q30" s="742"/>
      <c r="R30" s="742"/>
      <c r="S30" s="742"/>
      <c r="T30" s="742"/>
      <c r="U30" s="742"/>
      <c r="V30" s="742"/>
      <c r="W30" s="742"/>
      <c r="X30" s="742"/>
      <c r="Y30" s="742"/>
      <c r="Z30" s="742"/>
      <c r="AA30" s="742"/>
      <c r="AB30" s="742"/>
      <c r="AC30" s="742"/>
      <c r="AD30" s="742"/>
      <c r="AE30" s="742"/>
      <c r="AF30" s="742"/>
      <c r="AG30" s="742"/>
      <c r="AH30" s="742"/>
      <c r="AI30" s="742"/>
      <c r="AJ30" s="742"/>
      <c r="AK30" s="742"/>
      <c r="AL30" s="742"/>
      <c r="AM30" s="742"/>
      <c r="AN30" s="742"/>
      <c r="AO30" s="742"/>
      <c r="AP30" s="742"/>
      <c r="AQ30" s="742"/>
      <c r="AR30" s="742"/>
      <c r="AS30" s="742"/>
      <c r="AT30" s="742"/>
      <c r="AU30" s="742"/>
      <c r="AV30" s="742"/>
      <c r="AW30" s="742"/>
      <c r="AX30" s="742"/>
      <c r="AY30" s="742"/>
      <c r="AZ30" s="742"/>
      <c r="BA30" s="742"/>
      <c r="BB30" s="742"/>
      <c r="BC30" s="742"/>
      <c r="BD30" s="742"/>
      <c r="BE30" s="742"/>
      <c r="BF30" s="742"/>
      <c r="BG30" s="742"/>
      <c r="BH30" s="742"/>
      <c r="BI30" s="742"/>
      <c r="BJ30" s="742"/>
      <c r="BK30" s="742"/>
    </row>
    <row r="31" spans="1:63" ht="11.25" customHeight="1">
      <c r="A31" s="614"/>
      <c r="B31" s="971"/>
      <c r="C31" s="749" t="s">
        <v>259</v>
      </c>
      <c r="D31" s="1182">
        <v>0</v>
      </c>
      <c r="E31" s="1174">
        <v>0</v>
      </c>
      <c r="F31" s="1175">
        <v>0</v>
      </c>
      <c r="G31" s="1173">
        <v>0</v>
      </c>
      <c r="H31" s="1184">
        <v>0</v>
      </c>
      <c r="I31" s="1176">
        <v>0</v>
      </c>
      <c r="J31" s="1177">
        <v>0</v>
      </c>
      <c r="K31" s="1178">
        <v>0</v>
      </c>
      <c r="L31" s="742"/>
      <c r="M31" s="742"/>
      <c r="N31" s="742"/>
      <c r="O31" s="742"/>
      <c r="P31" s="742"/>
      <c r="Q31" s="742"/>
      <c r="R31" s="742"/>
      <c r="S31" s="742"/>
      <c r="T31" s="742"/>
      <c r="U31" s="742"/>
      <c r="V31" s="742"/>
      <c r="W31" s="742"/>
      <c r="X31" s="742"/>
      <c r="Y31" s="742"/>
      <c r="Z31" s="742"/>
      <c r="AA31" s="742"/>
      <c r="AB31" s="742"/>
      <c r="AC31" s="742"/>
      <c r="AD31" s="742"/>
      <c r="AE31" s="742"/>
      <c r="AF31" s="742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  <c r="AT31" s="742"/>
      <c r="AU31" s="742"/>
      <c r="AV31" s="742"/>
      <c r="AW31" s="742"/>
      <c r="AX31" s="742"/>
      <c r="AY31" s="742"/>
      <c r="AZ31" s="742"/>
      <c r="BA31" s="742"/>
      <c r="BB31" s="742"/>
      <c r="BC31" s="742"/>
      <c r="BD31" s="742"/>
      <c r="BE31" s="742"/>
      <c r="BF31" s="742"/>
      <c r="BG31" s="742"/>
      <c r="BH31" s="742"/>
      <c r="BI31" s="742"/>
      <c r="BJ31" s="742"/>
      <c r="BK31" s="742"/>
    </row>
    <row r="32" spans="1:63" ht="11.25" customHeight="1">
      <c r="A32" s="614"/>
      <c r="B32" s="971"/>
      <c r="C32" s="749" t="s">
        <v>260</v>
      </c>
      <c r="D32" s="1182">
        <v>12</v>
      </c>
      <c r="E32" s="1174">
        <v>9</v>
      </c>
      <c r="F32" s="1175">
        <v>3</v>
      </c>
      <c r="G32" s="1173">
        <v>9</v>
      </c>
      <c r="H32" s="1184">
        <v>0</v>
      </c>
      <c r="I32" s="1176">
        <v>0</v>
      </c>
      <c r="J32" s="1177">
        <v>0</v>
      </c>
      <c r="K32" s="1178">
        <v>0</v>
      </c>
      <c r="L32" s="742"/>
      <c r="M32" s="742"/>
      <c r="N32" s="742"/>
      <c r="O32" s="742"/>
      <c r="P32" s="742"/>
      <c r="Q32" s="742"/>
      <c r="R32" s="742"/>
      <c r="S32" s="742"/>
      <c r="T32" s="742"/>
      <c r="U32" s="742"/>
      <c r="V32" s="742"/>
      <c r="W32" s="742"/>
      <c r="X32" s="742"/>
      <c r="Y32" s="742"/>
      <c r="Z32" s="742"/>
      <c r="AA32" s="742"/>
      <c r="AB32" s="742"/>
      <c r="AC32" s="742"/>
      <c r="AD32" s="742"/>
      <c r="AE32" s="742"/>
      <c r="AF32" s="742"/>
      <c r="AG32" s="742"/>
      <c r="AH32" s="742"/>
      <c r="AI32" s="742"/>
      <c r="AJ32" s="742"/>
      <c r="AK32" s="742"/>
      <c r="AL32" s="742"/>
      <c r="AM32" s="742"/>
      <c r="AN32" s="742"/>
      <c r="AO32" s="742"/>
      <c r="AP32" s="742"/>
      <c r="AQ32" s="742"/>
      <c r="AR32" s="742"/>
      <c r="AS32" s="742"/>
      <c r="AT32" s="742"/>
      <c r="AU32" s="742"/>
      <c r="AV32" s="742"/>
      <c r="AW32" s="742"/>
      <c r="AX32" s="742"/>
      <c r="AY32" s="742"/>
      <c r="AZ32" s="742"/>
      <c r="BA32" s="742"/>
      <c r="BB32" s="742"/>
      <c r="BC32" s="742"/>
      <c r="BD32" s="742"/>
      <c r="BE32" s="742"/>
      <c r="BF32" s="742"/>
      <c r="BG32" s="742"/>
      <c r="BH32" s="742"/>
      <c r="BI32" s="742"/>
      <c r="BJ32" s="742"/>
      <c r="BK32" s="742"/>
    </row>
    <row r="33" spans="1:63" ht="11.25" customHeight="1">
      <c r="A33" s="614"/>
      <c r="B33" s="971"/>
      <c r="C33" s="749" t="s">
        <v>287</v>
      </c>
      <c r="D33" s="1182">
        <v>0</v>
      </c>
      <c r="E33" s="1174">
        <v>0</v>
      </c>
      <c r="F33" s="1175">
        <v>0</v>
      </c>
      <c r="G33" s="1173">
        <v>0</v>
      </c>
      <c r="H33" s="1184">
        <v>0</v>
      </c>
      <c r="I33" s="1176">
        <v>0</v>
      </c>
      <c r="J33" s="1177">
        <v>0</v>
      </c>
      <c r="K33" s="1178">
        <v>0</v>
      </c>
      <c r="L33" s="742"/>
      <c r="M33" s="742"/>
      <c r="N33" s="742"/>
      <c r="O33" s="742"/>
      <c r="P33" s="742"/>
      <c r="Q33" s="742"/>
      <c r="R33" s="742"/>
      <c r="S33" s="742"/>
      <c r="T33" s="742"/>
      <c r="U33" s="742"/>
      <c r="V33" s="742"/>
      <c r="W33" s="742"/>
      <c r="X33" s="742"/>
      <c r="Y33" s="742"/>
      <c r="Z33" s="742"/>
      <c r="AA33" s="742"/>
      <c r="AB33" s="742"/>
      <c r="AC33" s="742"/>
      <c r="AD33" s="742"/>
      <c r="AE33" s="742"/>
      <c r="AF33" s="742"/>
      <c r="AG33" s="742"/>
      <c r="AH33" s="742"/>
      <c r="AI33" s="742"/>
      <c r="AJ33" s="742"/>
      <c r="AK33" s="742"/>
      <c r="AL33" s="742"/>
      <c r="AM33" s="742"/>
      <c r="AN33" s="742"/>
      <c r="AO33" s="742"/>
      <c r="AP33" s="742"/>
      <c r="AQ33" s="742"/>
      <c r="AR33" s="742"/>
      <c r="AS33" s="742"/>
      <c r="AT33" s="742"/>
      <c r="AU33" s="742"/>
      <c r="AV33" s="742"/>
      <c r="AW33" s="742"/>
      <c r="AX33" s="742"/>
      <c r="AY33" s="742"/>
      <c r="AZ33" s="742"/>
      <c r="BA33" s="742"/>
      <c r="BB33" s="742"/>
      <c r="BC33" s="742"/>
      <c r="BD33" s="742"/>
      <c r="BE33" s="742"/>
      <c r="BF33" s="742"/>
      <c r="BG33" s="742"/>
      <c r="BH33" s="742"/>
      <c r="BI33" s="742"/>
      <c r="BJ33" s="742"/>
      <c r="BK33" s="742"/>
    </row>
    <row r="34" spans="1:63" ht="11.25" customHeight="1">
      <c r="A34" s="614"/>
      <c r="B34" s="971"/>
      <c r="C34" s="749" t="s">
        <v>231</v>
      </c>
      <c r="D34" s="1182">
        <v>6</v>
      </c>
      <c r="E34" s="1174">
        <v>6</v>
      </c>
      <c r="F34" s="1175">
        <v>3</v>
      </c>
      <c r="G34" s="1173">
        <v>6</v>
      </c>
      <c r="H34" s="1184">
        <v>0</v>
      </c>
      <c r="I34" s="1176">
        <v>0</v>
      </c>
      <c r="J34" s="1177">
        <v>0</v>
      </c>
      <c r="K34" s="1178">
        <v>0</v>
      </c>
      <c r="L34" s="742"/>
      <c r="M34" s="742"/>
      <c r="N34" s="742"/>
      <c r="O34" s="742"/>
      <c r="P34" s="742"/>
      <c r="Q34" s="742"/>
      <c r="R34" s="742"/>
      <c r="S34" s="742"/>
      <c r="T34" s="742"/>
      <c r="U34" s="742"/>
      <c r="V34" s="742"/>
      <c r="W34" s="742"/>
      <c r="X34" s="742"/>
      <c r="Y34" s="742"/>
      <c r="Z34" s="742"/>
      <c r="AA34" s="742"/>
      <c r="AB34" s="742"/>
      <c r="AC34" s="742"/>
      <c r="AD34" s="742"/>
      <c r="AE34" s="742"/>
      <c r="AF34" s="742"/>
      <c r="AG34" s="742"/>
      <c r="AH34" s="742"/>
      <c r="AI34" s="742"/>
      <c r="AJ34" s="742"/>
      <c r="AK34" s="742"/>
      <c r="AL34" s="742"/>
      <c r="AM34" s="742"/>
      <c r="AN34" s="742"/>
      <c r="AO34" s="742"/>
      <c r="AP34" s="742"/>
      <c r="AQ34" s="742"/>
      <c r="AR34" s="742"/>
      <c r="AS34" s="742"/>
      <c r="AT34" s="742"/>
      <c r="AU34" s="742"/>
      <c r="AV34" s="742"/>
      <c r="AW34" s="742"/>
      <c r="AX34" s="742"/>
      <c r="AY34" s="742"/>
      <c r="AZ34" s="742"/>
      <c r="BA34" s="742"/>
      <c r="BB34" s="742"/>
      <c r="BC34" s="742"/>
      <c r="BD34" s="742"/>
      <c r="BE34" s="742"/>
      <c r="BF34" s="742"/>
      <c r="BG34" s="742"/>
      <c r="BH34" s="742"/>
      <c r="BI34" s="742"/>
      <c r="BJ34" s="742"/>
      <c r="BK34" s="742"/>
    </row>
    <row r="35" spans="1:63" ht="11.25" customHeight="1">
      <c r="A35" s="614"/>
      <c r="B35" s="971"/>
      <c r="C35" s="749" t="s">
        <v>233</v>
      </c>
      <c r="D35" s="1182">
        <v>15</v>
      </c>
      <c r="E35" s="1174">
        <v>9</v>
      </c>
      <c r="F35" s="1175">
        <v>3</v>
      </c>
      <c r="G35" s="1173">
        <v>15</v>
      </c>
      <c r="H35" s="1184">
        <v>0</v>
      </c>
      <c r="I35" s="1176">
        <v>0</v>
      </c>
      <c r="J35" s="1177">
        <v>0</v>
      </c>
      <c r="K35" s="1178">
        <v>0</v>
      </c>
      <c r="L35" s="742"/>
      <c r="M35" s="742"/>
      <c r="N35" s="742"/>
      <c r="O35" s="742"/>
      <c r="P35" s="742"/>
      <c r="Q35" s="742"/>
      <c r="R35" s="742"/>
      <c r="S35" s="742"/>
      <c r="T35" s="742"/>
      <c r="U35" s="742"/>
      <c r="V35" s="742"/>
      <c r="W35" s="742"/>
      <c r="X35" s="742"/>
      <c r="Y35" s="742"/>
      <c r="Z35" s="742"/>
      <c r="AA35" s="742"/>
      <c r="AB35" s="742"/>
      <c r="AC35" s="742"/>
      <c r="AD35" s="742"/>
      <c r="AE35" s="742"/>
      <c r="AF35" s="742"/>
      <c r="AG35" s="742"/>
      <c r="AH35" s="742"/>
      <c r="AI35" s="742"/>
      <c r="AJ35" s="742"/>
      <c r="AK35" s="742"/>
      <c r="AL35" s="742"/>
      <c r="AM35" s="742"/>
      <c r="AN35" s="742"/>
      <c r="AO35" s="742"/>
      <c r="AP35" s="742"/>
      <c r="AQ35" s="742"/>
      <c r="AR35" s="742"/>
      <c r="AS35" s="742"/>
      <c r="AT35" s="742"/>
      <c r="AU35" s="742"/>
      <c r="AV35" s="742"/>
      <c r="AW35" s="742"/>
      <c r="AX35" s="742"/>
      <c r="AY35" s="742"/>
      <c r="AZ35" s="742"/>
      <c r="BA35" s="742"/>
      <c r="BB35" s="742"/>
      <c r="BC35" s="742"/>
      <c r="BD35" s="742"/>
      <c r="BE35" s="742"/>
      <c r="BF35" s="742"/>
      <c r="BG35" s="742"/>
      <c r="BH35" s="742"/>
      <c r="BI35" s="742"/>
      <c r="BJ35" s="742"/>
      <c r="BK35" s="742"/>
    </row>
    <row r="36" spans="1:63" ht="11.25" customHeight="1">
      <c r="A36" s="614"/>
      <c r="B36" s="971"/>
      <c r="C36" s="749" t="s">
        <v>234</v>
      </c>
      <c r="D36" s="1182">
        <v>0</v>
      </c>
      <c r="E36" s="1174">
        <v>0</v>
      </c>
      <c r="F36" s="1175">
        <v>0</v>
      </c>
      <c r="G36" s="1173">
        <v>0</v>
      </c>
      <c r="H36" s="1184">
        <v>0</v>
      </c>
      <c r="I36" s="1176">
        <v>0</v>
      </c>
      <c r="J36" s="1177">
        <v>0</v>
      </c>
      <c r="K36" s="1178">
        <v>0</v>
      </c>
      <c r="L36" s="742"/>
      <c r="M36" s="742"/>
      <c r="N36" s="742"/>
      <c r="O36" s="742"/>
      <c r="P36" s="742"/>
      <c r="Q36" s="742"/>
      <c r="R36" s="742"/>
      <c r="S36" s="742"/>
      <c r="T36" s="742"/>
      <c r="U36" s="742"/>
      <c r="V36" s="742"/>
      <c r="W36" s="742"/>
      <c r="X36" s="742"/>
      <c r="Y36" s="742"/>
      <c r="Z36" s="742"/>
      <c r="AA36" s="742"/>
      <c r="AB36" s="742"/>
      <c r="AC36" s="742"/>
      <c r="AD36" s="742"/>
      <c r="AE36" s="742"/>
      <c r="AF36" s="742"/>
      <c r="AG36" s="742"/>
      <c r="AH36" s="742"/>
      <c r="AI36" s="742"/>
      <c r="AJ36" s="742"/>
      <c r="AK36" s="742"/>
      <c r="AL36" s="742"/>
      <c r="AM36" s="742"/>
      <c r="AN36" s="742"/>
      <c r="AO36" s="742"/>
      <c r="AP36" s="742"/>
      <c r="AQ36" s="742"/>
      <c r="AR36" s="742"/>
      <c r="AS36" s="742"/>
      <c r="AT36" s="742"/>
      <c r="AU36" s="742"/>
      <c r="AV36" s="742"/>
      <c r="AW36" s="742"/>
      <c r="AX36" s="742"/>
      <c r="AY36" s="742"/>
      <c r="AZ36" s="742"/>
      <c r="BA36" s="742"/>
      <c r="BB36" s="742"/>
      <c r="BC36" s="742"/>
      <c r="BD36" s="742"/>
      <c r="BE36" s="742"/>
      <c r="BF36" s="742"/>
      <c r="BG36" s="742"/>
      <c r="BH36" s="742"/>
      <c r="BI36" s="742"/>
      <c r="BJ36" s="742"/>
      <c r="BK36" s="742"/>
    </row>
    <row r="37" spans="1:63" ht="11.25" customHeight="1">
      <c r="A37" s="614"/>
      <c r="B37" s="971"/>
      <c r="C37" s="749" t="s">
        <v>258</v>
      </c>
      <c r="D37" s="1182">
        <v>57</v>
      </c>
      <c r="E37" s="1174">
        <v>54</v>
      </c>
      <c r="F37" s="1175">
        <v>3</v>
      </c>
      <c r="G37" s="1173">
        <v>48</v>
      </c>
      <c r="H37" s="1184">
        <v>6</v>
      </c>
      <c r="I37" s="1176">
        <v>6</v>
      </c>
      <c r="J37" s="1177">
        <v>0</v>
      </c>
      <c r="K37" s="1178">
        <v>0</v>
      </c>
      <c r="L37" s="742"/>
      <c r="M37" s="742"/>
      <c r="N37" s="742"/>
      <c r="O37" s="742"/>
      <c r="P37" s="742"/>
      <c r="Q37" s="742"/>
      <c r="R37" s="742"/>
      <c r="S37" s="742"/>
      <c r="T37" s="742"/>
      <c r="U37" s="742"/>
      <c r="V37" s="742"/>
      <c r="W37" s="742"/>
      <c r="X37" s="742"/>
      <c r="Y37" s="742"/>
      <c r="Z37" s="742"/>
      <c r="AA37" s="742"/>
      <c r="AB37" s="742"/>
      <c r="AC37" s="742"/>
      <c r="AD37" s="742"/>
      <c r="AE37" s="742"/>
      <c r="AF37" s="742"/>
      <c r="AG37" s="742"/>
      <c r="AH37" s="742"/>
      <c r="AI37" s="742"/>
      <c r="AJ37" s="742"/>
      <c r="AK37" s="742"/>
      <c r="AL37" s="742"/>
      <c r="AM37" s="742"/>
      <c r="AN37" s="742"/>
      <c r="AO37" s="742"/>
      <c r="AP37" s="742"/>
      <c r="AQ37" s="742"/>
      <c r="AR37" s="742"/>
      <c r="AS37" s="742"/>
      <c r="AT37" s="742"/>
      <c r="AU37" s="742"/>
      <c r="AV37" s="742"/>
      <c r="AW37" s="742"/>
      <c r="AX37" s="742"/>
      <c r="AY37" s="742"/>
      <c r="AZ37" s="742"/>
      <c r="BA37" s="742"/>
      <c r="BB37" s="742"/>
      <c r="BC37" s="742"/>
      <c r="BD37" s="742"/>
      <c r="BE37" s="742"/>
      <c r="BF37" s="742"/>
      <c r="BG37" s="742"/>
      <c r="BH37" s="742"/>
      <c r="BI37" s="742"/>
      <c r="BJ37" s="742"/>
      <c r="BK37" s="742"/>
    </row>
    <row r="38" spans="1:63" ht="11.25" customHeight="1">
      <c r="A38" s="614"/>
      <c r="B38" s="971"/>
      <c r="C38" s="749" t="s">
        <v>236</v>
      </c>
      <c r="D38" s="1182">
        <v>9</v>
      </c>
      <c r="E38" s="1174">
        <v>3</v>
      </c>
      <c r="F38" s="1175">
        <v>6</v>
      </c>
      <c r="G38" s="1173">
        <v>6</v>
      </c>
      <c r="H38" s="1184">
        <v>0</v>
      </c>
      <c r="I38" s="1176">
        <v>0</v>
      </c>
      <c r="J38" s="1177">
        <v>0</v>
      </c>
      <c r="K38" s="1178">
        <v>0</v>
      </c>
      <c r="L38" s="742"/>
      <c r="M38" s="742"/>
      <c r="N38" s="742"/>
      <c r="O38" s="742"/>
      <c r="P38" s="742"/>
      <c r="Q38" s="742"/>
      <c r="R38" s="742"/>
      <c r="S38" s="742"/>
      <c r="T38" s="742"/>
      <c r="U38" s="742"/>
      <c r="V38" s="742"/>
      <c r="W38" s="742"/>
      <c r="X38" s="742"/>
      <c r="Y38" s="742"/>
      <c r="Z38" s="742"/>
      <c r="AA38" s="742"/>
      <c r="AB38" s="742"/>
      <c r="AC38" s="742"/>
      <c r="AD38" s="742"/>
      <c r="AE38" s="742"/>
      <c r="AF38" s="742"/>
      <c r="AG38" s="742"/>
      <c r="AH38" s="742"/>
      <c r="AI38" s="742"/>
      <c r="AJ38" s="742"/>
      <c r="AK38" s="742"/>
      <c r="AL38" s="742"/>
      <c r="AM38" s="742"/>
      <c r="AN38" s="742"/>
      <c r="AO38" s="742"/>
      <c r="AP38" s="742"/>
      <c r="AQ38" s="742"/>
      <c r="AR38" s="742"/>
      <c r="AS38" s="742"/>
      <c r="AT38" s="742"/>
      <c r="AU38" s="742"/>
      <c r="AV38" s="742"/>
      <c r="AW38" s="742"/>
      <c r="AX38" s="742"/>
      <c r="AY38" s="742"/>
      <c r="AZ38" s="742"/>
      <c r="BA38" s="742"/>
      <c r="BB38" s="742"/>
      <c r="BC38" s="742"/>
      <c r="BD38" s="742"/>
      <c r="BE38" s="742"/>
      <c r="BF38" s="742"/>
      <c r="BG38" s="742"/>
      <c r="BH38" s="742"/>
      <c r="BI38" s="742"/>
      <c r="BJ38" s="742"/>
      <c r="BK38" s="742"/>
    </row>
    <row r="39" spans="1:63" ht="11.25" customHeight="1">
      <c r="A39" s="614"/>
      <c r="B39" s="971"/>
      <c r="C39" s="749" t="s">
        <v>240</v>
      </c>
      <c r="D39" s="1182">
        <v>15</v>
      </c>
      <c r="E39" s="1174">
        <v>15</v>
      </c>
      <c r="F39" s="1175">
        <v>0</v>
      </c>
      <c r="G39" s="1173">
        <v>15</v>
      </c>
      <c r="H39" s="1184">
        <v>0</v>
      </c>
      <c r="I39" s="1176">
        <v>0</v>
      </c>
      <c r="J39" s="1177">
        <v>0</v>
      </c>
      <c r="K39" s="1178">
        <v>0</v>
      </c>
      <c r="L39" s="742"/>
      <c r="M39" s="742"/>
      <c r="N39" s="742"/>
      <c r="O39" s="742"/>
      <c r="P39" s="742"/>
      <c r="Q39" s="742"/>
      <c r="R39" s="742"/>
      <c r="S39" s="742"/>
      <c r="T39" s="742"/>
      <c r="U39" s="742"/>
      <c r="V39" s="742"/>
      <c r="W39" s="742"/>
      <c r="X39" s="742"/>
      <c r="Y39" s="742"/>
      <c r="Z39" s="742"/>
      <c r="AA39" s="742"/>
      <c r="AB39" s="742"/>
      <c r="AC39" s="742"/>
      <c r="AD39" s="742"/>
      <c r="AE39" s="742"/>
      <c r="AF39" s="742"/>
      <c r="AG39" s="742"/>
      <c r="AH39" s="742"/>
      <c r="AI39" s="742"/>
      <c r="AJ39" s="742"/>
      <c r="AK39" s="742"/>
      <c r="AL39" s="742"/>
      <c r="AM39" s="742"/>
      <c r="AN39" s="742"/>
      <c r="AO39" s="742"/>
      <c r="AP39" s="742"/>
      <c r="AQ39" s="742"/>
      <c r="AR39" s="742"/>
      <c r="AS39" s="742"/>
      <c r="AT39" s="742"/>
      <c r="AU39" s="742"/>
      <c r="AV39" s="742"/>
      <c r="AW39" s="742"/>
      <c r="AX39" s="742"/>
      <c r="AY39" s="742"/>
      <c r="AZ39" s="742"/>
      <c r="BA39" s="742"/>
      <c r="BB39" s="742"/>
      <c r="BC39" s="742"/>
      <c r="BD39" s="742"/>
      <c r="BE39" s="742"/>
      <c r="BF39" s="742"/>
      <c r="BG39" s="742"/>
      <c r="BH39" s="742"/>
      <c r="BI39" s="742"/>
      <c r="BJ39" s="742"/>
      <c r="BK39" s="742"/>
    </row>
    <row r="40" spans="1:63" ht="11.25" customHeight="1">
      <c r="A40" s="1234"/>
      <c r="B40" s="1235"/>
      <c r="C40" s="1236"/>
      <c r="D40" s="1237"/>
      <c r="E40" s="1238"/>
      <c r="F40" s="1239"/>
      <c r="G40" s="1240"/>
      <c r="H40" s="1241"/>
      <c r="I40" s="1242"/>
      <c r="J40" s="1243"/>
      <c r="K40" s="1244"/>
      <c r="L40" s="742"/>
      <c r="M40" s="742"/>
      <c r="N40" s="742"/>
      <c r="O40" s="742"/>
      <c r="P40" s="742"/>
      <c r="Q40" s="742"/>
      <c r="R40" s="742"/>
      <c r="S40" s="742"/>
      <c r="T40" s="742"/>
      <c r="U40" s="742"/>
      <c r="V40" s="742"/>
      <c r="W40" s="742"/>
      <c r="X40" s="742"/>
      <c r="Y40" s="742"/>
      <c r="Z40" s="742"/>
      <c r="AA40" s="742"/>
      <c r="AB40" s="742"/>
      <c r="AC40" s="742"/>
      <c r="AD40" s="742"/>
      <c r="AE40" s="742"/>
      <c r="AF40" s="742"/>
      <c r="AG40" s="742"/>
      <c r="AH40" s="742"/>
      <c r="AI40" s="742"/>
      <c r="AJ40" s="742"/>
      <c r="AK40" s="742"/>
      <c r="AL40" s="742"/>
      <c r="AM40" s="742"/>
      <c r="AN40" s="742"/>
      <c r="AO40" s="742"/>
      <c r="AP40" s="742"/>
      <c r="AQ40" s="742"/>
      <c r="AR40" s="742"/>
      <c r="AS40" s="742"/>
      <c r="AT40" s="742"/>
      <c r="AU40" s="742"/>
      <c r="AV40" s="742"/>
      <c r="AW40" s="742"/>
      <c r="AX40" s="742"/>
      <c r="AY40" s="742"/>
      <c r="AZ40" s="742"/>
      <c r="BA40" s="742"/>
      <c r="BB40" s="742"/>
      <c r="BC40" s="742"/>
      <c r="BD40" s="742"/>
      <c r="BE40" s="742"/>
      <c r="BF40" s="742"/>
      <c r="BG40" s="742"/>
      <c r="BH40" s="742"/>
      <c r="BI40" s="742"/>
      <c r="BJ40" s="742"/>
      <c r="BK40" s="742"/>
    </row>
    <row r="41" spans="1:63" ht="11.25" customHeight="1">
      <c r="A41" s="614" t="s">
        <v>180</v>
      </c>
      <c r="B41" s="971"/>
      <c r="C41" s="749" t="s">
        <v>257</v>
      </c>
      <c r="D41" s="1182">
        <v>0</v>
      </c>
      <c r="E41" s="1174">
        <v>0</v>
      </c>
      <c r="F41" s="1175">
        <v>0</v>
      </c>
      <c r="G41" s="1173">
        <v>0</v>
      </c>
      <c r="H41" s="1184">
        <v>0</v>
      </c>
      <c r="I41" s="1176">
        <v>0</v>
      </c>
      <c r="J41" s="1177">
        <v>0</v>
      </c>
      <c r="K41" s="1178">
        <v>0</v>
      </c>
      <c r="L41" s="742"/>
      <c r="M41" s="742"/>
      <c r="N41" s="742"/>
      <c r="O41" s="742"/>
      <c r="P41" s="742"/>
      <c r="Q41" s="742"/>
      <c r="R41" s="742"/>
      <c r="S41" s="742"/>
      <c r="T41" s="742"/>
      <c r="U41" s="742"/>
      <c r="V41" s="742"/>
      <c r="W41" s="742"/>
      <c r="X41" s="742"/>
      <c r="Y41" s="742"/>
      <c r="Z41" s="742"/>
      <c r="AA41" s="742"/>
      <c r="AB41" s="742"/>
      <c r="AC41" s="742"/>
      <c r="AD41" s="742"/>
      <c r="AE41" s="742"/>
      <c r="AF41" s="742"/>
      <c r="AG41" s="742"/>
      <c r="AH41" s="742"/>
      <c r="AI41" s="742"/>
      <c r="AJ41" s="742"/>
      <c r="AK41" s="742"/>
      <c r="AL41" s="742"/>
      <c r="AM41" s="742"/>
      <c r="AN41" s="742"/>
      <c r="AO41" s="742"/>
      <c r="AP41" s="742"/>
      <c r="AQ41" s="742"/>
      <c r="AR41" s="742"/>
      <c r="AS41" s="742"/>
      <c r="AT41" s="742"/>
      <c r="AU41" s="742"/>
      <c r="AV41" s="742"/>
      <c r="AW41" s="742"/>
      <c r="AX41" s="742"/>
      <c r="AY41" s="742"/>
      <c r="AZ41" s="742"/>
      <c r="BA41" s="742"/>
      <c r="BB41" s="742"/>
      <c r="BC41" s="742"/>
      <c r="BD41" s="742"/>
      <c r="BE41" s="742"/>
      <c r="BF41" s="742"/>
      <c r="BG41" s="742"/>
      <c r="BH41" s="742"/>
      <c r="BI41" s="742"/>
      <c r="BJ41" s="742"/>
      <c r="BK41" s="742"/>
    </row>
    <row r="42" spans="1:63" ht="11.25" customHeight="1">
      <c r="A42" s="614"/>
      <c r="B42" s="971"/>
      <c r="C42" s="749" t="s">
        <v>239</v>
      </c>
      <c r="D42" s="1182">
        <v>12</v>
      </c>
      <c r="E42" s="1174">
        <v>6</v>
      </c>
      <c r="F42" s="1175">
        <v>6</v>
      </c>
      <c r="G42" s="1173">
        <v>12</v>
      </c>
      <c r="H42" s="1184">
        <v>0</v>
      </c>
      <c r="I42" s="1176">
        <v>0</v>
      </c>
      <c r="J42" s="1177">
        <v>0</v>
      </c>
      <c r="K42" s="1178">
        <v>0</v>
      </c>
      <c r="L42" s="742"/>
      <c r="M42" s="742"/>
      <c r="N42" s="742"/>
      <c r="O42" s="742"/>
      <c r="P42" s="742"/>
      <c r="Q42" s="742"/>
      <c r="R42" s="742"/>
      <c r="S42" s="742"/>
      <c r="T42" s="742"/>
      <c r="U42" s="742"/>
      <c r="V42" s="742"/>
      <c r="W42" s="742"/>
      <c r="X42" s="742"/>
      <c r="Y42" s="742"/>
      <c r="Z42" s="742"/>
      <c r="AA42" s="742"/>
      <c r="AB42" s="742"/>
      <c r="AC42" s="742"/>
      <c r="AD42" s="742"/>
      <c r="AE42" s="742"/>
      <c r="AF42" s="742"/>
      <c r="AG42" s="742"/>
      <c r="AH42" s="742"/>
      <c r="AI42" s="742"/>
      <c r="AJ42" s="742"/>
      <c r="AK42" s="742"/>
      <c r="AL42" s="742"/>
      <c r="AM42" s="742"/>
      <c r="AN42" s="742"/>
      <c r="AO42" s="742"/>
      <c r="AP42" s="742"/>
      <c r="AQ42" s="742"/>
      <c r="AR42" s="742"/>
      <c r="AS42" s="742"/>
      <c r="AT42" s="742"/>
      <c r="AU42" s="742"/>
      <c r="AV42" s="742"/>
      <c r="AW42" s="742"/>
      <c r="AX42" s="742"/>
      <c r="AY42" s="742"/>
      <c r="AZ42" s="742"/>
      <c r="BA42" s="742"/>
      <c r="BB42" s="742"/>
      <c r="BC42" s="742"/>
      <c r="BD42" s="742"/>
      <c r="BE42" s="742"/>
      <c r="BF42" s="742"/>
      <c r="BG42" s="742"/>
      <c r="BH42" s="742"/>
      <c r="BI42" s="742"/>
      <c r="BJ42" s="742"/>
      <c r="BK42" s="742"/>
    </row>
    <row r="43" spans="1:63" ht="11.25" customHeight="1">
      <c r="A43" s="614"/>
      <c r="B43" s="971"/>
      <c r="C43" s="749" t="s">
        <v>288</v>
      </c>
      <c r="D43" s="1182">
        <v>3</v>
      </c>
      <c r="E43" s="1174">
        <v>3</v>
      </c>
      <c r="F43" s="1175">
        <v>0</v>
      </c>
      <c r="G43" s="1173">
        <v>3</v>
      </c>
      <c r="H43" s="1184">
        <v>0</v>
      </c>
      <c r="I43" s="1176">
        <v>0</v>
      </c>
      <c r="J43" s="1177">
        <v>0</v>
      </c>
      <c r="K43" s="1178">
        <v>0</v>
      </c>
      <c r="L43" s="742"/>
      <c r="M43" s="742"/>
      <c r="N43" s="742"/>
      <c r="O43" s="742"/>
      <c r="P43" s="742"/>
      <c r="Q43" s="742"/>
      <c r="R43" s="742"/>
      <c r="S43" s="742"/>
      <c r="T43" s="742"/>
      <c r="U43" s="742"/>
      <c r="V43" s="742"/>
      <c r="W43" s="742"/>
      <c r="X43" s="742"/>
      <c r="Y43" s="742"/>
      <c r="Z43" s="742"/>
      <c r="AA43" s="742"/>
      <c r="AB43" s="742"/>
      <c r="AC43" s="742"/>
      <c r="AD43" s="742"/>
      <c r="AE43" s="742"/>
      <c r="AF43" s="742"/>
      <c r="AG43" s="742"/>
      <c r="AH43" s="742"/>
      <c r="AI43" s="742"/>
      <c r="AJ43" s="742"/>
      <c r="AK43" s="742"/>
      <c r="AL43" s="742"/>
      <c r="AM43" s="742"/>
      <c r="AN43" s="742"/>
      <c r="AO43" s="742"/>
      <c r="AP43" s="742"/>
      <c r="AQ43" s="742"/>
      <c r="AR43" s="742"/>
      <c r="AS43" s="742"/>
      <c r="AT43" s="742"/>
      <c r="AU43" s="742"/>
      <c r="AV43" s="742"/>
      <c r="AW43" s="742"/>
      <c r="AX43" s="742"/>
      <c r="AY43" s="742"/>
      <c r="AZ43" s="742"/>
      <c r="BA43" s="742"/>
      <c r="BB43" s="742"/>
      <c r="BC43" s="742"/>
      <c r="BD43" s="742"/>
      <c r="BE43" s="742"/>
      <c r="BF43" s="742"/>
      <c r="BG43" s="742"/>
      <c r="BH43" s="742"/>
      <c r="BI43" s="742"/>
      <c r="BJ43" s="742"/>
      <c r="BK43" s="742"/>
    </row>
    <row r="44" spans="1:63" ht="11.25" customHeight="1">
      <c r="A44" s="614"/>
      <c r="B44" s="971"/>
      <c r="C44" s="749" t="s">
        <v>245</v>
      </c>
      <c r="D44" s="1182">
        <v>18</v>
      </c>
      <c r="E44" s="1174">
        <v>18</v>
      </c>
      <c r="F44" s="1181">
        <v>0</v>
      </c>
      <c r="G44" s="1173">
        <v>12</v>
      </c>
      <c r="H44" s="1184">
        <v>0</v>
      </c>
      <c r="I44" s="1176">
        <v>0</v>
      </c>
      <c r="J44" s="1177">
        <v>0</v>
      </c>
      <c r="K44" s="1178">
        <v>0</v>
      </c>
      <c r="L44" s="742"/>
      <c r="M44" s="742"/>
      <c r="N44" s="742"/>
      <c r="O44" s="742"/>
      <c r="P44" s="742"/>
      <c r="Q44" s="742"/>
      <c r="R44" s="742"/>
      <c r="S44" s="742"/>
      <c r="T44" s="742"/>
      <c r="U44" s="742"/>
      <c r="V44" s="742"/>
      <c r="W44" s="742"/>
      <c r="X44" s="742"/>
      <c r="Y44" s="742"/>
      <c r="Z44" s="742"/>
      <c r="AA44" s="742"/>
      <c r="AB44" s="742"/>
      <c r="AC44" s="742"/>
      <c r="AD44" s="742"/>
      <c r="AE44" s="742"/>
      <c r="AF44" s="742"/>
      <c r="AG44" s="742"/>
      <c r="AH44" s="742"/>
      <c r="AI44" s="742"/>
      <c r="AJ44" s="742"/>
      <c r="AK44" s="742"/>
      <c r="AL44" s="742"/>
      <c r="AM44" s="742"/>
      <c r="AN44" s="742"/>
      <c r="AO44" s="742"/>
      <c r="AP44" s="742"/>
      <c r="AQ44" s="742"/>
      <c r="AR44" s="742"/>
      <c r="AS44" s="742"/>
      <c r="AT44" s="742"/>
      <c r="AU44" s="742"/>
      <c r="AV44" s="742"/>
      <c r="AW44" s="742"/>
      <c r="AX44" s="742"/>
      <c r="AY44" s="742"/>
      <c r="AZ44" s="742"/>
      <c r="BA44" s="742"/>
      <c r="BB44" s="742"/>
      <c r="BC44" s="742"/>
      <c r="BD44" s="742"/>
      <c r="BE44" s="742"/>
      <c r="BF44" s="742"/>
      <c r="BG44" s="742"/>
      <c r="BH44" s="742"/>
      <c r="BI44" s="742"/>
      <c r="BJ44" s="742"/>
      <c r="BK44" s="742"/>
    </row>
    <row r="45" spans="1:63" ht="11.25" customHeight="1">
      <c r="A45" s="614"/>
      <c r="B45" s="971"/>
      <c r="C45" s="749" t="s">
        <v>185</v>
      </c>
      <c r="D45" s="1182">
        <v>33</v>
      </c>
      <c r="E45" s="1174">
        <v>33</v>
      </c>
      <c r="F45" s="1175">
        <v>0</v>
      </c>
      <c r="G45" s="1173">
        <v>27</v>
      </c>
      <c r="H45" s="1184">
        <v>3</v>
      </c>
      <c r="I45" s="1176">
        <v>3</v>
      </c>
      <c r="J45" s="1177">
        <v>0</v>
      </c>
      <c r="K45" s="1178">
        <v>3</v>
      </c>
      <c r="L45" s="742"/>
      <c r="M45" s="742"/>
      <c r="N45" s="742"/>
      <c r="O45" s="742"/>
      <c r="P45" s="742"/>
      <c r="Q45" s="742"/>
      <c r="R45" s="742"/>
      <c r="S45" s="742"/>
      <c r="T45" s="742"/>
      <c r="U45" s="742"/>
      <c r="V45" s="742"/>
      <c r="W45" s="742"/>
      <c r="X45" s="742"/>
      <c r="Y45" s="742"/>
      <c r="Z45" s="742"/>
      <c r="AA45" s="742"/>
      <c r="AB45" s="742"/>
      <c r="AC45" s="742"/>
      <c r="AD45" s="742"/>
      <c r="AE45" s="742"/>
      <c r="AF45" s="742"/>
      <c r="AG45" s="742"/>
      <c r="AH45" s="742"/>
      <c r="AI45" s="742"/>
      <c r="AJ45" s="742"/>
      <c r="AK45" s="742"/>
      <c r="AL45" s="742"/>
      <c r="AM45" s="742"/>
      <c r="AN45" s="742"/>
      <c r="AO45" s="742"/>
      <c r="AP45" s="742"/>
      <c r="AQ45" s="742"/>
      <c r="AR45" s="742"/>
      <c r="AS45" s="742"/>
      <c r="AT45" s="742"/>
      <c r="AU45" s="742"/>
      <c r="AV45" s="742"/>
      <c r="AW45" s="742"/>
      <c r="AX45" s="742"/>
      <c r="AY45" s="742"/>
      <c r="AZ45" s="742"/>
      <c r="BA45" s="742"/>
      <c r="BB45" s="742"/>
      <c r="BC45" s="742"/>
      <c r="BD45" s="742"/>
      <c r="BE45" s="742"/>
      <c r="BF45" s="742"/>
      <c r="BG45" s="742"/>
      <c r="BH45" s="742"/>
      <c r="BI45" s="742"/>
      <c r="BJ45" s="742"/>
      <c r="BK45" s="742"/>
    </row>
    <row r="46" spans="1:63" ht="11.25" customHeight="1">
      <c r="A46" s="614"/>
      <c r="B46" s="971"/>
      <c r="C46" s="749" t="s">
        <v>293</v>
      </c>
      <c r="D46" s="1184">
        <v>9</v>
      </c>
      <c r="E46" s="1176">
        <v>9</v>
      </c>
      <c r="F46" s="1179">
        <v>0</v>
      </c>
      <c r="G46" s="1180">
        <v>9</v>
      </c>
      <c r="H46" s="1184">
        <v>0</v>
      </c>
      <c r="I46" s="1176">
        <v>0</v>
      </c>
      <c r="J46" s="1177">
        <v>0</v>
      </c>
      <c r="K46" s="1178">
        <v>0</v>
      </c>
      <c r="L46" s="742"/>
      <c r="M46" s="742"/>
      <c r="N46" s="742"/>
      <c r="O46" s="742"/>
      <c r="P46" s="742"/>
      <c r="Q46" s="742"/>
      <c r="R46" s="742"/>
      <c r="S46" s="742"/>
      <c r="T46" s="742"/>
      <c r="U46" s="742"/>
      <c r="V46" s="742"/>
      <c r="W46" s="742"/>
      <c r="X46" s="742"/>
      <c r="Y46" s="742"/>
      <c r="Z46" s="742"/>
      <c r="AA46" s="742"/>
      <c r="AB46" s="742"/>
      <c r="AC46" s="742"/>
      <c r="AD46" s="742"/>
      <c r="AE46" s="742"/>
      <c r="AF46" s="742"/>
      <c r="AG46" s="742"/>
      <c r="AH46" s="742"/>
      <c r="AI46" s="742"/>
      <c r="AJ46" s="742"/>
      <c r="AK46" s="742"/>
      <c r="AL46" s="742"/>
      <c r="AM46" s="742"/>
      <c r="AN46" s="742"/>
      <c r="AO46" s="742"/>
      <c r="AP46" s="742"/>
      <c r="AQ46" s="742"/>
      <c r="AR46" s="742"/>
      <c r="AS46" s="742"/>
      <c r="AT46" s="742"/>
      <c r="AU46" s="742"/>
      <c r="AV46" s="742"/>
      <c r="AW46" s="742"/>
      <c r="AX46" s="742"/>
      <c r="AY46" s="742"/>
      <c r="AZ46" s="742"/>
      <c r="BA46" s="742"/>
      <c r="BB46" s="742"/>
      <c r="BC46" s="742"/>
      <c r="BD46" s="742"/>
      <c r="BE46" s="742"/>
      <c r="BF46" s="742"/>
      <c r="BG46" s="742"/>
      <c r="BH46" s="742"/>
      <c r="BI46" s="742"/>
      <c r="BJ46" s="742"/>
      <c r="BK46" s="742"/>
    </row>
    <row r="47" spans="1:63" ht="11.25" customHeight="1">
      <c r="A47" s="614"/>
      <c r="B47" s="971"/>
      <c r="C47" s="671" t="s">
        <v>263</v>
      </c>
      <c r="D47" s="1182">
        <v>9</v>
      </c>
      <c r="E47" s="1174">
        <v>6</v>
      </c>
      <c r="F47" s="1175">
        <v>0</v>
      </c>
      <c r="G47" s="1173">
        <v>6</v>
      </c>
      <c r="H47" s="1184">
        <v>0</v>
      </c>
      <c r="I47" s="1176">
        <v>0</v>
      </c>
      <c r="J47" s="1177">
        <v>0</v>
      </c>
      <c r="K47" s="1178">
        <v>0</v>
      </c>
      <c r="L47" s="742"/>
      <c r="M47" s="742"/>
      <c r="N47" s="742"/>
      <c r="O47" s="742"/>
      <c r="P47" s="742"/>
      <c r="Q47" s="742"/>
      <c r="R47" s="742"/>
      <c r="S47" s="742"/>
      <c r="T47" s="742"/>
      <c r="U47" s="742"/>
      <c r="V47" s="742"/>
      <c r="W47" s="742"/>
      <c r="X47" s="742"/>
      <c r="Y47" s="742"/>
      <c r="Z47" s="742"/>
      <c r="AA47" s="742"/>
      <c r="AB47" s="742"/>
      <c r="AC47" s="742"/>
      <c r="AD47" s="742"/>
      <c r="AE47" s="742"/>
      <c r="AF47" s="742"/>
      <c r="AG47" s="742"/>
      <c r="AH47" s="742"/>
      <c r="AI47" s="742"/>
      <c r="AJ47" s="742"/>
      <c r="AK47" s="742"/>
      <c r="AL47" s="742"/>
      <c r="AM47" s="742"/>
      <c r="AN47" s="742"/>
      <c r="AO47" s="742"/>
      <c r="AP47" s="742"/>
      <c r="AQ47" s="742"/>
      <c r="AR47" s="742"/>
      <c r="AS47" s="742"/>
      <c r="AT47" s="742"/>
      <c r="AU47" s="742"/>
      <c r="AV47" s="742"/>
      <c r="AW47" s="742"/>
      <c r="AX47" s="742"/>
      <c r="AY47" s="742"/>
      <c r="AZ47" s="742"/>
      <c r="BA47" s="742"/>
      <c r="BB47" s="742"/>
      <c r="BC47" s="742"/>
      <c r="BD47" s="742"/>
      <c r="BE47" s="742"/>
      <c r="BF47" s="742"/>
      <c r="BG47" s="742"/>
      <c r="BH47" s="742"/>
      <c r="BI47" s="742"/>
      <c r="BJ47" s="742"/>
      <c r="BK47" s="742"/>
    </row>
    <row r="48" spans="1:63" ht="11.25" customHeight="1">
      <c r="A48" s="614"/>
      <c r="B48" s="971"/>
      <c r="C48" s="749" t="s">
        <v>231</v>
      </c>
      <c r="D48" s="1182">
        <v>36</v>
      </c>
      <c r="E48" s="1174">
        <v>24</v>
      </c>
      <c r="F48" s="1175">
        <v>12</v>
      </c>
      <c r="G48" s="1173">
        <v>27</v>
      </c>
      <c r="H48" s="1184">
        <v>3</v>
      </c>
      <c r="I48" s="1176">
        <v>0</v>
      </c>
      <c r="J48" s="1177">
        <v>3</v>
      </c>
      <c r="K48" s="1178">
        <v>0</v>
      </c>
      <c r="L48" s="742"/>
      <c r="M48" s="742"/>
      <c r="N48" s="742"/>
      <c r="O48" s="742"/>
      <c r="P48" s="742"/>
      <c r="Q48" s="742"/>
      <c r="R48" s="742"/>
      <c r="S48" s="742"/>
      <c r="T48" s="742"/>
      <c r="U48" s="742"/>
      <c r="V48" s="742"/>
      <c r="W48" s="742"/>
      <c r="X48" s="742"/>
      <c r="Y48" s="742"/>
      <c r="Z48" s="742"/>
      <c r="AA48" s="742"/>
      <c r="AB48" s="742"/>
      <c r="AC48" s="742"/>
      <c r="AD48" s="742"/>
      <c r="AE48" s="742"/>
      <c r="AF48" s="742"/>
      <c r="AG48" s="742"/>
      <c r="AH48" s="742"/>
      <c r="AI48" s="742"/>
      <c r="AJ48" s="742"/>
      <c r="AK48" s="742"/>
      <c r="AL48" s="742"/>
      <c r="AM48" s="742"/>
      <c r="AN48" s="742"/>
      <c r="AO48" s="742"/>
      <c r="AP48" s="742"/>
      <c r="AQ48" s="742"/>
      <c r="AR48" s="742"/>
      <c r="AS48" s="742"/>
      <c r="AT48" s="742"/>
      <c r="AU48" s="742"/>
      <c r="AV48" s="742"/>
      <c r="AW48" s="742"/>
      <c r="AX48" s="742"/>
      <c r="AY48" s="742"/>
      <c r="AZ48" s="742"/>
      <c r="BA48" s="742"/>
      <c r="BB48" s="742"/>
      <c r="BC48" s="742"/>
      <c r="BD48" s="742"/>
      <c r="BE48" s="742"/>
      <c r="BF48" s="742"/>
      <c r="BG48" s="742"/>
      <c r="BH48" s="742"/>
      <c r="BI48" s="742"/>
      <c r="BJ48" s="742"/>
      <c r="BK48" s="742"/>
    </row>
    <row r="49" spans="1:63" ht="11.25" customHeight="1">
      <c r="A49" s="614"/>
      <c r="B49" s="971"/>
      <c r="C49" s="749" t="s">
        <v>232</v>
      </c>
      <c r="D49" s="1182">
        <v>0</v>
      </c>
      <c r="E49" s="1174">
        <v>0</v>
      </c>
      <c r="F49" s="1175">
        <v>0</v>
      </c>
      <c r="G49" s="1173">
        <v>0</v>
      </c>
      <c r="H49" s="1184">
        <v>0</v>
      </c>
      <c r="I49" s="1176">
        <v>0</v>
      </c>
      <c r="J49" s="1177">
        <v>0</v>
      </c>
      <c r="K49" s="1178">
        <v>0</v>
      </c>
      <c r="L49" s="742"/>
      <c r="M49" s="742"/>
      <c r="N49" s="742"/>
      <c r="O49" s="742"/>
      <c r="P49" s="742"/>
      <c r="Q49" s="742"/>
      <c r="R49" s="742"/>
      <c r="S49" s="742"/>
      <c r="T49" s="742"/>
      <c r="U49" s="742"/>
      <c r="V49" s="742"/>
      <c r="W49" s="742"/>
      <c r="X49" s="742"/>
      <c r="Y49" s="742"/>
      <c r="Z49" s="742"/>
      <c r="AA49" s="742"/>
      <c r="AB49" s="742"/>
      <c r="AC49" s="742"/>
      <c r="AD49" s="742"/>
      <c r="AE49" s="742"/>
      <c r="AF49" s="742"/>
      <c r="AG49" s="742"/>
      <c r="AH49" s="742"/>
      <c r="AI49" s="742"/>
      <c r="AJ49" s="742"/>
      <c r="AK49" s="742"/>
      <c r="AL49" s="742"/>
      <c r="AM49" s="742"/>
      <c r="AN49" s="742"/>
      <c r="AO49" s="742"/>
      <c r="AP49" s="742"/>
      <c r="AQ49" s="742"/>
      <c r="AR49" s="742"/>
      <c r="AS49" s="742"/>
      <c r="AT49" s="742"/>
      <c r="AU49" s="742"/>
      <c r="AV49" s="742"/>
      <c r="AW49" s="742"/>
      <c r="AX49" s="742"/>
      <c r="AY49" s="742"/>
      <c r="AZ49" s="742"/>
      <c r="BA49" s="742"/>
      <c r="BB49" s="742"/>
      <c r="BC49" s="742"/>
      <c r="BD49" s="742"/>
      <c r="BE49" s="742"/>
      <c r="BF49" s="742"/>
      <c r="BG49" s="742"/>
      <c r="BH49" s="742"/>
      <c r="BI49" s="742"/>
      <c r="BJ49" s="742"/>
      <c r="BK49" s="742"/>
    </row>
    <row r="50" spans="1:63" ht="11.25" customHeight="1">
      <c r="A50" s="614"/>
      <c r="B50" s="971"/>
      <c r="C50" s="749" t="s">
        <v>233</v>
      </c>
      <c r="D50" s="1182">
        <v>12</v>
      </c>
      <c r="E50" s="1174">
        <v>9</v>
      </c>
      <c r="F50" s="1175">
        <v>3</v>
      </c>
      <c r="G50" s="1173">
        <v>12</v>
      </c>
      <c r="H50" s="1184">
        <v>0</v>
      </c>
      <c r="I50" s="1176">
        <v>0</v>
      </c>
      <c r="J50" s="1177">
        <v>0</v>
      </c>
      <c r="K50" s="1178">
        <v>0</v>
      </c>
      <c r="L50" s="742"/>
      <c r="M50" s="742"/>
      <c r="N50" s="742"/>
      <c r="O50" s="742"/>
      <c r="P50" s="742"/>
      <c r="Q50" s="742"/>
      <c r="R50" s="742"/>
      <c r="S50" s="742"/>
      <c r="T50" s="742"/>
      <c r="U50" s="742"/>
      <c r="V50" s="742"/>
      <c r="W50" s="742"/>
      <c r="X50" s="742"/>
      <c r="Y50" s="742"/>
      <c r="Z50" s="742"/>
      <c r="AA50" s="742"/>
      <c r="AB50" s="742"/>
      <c r="AC50" s="742"/>
      <c r="AD50" s="742"/>
      <c r="AE50" s="742"/>
      <c r="AF50" s="742"/>
      <c r="AG50" s="742"/>
      <c r="AH50" s="742"/>
      <c r="AI50" s="742"/>
      <c r="AJ50" s="742"/>
      <c r="AK50" s="742"/>
      <c r="AL50" s="742"/>
      <c r="AM50" s="742"/>
      <c r="AN50" s="742"/>
      <c r="AO50" s="742"/>
      <c r="AP50" s="742"/>
      <c r="AQ50" s="742"/>
      <c r="AR50" s="742"/>
      <c r="AS50" s="742"/>
      <c r="AT50" s="742"/>
      <c r="AU50" s="742"/>
      <c r="AV50" s="742"/>
      <c r="AW50" s="742"/>
      <c r="AX50" s="742"/>
      <c r="AY50" s="742"/>
      <c r="AZ50" s="742"/>
      <c r="BA50" s="742"/>
      <c r="BB50" s="742"/>
      <c r="BC50" s="742"/>
      <c r="BD50" s="742"/>
      <c r="BE50" s="742"/>
      <c r="BF50" s="742"/>
      <c r="BG50" s="742"/>
      <c r="BH50" s="742"/>
      <c r="BI50" s="742"/>
      <c r="BJ50" s="742"/>
      <c r="BK50" s="742"/>
    </row>
    <row r="51" spans="1:63" ht="11.25" customHeight="1">
      <c r="A51" s="614"/>
      <c r="B51" s="971"/>
      <c r="C51" s="749" t="s">
        <v>258</v>
      </c>
      <c r="D51" s="1182">
        <v>132</v>
      </c>
      <c r="E51" s="1174">
        <v>123</v>
      </c>
      <c r="F51" s="1175">
        <v>9</v>
      </c>
      <c r="G51" s="1173">
        <v>99</v>
      </c>
      <c r="H51" s="1184">
        <v>27</v>
      </c>
      <c r="I51" s="1176">
        <v>27</v>
      </c>
      <c r="J51" s="1177">
        <v>0</v>
      </c>
      <c r="K51" s="1178">
        <v>15</v>
      </c>
      <c r="L51" s="742"/>
      <c r="M51" s="742"/>
      <c r="N51" s="742"/>
      <c r="O51" s="742"/>
      <c r="P51" s="742"/>
      <c r="Q51" s="742"/>
      <c r="R51" s="742"/>
      <c r="S51" s="742"/>
      <c r="T51" s="742"/>
      <c r="U51" s="742"/>
      <c r="V51" s="742"/>
      <c r="W51" s="742"/>
      <c r="X51" s="742"/>
      <c r="Y51" s="742"/>
      <c r="Z51" s="742"/>
      <c r="AA51" s="742"/>
      <c r="AB51" s="742"/>
      <c r="AC51" s="742"/>
      <c r="AD51" s="742"/>
      <c r="AE51" s="742"/>
      <c r="AF51" s="742"/>
      <c r="AG51" s="742"/>
      <c r="AH51" s="742"/>
      <c r="AI51" s="742"/>
      <c r="AJ51" s="742"/>
      <c r="AK51" s="742"/>
      <c r="AL51" s="742"/>
      <c r="AM51" s="742"/>
      <c r="AN51" s="742"/>
      <c r="AO51" s="742"/>
      <c r="AP51" s="742"/>
      <c r="AQ51" s="742"/>
      <c r="AR51" s="742"/>
      <c r="AS51" s="742"/>
      <c r="AT51" s="742"/>
      <c r="AU51" s="742"/>
      <c r="AV51" s="742"/>
      <c r="AW51" s="742"/>
      <c r="AX51" s="742"/>
      <c r="AY51" s="742"/>
      <c r="AZ51" s="742"/>
      <c r="BA51" s="742"/>
      <c r="BB51" s="742"/>
      <c r="BC51" s="742"/>
      <c r="BD51" s="742"/>
      <c r="BE51" s="742"/>
      <c r="BF51" s="742"/>
      <c r="BG51" s="742"/>
      <c r="BH51" s="742"/>
      <c r="BI51" s="742"/>
      <c r="BJ51" s="742"/>
      <c r="BK51" s="742"/>
    </row>
    <row r="52" spans="1:63" ht="11.25" customHeight="1">
      <c r="A52" s="614"/>
      <c r="B52" s="971"/>
      <c r="C52" s="749" t="s">
        <v>235</v>
      </c>
      <c r="D52" s="1182">
        <v>33</v>
      </c>
      <c r="E52" s="1174">
        <v>18</v>
      </c>
      <c r="F52" s="1175">
        <v>15</v>
      </c>
      <c r="G52" s="1173">
        <v>30</v>
      </c>
      <c r="H52" s="1184">
        <v>0</v>
      </c>
      <c r="I52" s="1176">
        <v>0</v>
      </c>
      <c r="J52" s="1177">
        <v>0</v>
      </c>
      <c r="K52" s="1178">
        <v>0</v>
      </c>
      <c r="L52" s="742"/>
      <c r="M52" s="742"/>
      <c r="N52" s="742"/>
      <c r="O52" s="742"/>
      <c r="P52" s="742"/>
      <c r="Q52" s="742"/>
      <c r="R52" s="742"/>
      <c r="S52" s="742"/>
      <c r="T52" s="742"/>
      <c r="U52" s="742"/>
      <c r="V52" s="742"/>
      <c r="W52" s="742"/>
      <c r="X52" s="742"/>
      <c r="Y52" s="742"/>
      <c r="Z52" s="742"/>
      <c r="AA52" s="742"/>
      <c r="AB52" s="742"/>
      <c r="AC52" s="742"/>
      <c r="AD52" s="742"/>
      <c r="AE52" s="742"/>
      <c r="AF52" s="742"/>
      <c r="AG52" s="742"/>
      <c r="AH52" s="742"/>
      <c r="AI52" s="742"/>
      <c r="AJ52" s="742"/>
      <c r="AK52" s="742"/>
      <c r="AL52" s="742"/>
      <c r="AM52" s="742"/>
      <c r="AN52" s="742"/>
      <c r="AO52" s="742"/>
      <c r="AP52" s="742"/>
      <c r="AQ52" s="742"/>
      <c r="AR52" s="742"/>
      <c r="AS52" s="742"/>
      <c r="AT52" s="742"/>
      <c r="AU52" s="742"/>
      <c r="AV52" s="742"/>
      <c r="AW52" s="742"/>
      <c r="AX52" s="742"/>
      <c r="AY52" s="742"/>
      <c r="AZ52" s="742"/>
      <c r="BA52" s="742"/>
      <c r="BB52" s="742"/>
      <c r="BC52" s="742"/>
      <c r="BD52" s="742"/>
      <c r="BE52" s="742"/>
      <c r="BF52" s="742"/>
      <c r="BG52" s="742"/>
      <c r="BH52" s="742"/>
      <c r="BI52" s="742"/>
      <c r="BJ52" s="742"/>
      <c r="BK52" s="742"/>
    </row>
    <row r="53" spans="1:63" ht="11.25" customHeight="1">
      <c r="A53" s="614"/>
      <c r="B53" s="971"/>
      <c r="C53" s="749" t="s">
        <v>259</v>
      </c>
      <c r="D53" s="1182">
        <v>3</v>
      </c>
      <c r="E53" s="1174">
        <v>3</v>
      </c>
      <c r="F53" s="1175">
        <v>0</v>
      </c>
      <c r="G53" s="1173">
        <v>3</v>
      </c>
      <c r="H53" s="1184">
        <v>0</v>
      </c>
      <c r="I53" s="1176">
        <v>0</v>
      </c>
      <c r="J53" s="1177">
        <v>0</v>
      </c>
      <c r="K53" s="1178">
        <v>0</v>
      </c>
      <c r="L53" s="742"/>
      <c r="M53" s="742"/>
      <c r="N53" s="742"/>
      <c r="O53" s="742"/>
      <c r="P53" s="742"/>
      <c r="Q53" s="742"/>
      <c r="R53" s="742"/>
      <c r="S53" s="742"/>
      <c r="T53" s="742"/>
      <c r="U53" s="742"/>
      <c r="V53" s="742"/>
      <c r="W53" s="742"/>
      <c r="X53" s="742"/>
      <c r="Y53" s="742"/>
      <c r="Z53" s="742"/>
      <c r="AA53" s="742"/>
      <c r="AB53" s="742"/>
      <c r="AC53" s="742"/>
      <c r="AD53" s="742"/>
      <c r="AE53" s="742"/>
      <c r="AF53" s="742"/>
      <c r="AG53" s="742"/>
      <c r="AH53" s="742"/>
      <c r="AI53" s="742"/>
      <c r="AJ53" s="742"/>
      <c r="AK53" s="742"/>
      <c r="AL53" s="742"/>
      <c r="AM53" s="742"/>
      <c r="AN53" s="742"/>
      <c r="AO53" s="742"/>
      <c r="AP53" s="742"/>
      <c r="AQ53" s="742"/>
      <c r="AR53" s="742"/>
      <c r="AS53" s="742"/>
      <c r="AT53" s="742"/>
      <c r="AU53" s="742"/>
      <c r="AV53" s="742"/>
      <c r="AW53" s="742"/>
      <c r="AX53" s="742"/>
      <c r="AY53" s="742"/>
      <c r="AZ53" s="742"/>
      <c r="BA53" s="742"/>
      <c r="BB53" s="742"/>
      <c r="BC53" s="742"/>
      <c r="BD53" s="742"/>
      <c r="BE53" s="742"/>
      <c r="BF53" s="742"/>
      <c r="BG53" s="742"/>
      <c r="BH53" s="742"/>
      <c r="BI53" s="742"/>
      <c r="BJ53" s="742"/>
      <c r="BK53" s="742"/>
    </row>
    <row r="54" spans="1:63" ht="11.25" customHeight="1">
      <c r="A54" s="614"/>
      <c r="B54" s="971"/>
      <c r="C54" s="749" t="s">
        <v>243</v>
      </c>
      <c r="D54" s="1182">
        <v>21</v>
      </c>
      <c r="E54" s="1174">
        <v>21</v>
      </c>
      <c r="F54" s="1175">
        <v>0</v>
      </c>
      <c r="G54" s="1173">
        <v>21</v>
      </c>
      <c r="H54" s="1184">
        <v>0</v>
      </c>
      <c r="I54" s="1176">
        <v>0</v>
      </c>
      <c r="J54" s="1177">
        <v>0</v>
      </c>
      <c r="K54" s="1178">
        <v>0</v>
      </c>
      <c r="L54" s="742"/>
      <c r="M54" s="742"/>
      <c r="N54" s="742"/>
      <c r="O54" s="742"/>
      <c r="P54" s="742"/>
      <c r="Q54" s="742"/>
      <c r="R54" s="742"/>
      <c r="S54" s="742"/>
      <c r="T54" s="742"/>
      <c r="U54" s="742"/>
      <c r="V54" s="742"/>
      <c r="W54" s="742"/>
      <c r="X54" s="742"/>
      <c r="Y54" s="742"/>
      <c r="Z54" s="742"/>
      <c r="AA54" s="742"/>
      <c r="AB54" s="742"/>
      <c r="AC54" s="742"/>
      <c r="AD54" s="742"/>
      <c r="AE54" s="742"/>
      <c r="AF54" s="742"/>
      <c r="AG54" s="742"/>
      <c r="AH54" s="742"/>
      <c r="AI54" s="742"/>
      <c r="AJ54" s="742"/>
      <c r="AK54" s="742"/>
      <c r="AL54" s="742"/>
      <c r="AM54" s="742"/>
      <c r="AN54" s="742"/>
      <c r="AO54" s="742"/>
      <c r="AP54" s="742"/>
      <c r="AQ54" s="742"/>
      <c r="AR54" s="742"/>
      <c r="AS54" s="742"/>
      <c r="AT54" s="742"/>
      <c r="AU54" s="742"/>
      <c r="AV54" s="742"/>
      <c r="AW54" s="742"/>
      <c r="AX54" s="742"/>
      <c r="AY54" s="742"/>
      <c r="AZ54" s="742"/>
      <c r="BA54" s="742"/>
      <c r="BB54" s="742"/>
      <c r="BC54" s="742"/>
      <c r="BD54" s="742"/>
      <c r="BE54" s="742"/>
      <c r="BF54" s="742"/>
      <c r="BG54" s="742"/>
      <c r="BH54" s="742"/>
      <c r="BI54" s="742"/>
      <c r="BJ54" s="742"/>
      <c r="BK54" s="742"/>
    </row>
    <row r="55" spans="1:63" ht="11.25" customHeight="1">
      <c r="A55" s="614"/>
      <c r="B55" s="971"/>
      <c r="C55" s="749" t="s">
        <v>229</v>
      </c>
      <c r="D55" s="1182">
        <v>0</v>
      </c>
      <c r="E55" s="1174">
        <v>0</v>
      </c>
      <c r="F55" s="1175">
        <v>0</v>
      </c>
      <c r="G55" s="1173">
        <v>0</v>
      </c>
      <c r="H55" s="1184">
        <v>0</v>
      </c>
      <c r="I55" s="1176">
        <v>0</v>
      </c>
      <c r="J55" s="1177">
        <v>0</v>
      </c>
      <c r="K55" s="1178">
        <v>0</v>
      </c>
      <c r="L55" s="742"/>
      <c r="M55" s="742"/>
      <c r="N55" s="742"/>
      <c r="O55" s="742"/>
      <c r="P55" s="742"/>
      <c r="Q55" s="742"/>
      <c r="R55" s="742"/>
      <c r="S55" s="742"/>
      <c r="T55" s="742"/>
      <c r="U55" s="742"/>
      <c r="V55" s="742"/>
      <c r="W55" s="742"/>
      <c r="X55" s="742"/>
      <c r="Y55" s="742"/>
      <c r="Z55" s="742"/>
      <c r="AA55" s="742"/>
      <c r="AB55" s="742"/>
      <c r="AC55" s="742"/>
      <c r="AD55" s="742"/>
      <c r="AE55" s="742"/>
      <c r="AF55" s="742"/>
      <c r="AG55" s="742"/>
      <c r="AH55" s="742"/>
      <c r="AI55" s="742"/>
      <c r="AJ55" s="742"/>
      <c r="AK55" s="742"/>
      <c r="AL55" s="742"/>
      <c r="AM55" s="742"/>
      <c r="AN55" s="742"/>
      <c r="AO55" s="742"/>
      <c r="AP55" s="742"/>
      <c r="AQ55" s="742"/>
      <c r="AR55" s="742"/>
      <c r="AS55" s="742"/>
      <c r="AT55" s="742"/>
      <c r="AU55" s="742"/>
      <c r="AV55" s="742"/>
      <c r="AW55" s="742"/>
      <c r="AX55" s="742"/>
      <c r="AY55" s="742"/>
      <c r="AZ55" s="742"/>
      <c r="BA55" s="742"/>
      <c r="BB55" s="742"/>
      <c r="BC55" s="742"/>
      <c r="BD55" s="742"/>
      <c r="BE55" s="742"/>
      <c r="BF55" s="742"/>
      <c r="BG55" s="742"/>
      <c r="BH55" s="742"/>
      <c r="BI55" s="742"/>
      <c r="BJ55" s="742"/>
      <c r="BK55" s="742"/>
    </row>
    <row r="56" spans="1:63" ht="11.25" customHeight="1">
      <c r="A56" s="1234"/>
      <c r="B56" s="1235"/>
      <c r="C56" s="1236"/>
      <c r="D56" s="1237"/>
      <c r="E56" s="1238"/>
      <c r="F56" s="1239"/>
      <c r="G56" s="1240"/>
      <c r="H56" s="1241"/>
      <c r="I56" s="1242"/>
      <c r="J56" s="1243"/>
      <c r="K56" s="1244"/>
      <c r="L56" s="742"/>
      <c r="M56" s="742"/>
      <c r="N56" s="742"/>
      <c r="O56" s="742"/>
      <c r="P56" s="742"/>
      <c r="Q56" s="742"/>
      <c r="R56" s="742"/>
      <c r="S56" s="742"/>
      <c r="T56" s="742"/>
      <c r="U56" s="742"/>
      <c r="V56" s="742"/>
      <c r="W56" s="742"/>
      <c r="X56" s="742"/>
      <c r="Y56" s="742"/>
      <c r="Z56" s="742"/>
      <c r="AA56" s="742"/>
      <c r="AB56" s="742"/>
      <c r="AC56" s="742"/>
      <c r="AD56" s="742"/>
      <c r="AE56" s="742"/>
      <c r="AF56" s="742"/>
      <c r="AG56" s="742"/>
      <c r="AH56" s="742"/>
      <c r="AI56" s="742"/>
      <c r="AJ56" s="742"/>
      <c r="AK56" s="742"/>
      <c r="AL56" s="742"/>
      <c r="AM56" s="742"/>
      <c r="AN56" s="742"/>
      <c r="AO56" s="742"/>
      <c r="AP56" s="742"/>
      <c r="AQ56" s="742"/>
      <c r="AR56" s="742"/>
      <c r="AS56" s="742"/>
      <c r="AT56" s="742"/>
      <c r="AU56" s="742"/>
      <c r="AV56" s="742"/>
      <c r="AW56" s="742"/>
      <c r="AX56" s="742"/>
      <c r="AY56" s="742"/>
      <c r="AZ56" s="742"/>
      <c r="BA56" s="742"/>
      <c r="BB56" s="742"/>
      <c r="BC56" s="742"/>
      <c r="BD56" s="742"/>
      <c r="BE56" s="742"/>
      <c r="BF56" s="742"/>
      <c r="BG56" s="742"/>
      <c r="BH56" s="742"/>
      <c r="BI56" s="742"/>
      <c r="BJ56" s="742"/>
      <c r="BK56" s="742"/>
    </row>
    <row r="57" spans="1:63" ht="11.25" customHeight="1">
      <c r="A57" s="614" t="s">
        <v>171</v>
      </c>
      <c r="B57" s="971"/>
      <c r="C57" s="749" t="s">
        <v>245</v>
      </c>
      <c r="D57" s="1182">
        <v>3</v>
      </c>
      <c r="E57" s="1174">
        <v>3</v>
      </c>
      <c r="F57" s="1175">
        <v>0</v>
      </c>
      <c r="G57" s="1173">
        <v>3</v>
      </c>
      <c r="H57" s="1184">
        <v>3</v>
      </c>
      <c r="I57" s="1176">
        <v>3</v>
      </c>
      <c r="J57" s="1177">
        <v>0</v>
      </c>
      <c r="K57" s="1178">
        <v>3</v>
      </c>
      <c r="L57" s="742"/>
      <c r="M57" s="742"/>
      <c r="N57" s="742"/>
      <c r="O57" s="742"/>
      <c r="P57" s="742"/>
      <c r="Q57" s="742"/>
      <c r="R57" s="742"/>
      <c r="S57" s="742"/>
      <c r="T57" s="742"/>
      <c r="U57" s="742"/>
      <c r="V57" s="742"/>
      <c r="W57" s="742"/>
      <c r="X57" s="742"/>
      <c r="Y57" s="742"/>
      <c r="Z57" s="742"/>
      <c r="AA57" s="742"/>
      <c r="AB57" s="742"/>
      <c r="AC57" s="742"/>
      <c r="AD57" s="742"/>
      <c r="AE57" s="742"/>
      <c r="AF57" s="742"/>
      <c r="AG57" s="742"/>
      <c r="AH57" s="742"/>
      <c r="AI57" s="742"/>
      <c r="AJ57" s="742"/>
      <c r="AK57" s="742"/>
      <c r="AL57" s="742"/>
      <c r="AM57" s="742"/>
      <c r="AN57" s="742"/>
      <c r="AO57" s="742"/>
      <c r="AP57" s="742"/>
      <c r="AQ57" s="742"/>
      <c r="AR57" s="742"/>
      <c r="AS57" s="742"/>
      <c r="AT57" s="742"/>
      <c r="AU57" s="742"/>
      <c r="AV57" s="742"/>
      <c r="AW57" s="742"/>
      <c r="AX57" s="742"/>
      <c r="AY57" s="742"/>
      <c r="AZ57" s="742"/>
      <c r="BA57" s="742"/>
      <c r="BB57" s="742"/>
      <c r="BC57" s="742"/>
      <c r="BD57" s="742"/>
      <c r="BE57" s="742"/>
      <c r="BF57" s="742"/>
      <c r="BG57" s="742"/>
      <c r="BH57" s="742"/>
      <c r="BI57" s="742"/>
      <c r="BJ57" s="742"/>
      <c r="BK57" s="742"/>
    </row>
    <row r="58" spans="1:63" ht="11.25" customHeight="1">
      <c r="A58" s="1234"/>
      <c r="B58" s="1235"/>
      <c r="C58" s="1236"/>
      <c r="D58" s="1237"/>
      <c r="E58" s="1238"/>
      <c r="F58" s="1239"/>
      <c r="G58" s="1240"/>
      <c r="H58" s="1241"/>
      <c r="I58" s="1242"/>
      <c r="J58" s="1243"/>
      <c r="K58" s="1244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2"/>
      <c r="AC58" s="742"/>
      <c r="AD58" s="742"/>
      <c r="AE58" s="742"/>
      <c r="AF58" s="742"/>
      <c r="AG58" s="742"/>
      <c r="AH58" s="742"/>
      <c r="AI58" s="742"/>
      <c r="AJ58" s="742"/>
      <c r="AK58" s="742"/>
      <c r="AL58" s="742"/>
      <c r="AM58" s="742"/>
      <c r="AN58" s="742"/>
      <c r="AO58" s="742"/>
      <c r="AP58" s="742"/>
      <c r="AQ58" s="742"/>
      <c r="AR58" s="742"/>
      <c r="AS58" s="742"/>
      <c r="AT58" s="742"/>
      <c r="AU58" s="742"/>
      <c r="AV58" s="742"/>
      <c r="AW58" s="742"/>
      <c r="AX58" s="742"/>
      <c r="AY58" s="742"/>
      <c r="AZ58" s="742"/>
      <c r="BA58" s="742"/>
      <c r="BB58" s="742"/>
      <c r="BC58" s="742"/>
      <c r="BD58" s="742"/>
      <c r="BE58" s="742"/>
      <c r="BF58" s="742"/>
      <c r="BG58" s="742"/>
      <c r="BH58" s="742"/>
      <c r="BI58" s="742"/>
      <c r="BJ58" s="742"/>
      <c r="BK58" s="742"/>
    </row>
    <row r="59" spans="1:63" ht="11.25" customHeight="1">
      <c r="A59" s="614" t="s">
        <v>181</v>
      </c>
      <c r="B59" s="971"/>
      <c r="C59" s="749" t="s">
        <v>229</v>
      </c>
      <c r="D59" s="1182">
        <v>36</v>
      </c>
      <c r="E59" s="1174">
        <v>33</v>
      </c>
      <c r="F59" s="1175">
        <v>3</v>
      </c>
      <c r="G59" s="1173">
        <v>27</v>
      </c>
      <c r="H59" s="1184">
        <v>3</v>
      </c>
      <c r="I59" s="1176">
        <v>3</v>
      </c>
      <c r="J59" s="1177">
        <v>0</v>
      </c>
      <c r="K59" s="1178">
        <v>0</v>
      </c>
      <c r="L59" s="742"/>
      <c r="M59" s="742"/>
      <c r="N59" s="742"/>
      <c r="O59" s="742"/>
      <c r="P59" s="742"/>
      <c r="Q59" s="742"/>
      <c r="R59" s="742"/>
      <c r="S59" s="742"/>
      <c r="T59" s="742"/>
      <c r="U59" s="742"/>
      <c r="V59" s="742"/>
      <c r="W59" s="742"/>
      <c r="X59" s="742"/>
      <c r="Y59" s="742"/>
      <c r="Z59" s="742"/>
      <c r="AA59" s="742"/>
      <c r="AB59" s="742"/>
      <c r="AC59" s="742"/>
      <c r="AD59" s="742"/>
      <c r="AE59" s="742"/>
      <c r="AF59" s="742"/>
      <c r="AG59" s="742"/>
      <c r="AH59" s="742"/>
      <c r="AI59" s="742"/>
      <c r="AJ59" s="742"/>
      <c r="AK59" s="742"/>
      <c r="AL59" s="742"/>
      <c r="AM59" s="742"/>
      <c r="AN59" s="742"/>
      <c r="AO59" s="742"/>
      <c r="AP59" s="742"/>
      <c r="AQ59" s="742"/>
      <c r="AR59" s="742"/>
      <c r="AS59" s="742"/>
      <c r="AT59" s="742"/>
      <c r="AU59" s="742"/>
      <c r="AV59" s="742"/>
      <c r="AW59" s="742"/>
      <c r="AX59" s="742"/>
      <c r="AY59" s="742"/>
      <c r="AZ59" s="742"/>
      <c r="BA59" s="742"/>
      <c r="BB59" s="742"/>
      <c r="BC59" s="742"/>
      <c r="BD59" s="742"/>
      <c r="BE59" s="742"/>
      <c r="BF59" s="742"/>
      <c r="BG59" s="742"/>
      <c r="BH59" s="742"/>
      <c r="BI59" s="742"/>
      <c r="BJ59" s="742"/>
      <c r="BK59" s="742"/>
    </row>
    <row r="60" spans="1:63" ht="11.25" customHeight="1">
      <c r="A60" s="614"/>
      <c r="B60" s="971"/>
      <c r="C60" s="749" t="s">
        <v>246</v>
      </c>
      <c r="D60" s="1182">
        <v>24</v>
      </c>
      <c r="E60" s="1174">
        <v>24</v>
      </c>
      <c r="F60" s="1175">
        <v>0</v>
      </c>
      <c r="G60" s="1173">
        <v>15</v>
      </c>
      <c r="H60" s="1184">
        <v>6</v>
      </c>
      <c r="I60" s="1176">
        <v>6</v>
      </c>
      <c r="J60" s="1177">
        <v>0</v>
      </c>
      <c r="K60" s="1178">
        <v>3</v>
      </c>
      <c r="L60" s="742"/>
      <c r="M60" s="742"/>
      <c r="N60" s="742"/>
      <c r="O60" s="742"/>
      <c r="P60" s="742"/>
      <c r="Q60" s="742"/>
      <c r="R60" s="742"/>
      <c r="S60" s="742"/>
      <c r="T60" s="742"/>
      <c r="U60" s="742"/>
      <c r="V60" s="742"/>
      <c r="W60" s="742"/>
      <c r="X60" s="742"/>
      <c r="Y60" s="742"/>
      <c r="Z60" s="742"/>
      <c r="AA60" s="742"/>
      <c r="AB60" s="742"/>
      <c r="AC60" s="742"/>
      <c r="AD60" s="742"/>
      <c r="AE60" s="742"/>
      <c r="AF60" s="742"/>
      <c r="AG60" s="742"/>
      <c r="AH60" s="742"/>
      <c r="AI60" s="742"/>
      <c r="AJ60" s="742"/>
      <c r="AK60" s="742"/>
      <c r="AL60" s="742"/>
      <c r="AM60" s="742"/>
      <c r="AN60" s="742"/>
      <c r="AO60" s="742"/>
      <c r="AP60" s="742"/>
      <c r="AQ60" s="742"/>
      <c r="AR60" s="742"/>
      <c r="AS60" s="742"/>
      <c r="AT60" s="742"/>
      <c r="AU60" s="742"/>
      <c r="AV60" s="742"/>
      <c r="AW60" s="742"/>
      <c r="AX60" s="742"/>
      <c r="AY60" s="742"/>
      <c r="AZ60" s="742"/>
      <c r="BA60" s="742"/>
      <c r="BB60" s="742"/>
      <c r="BC60" s="742"/>
      <c r="BD60" s="742"/>
      <c r="BE60" s="742"/>
      <c r="BF60" s="742"/>
      <c r="BG60" s="742"/>
      <c r="BH60" s="742"/>
      <c r="BI60" s="742"/>
      <c r="BJ60" s="742"/>
      <c r="BK60" s="742"/>
    </row>
    <row r="61" spans="1:63" ht="11.25" customHeight="1">
      <c r="A61" s="614"/>
      <c r="B61" s="971"/>
      <c r="C61" s="764" t="s">
        <v>237</v>
      </c>
      <c r="D61" s="1182">
        <v>0</v>
      </c>
      <c r="E61" s="1174">
        <v>0</v>
      </c>
      <c r="F61" s="1175">
        <v>0</v>
      </c>
      <c r="G61" s="1173">
        <v>0</v>
      </c>
      <c r="H61" s="1184">
        <v>0</v>
      </c>
      <c r="I61" s="1176">
        <v>0</v>
      </c>
      <c r="J61" s="1177">
        <v>0</v>
      </c>
      <c r="K61" s="1178">
        <v>0</v>
      </c>
      <c r="L61" s="742"/>
      <c r="M61" s="742"/>
      <c r="N61" s="742"/>
      <c r="O61" s="742"/>
      <c r="P61" s="742"/>
      <c r="Q61" s="742"/>
      <c r="R61" s="742"/>
      <c r="S61" s="742"/>
      <c r="T61" s="742"/>
      <c r="U61" s="742"/>
      <c r="V61" s="742"/>
      <c r="W61" s="742"/>
      <c r="X61" s="742"/>
      <c r="Y61" s="742"/>
      <c r="Z61" s="742"/>
      <c r="AA61" s="742"/>
      <c r="AB61" s="742"/>
      <c r="AC61" s="742"/>
      <c r="AD61" s="742"/>
      <c r="AE61" s="742"/>
      <c r="AF61" s="742"/>
      <c r="AG61" s="742"/>
      <c r="AH61" s="742"/>
      <c r="AI61" s="742"/>
      <c r="AJ61" s="742"/>
      <c r="AK61" s="742"/>
      <c r="AL61" s="742"/>
      <c r="AM61" s="742"/>
      <c r="AN61" s="742"/>
      <c r="AO61" s="742"/>
      <c r="AP61" s="742"/>
      <c r="AQ61" s="742"/>
      <c r="AR61" s="742"/>
      <c r="AS61" s="742"/>
      <c r="AT61" s="742"/>
      <c r="AU61" s="742"/>
      <c r="AV61" s="742"/>
      <c r="AW61" s="742"/>
      <c r="AX61" s="742"/>
      <c r="AY61" s="742"/>
      <c r="AZ61" s="742"/>
      <c r="BA61" s="742"/>
      <c r="BB61" s="742"/>
      <c r="BC61" s="742"/>
      <c r="BD61" s="742"/>
      <c r="BE61" s="742"/>
      <c r="BF61" s="742"/>
      <c r="BG61" s="742"/>
      <c r="BH61" s="742"/>
      <c r="BI61" s="742"/>
      <c r="BJ61" s="742"/>
      <c r="BK61" s="742"/>
    </row>
    <row r="62" spans="1:63" ht="11.25" customHeight="1">
      <c r="A62" s="614"/>
      <c r="B62" s="971"/>
      <c r="C62" s="764" t="s">
        <v>232</v>
      </c>
      <c r="D62" s="1182">
        <v>0</v>
      </c>
      <c r="E62" s="1174">
        <v>0</v>
      </c>
      <c r="F62" s="1175">
        <v>0</v>
      </c>
      <c r="G62" s="1173">
        <v>0</v>
      </c>
      <c r="H62" s="1184">
        <v>0</v>
      </c>
      <c r="I62" s="1176">
        <v>0</v>
      </c>
      <c r="J62" s="1177">
        <v>0</v>
      </c>
      <c r="K62" s="1178">
        <v>0</v>
      </c>
      <c r="L62" s="742"/>
      <c r="M62" s="742"/>
      <c r="N62" s="742"/>
      <c r="O62" s="742"/>
      <c r="P62" s="742"/>
      <c r="Q62" s="742"/>
      <c r="R62" s="742"/>
      <c r="S62" s="742"/>
      <c r="T62" s="742"/>
      <c r="U62" s="742"/>
      <c r="V62" s="742"/>
      <c r="W62" s="742"/>
      <c r="X62" s="742"/>
      <c r="Y62" s="742"/>
      <c r="Z62" s="742"/>
      <c r="AA62" s="742"/>
      <c r="AB62" s="742"/>
      <c r="AC62" s="742"/>
      <c r="AD62" s="742"/>
      <c r="AE62" s="742"/>
      <c r="AF62" s="742"/>
      <c r="AG62" s="742"/>
      <c r="AH62" s="742"/>
      <c r="AI62" s="742"/>
      <c r="AJ62" s="742"/>
      <c r="AK62" s="742"/>
      <c r="AL62" s="742"/>
      <c r="AM62" s="742"/>
      <c r="AN62" s="742"/>
      <c r="AO62" s="742"/>
      <c r="AP62" s="742"/>
      <c r="AQ62" s="742"/>
      <c r="AR62" s="742"/>
      <c r="AS62" s="742"/>
      <c r="AT62" s="742"/>
      <c r="AU62" s="742"/>
      <c r="AV62" s="742"/>
      <c r="AW62" s="742"/>
      <c r="AX62" s="742"/>
      <c r="AY62" s="742"/>
      <c r="AZ62" s="742"/>
      <c r="BA62" s="742"/>
      <c r="BB62" s="742"/>
      <c r="BC62" s="742"/>
      <c r="BD62" s="742"/>
      <c r="BE62" s="742"/>
      <c r="BF62" s="742"/>
      <c r="BG62" s="742"/>
      <c r="BH62" s="742"/>
      <c r="BI62" s="742"/>
      <c r="BJ62" s="742"/>
      <c r="BK62" s="742"/>
    </row>
    <row r="63" spans="1:63" ht="11.25" customHeight="1">
      <c r="A63" s="614"/>
      <c r="B63" s="971"/>
      <c r="C63" s="764" t="s">
        <v>234</v>
      </c>
      <c r="D63" s="1182">
        <v>0</v>
      </c>
      <c r="E63" s="1174">
        <v>0</v>
      </c>
      <c r="F63" s="1175">
        <v>0</v>
      </c>
      <c r="G63" s="1173">
        <v>0</v>
      </c>
      <c r="H63" s="1184">
        <v>0</v>
      </c>
      <c r="I63" s="1176">
        <v>0</v>
      </c>
      <c r="J63" s="1177">
        <v>0</v>
      </c>
      <c r="K63" s="1178">
        <v>0</v>
      </c>
      <c r="L63" s="742"/>
      <c r="M63" s="742"/>
      <c r="N63" s="742"/>
      <c r="O63" s="742"/>
      <c r="P63" s="742"/>
      <c r="Q63" s="742"/>
      <c r="R63" s="742"/>
      <c r="S63" s="742"/>
      <c r="T63" s="742"/>
      <c r="U63" s="742"/>
      <c r="V63" s="742"/>
      <c r="W63" s="742"/>
      <c r="X63" s="742"/>
      <c r="Y63" s="742"/>
      <c r="Z63" s="742"/>
      <c r="AA63" s="742"/>
      <c r="AB63" s="742"/>
      <c r="AC63" s="742"/>
      <c r="AD63" s="742"/>
      <c r="AE63" s="742"/>
      <c r="AF63" s="742"/>
      <c r="AG63" s="742"/>
      <c r="AH63" s="742"/>
      <c r="AI63" s="742"/>
      <c r="AJ63" s="742"/>
      <c r="AK63" s="742"/>
      <c r="AL63" s="742"/>
      <c r="AM63" s="742"/>
      <c r="AN63" s="742"/>
      <c r="AO63" s="742"/>
      <c r="AP63" s="742"/>
      <c r="AQ63" s="742"/>
      <c r="AR63" s="742"/>
      <c r="AS63" s="742"/>
      <c r="AT63" s="742"/>
      <c r="AU63" s="742"/>
      <c r="AV63" s="742"/>
      <c r="AW63" s="742"/>
      <c r="AX63" s="742"/>
      <c r="AY63" s="742"/>
      <c r="AZ63" s="742"/>
      <c r="BA63" s="742"/>
      <c r="BB63" s="742"/>
      <c r="BC63" s="742"/>
      <c r="BD63" s="742"/>
      <c r="BE63" s="742"/>
      <c r="BF63" s="742"/>
      <c r="BG63" s="742"/>
      <c r="BH63" s="742"/>
      <c r="BI63" s="742"/>
      <c r="BJ63" s="742"/>
      <c r="BK63" s="742"/>
    </row>
    <row r="64" spans="1:63" ht="11.25" customHeight="1">
      <c r="A64" s="614"/>
      <c r="B64" s="971"/>
      <c r="C64" s="749" t="s">
        <v>259</v>
      </c>
      <c r="D64" s="1182">
        <v>21</v>
      </c>
      <c r="E64" s="1175">
        <v>18</v>
      </c>
      <c r="F64" s="1175">
        <v>0</v>
      </c>
      <c r="G64" s="1173">
        <v>18</v>
      </c>
      <c r="H64" s="1210">
        <v>0</v>
      </c>
      <c r="I64" s="1179">
        <v>0</v>
      </c>
      <c r="J64" s="1179">
        <v>0</v>
      </c>
      <c r="K64" s="1178">
        <v>0</v>
      </c>
      <c r="L64" s="742"/>
      <c r="M64" s="742"/>
      <c r="N64" s="742"/>
      <c r="O64" s="742"/>
      <c r="P64" s="742"/>
      <c r="Q64" s="742"/>
      <c r="R64" s="742"/>
      <c r="S64" s="742"/>
      <c r="T64" s="742"/>
      <c r="U64" s="742"/>
      <c r="V64" s="742"/>
      <c r="W64" s="742"/>
      <c r="X64" s="742"/>
      <c r="Y64" s="742"/>
      <c r="Z64" s="742"/>
      <c r="AA64" s="742"/>
      <c r="AB64" s="742"/>
      <c r="AC64" s="742"/>
      <c r="AD64" s="742"/>
      <c r="AE64" s="742"/>
      <c r="AF64" s="742"/>
      <c r="AG64" s="742"/>
      <c r="AH64" s="742"/>
      <c r="AI64" s="742"/>
      <c r="AJ64" s="742"/>
      <c r="AK64" s="742"/>
      <c r="AL64" s="742"/>
      <c r="AM64" s="742"/>
      <c r="AN64" s="742"/>
      <c r="AO64" s="742"/>
      <c r="AP64" s="742"/>
      <c r="AQ64" s="742"/>
      <c r="AR64" s="742"/>
      <c r="AS64" s="742"/>
      <c r="AT64" s="742"/>
      <c r="AU64" s="742"/>
      <c r="AV64" s="742"/>
      <c r="AW64" s="742"/>
      <c r="AX64" s="742"/>
      <c r="AY64" s="742"/>
      <c r="AZ64" s="742"/>
      <c r="BA64" s="742"/>
      <c r="BB64" s="742"/>
      <c r="BC64" s="742"/>
      <c r="BD64" s="742"/>
      <c r="BE64" s="742"/>
      <c r="BF64" s="742"/>
      <c r="BG64" s="742"/>
      <c r="BH64" s="742"/>
      <c r="BI64" s="742"/>
      <c r="BJ64" s="742"/>
      <c r="BK64" s="742"/>
    </row>
    <row r="65" spans="1:63" ht="4.5" customHeight="1" thickBot="1">
      <c r="A65" s="757"/>
      <c r="B65" s="978"/>
      <c r="C65" s="765"/>
      <c r="D65" s="975"/>
      <c r="E65" s="976"/>
      <c r="F65" s="976"/>
      <c r="G65" s="977"/>
      <c r="H65" s="761"/>
      <c r="I65" s="762"/>
      <c r="J65" s="762"/>
      <c r="K65" s="763"/>
      <c r="L65" s="742"/>
      <c r="M65" s="742"/>
      <c r="N65" s="742"/>
      <c r="O65" s="742"/>
      <c r="P65" s="742"/>
      <c r="Q65" s="742"/>
      <c r="R65" s="742"/>
      <c r="S65" s="742"/>
      <c r="T65" s="742"/>
      <c r="U65" s="742"/>
      <c r="V65" s="742"/>
      <c r="W65" s="742"/>
      <c r="X65" s="742"/>
      <c r="Y65" s="742"/>
      <c r="Z65" s="742"/>
      <c r="AA65" s="742"/>
      <c r="AB65" s="742"/>
      <c r="AC65" s="742"/>
      <c r="AD65" s="742"/>
      <c r="AE65" s="742"/>
      <c r="AF65" s="742"/>
      <c r="AG65" s="742"/>
      <c r="AH65" s="742"/>
      <c r="AI65" s="742"/>
      <c r="AJ65" s="742"/>
      <c r="AK65" s="742"/>
      <c r="AL65" s="742"/>
      <c r="AM65" s="742"/>
      <c r="AN65" s="742"/>
      <c r="AO65" s="742"/>
      <c r="AP65" s="742"/>
      <c r="AQ65" s="742"/>
      <c r="AR65" s="742"/>
      <c r="AS65" s="742"/>
      <c r="AT65" s="742"/>
      <c r="AU65" s="742"/>
      <c r="AV65" s="742"/>
      <c r="AW65" s="742"/>
      <c r="AX65" s="742"/>
      <c r="AY65" s="742"/>
      <c r="AZ65" s="742"/>
      <c r="BA65" s="742"/>
      <c r="BB65" s="742"/>
      <c r="BC65" s="742"/>
      <c r="BD65" s="742"/>
      <c r="BE65" s="742"/>
      <c r="BF65" s="742"/>
      <c r="BG65" s="742"/>
      <c r="BH65" s="742"/>
      <c r="BI65" s="742"/>
      <c r="BJ65" s="742"/>
      <c r="BK65" s="742"/>
    </row>
    <row r="66" spans="1:63" ht="7.5" customHeight="1">
      <c r="A66" s="767"/>
      <c r="B66" s="979"/>
      <c r="C66" s="653"/>
      <c r="D66" s="980"/>
      <c r="E66" s="973"/>
      <c r="F66" s="973"/>
      <c r="G66" s="973"/>
      <c r="H66" s="526"/>
      <c r="I66" s="526"/>
      <c r="J66" s="526"/>
      <c r="K66" s="526"/>
      <c r="L66" s="742"/>
      <c r="M66" s="742"/>
      <c r="N66" s="742"/>
      <c r="O66" s="742"/>
      <c r="P66" s="742"/>
      <c r="Q66" s="742"/>
      <c r="R66" s="742"/>
      <c r="S66" s="742"/>
      <c r="T66" s="742"/>
      <c r="U66" s="742"/>
      <c r="V66" s="742"/>
      <c r="W66" s="742"/>
      <c r="X66" s="742"/>
      <c r="Y66" s="742"/>
      <c r="Z66" s="742"/>
      <c r="AA66" s="742"/>
      <c r="AB66" s="742"/>
      <c r="AC66" s="742"/>
      <c r="AD66" s="742"/>
      <c r="AE66" s="742"/>
      <c r="AF66" s="742"/>
      <c r="AG66" s="742"/>
      <c r="AH66" s="742"/>
      <c r="AI66" s="742"/>
      <c r="AJ66" s="742"/>
      <c r="AK66" s="742"/>
      <c r="AL66" s="742"/>
      <c r="AM66" s="742"/>
      <c r="AN66" s="742"/>
      <c r="AO66" s="742"/>
      <c r="AP66" s="742"/>
      <c r="AQ66" s="742"/>
      <c r="AR66" s="742"/>
      <c r="AS66" s="742"/>
      <c r="AT66" s="742"/>
      <c r="AU66" s="742"/>
      <c r="AV66" s="742"/>
      <c r="AW66" s="742"/>
      <c r="AX66" s="742"/>
      <c r="AY66" s="742"/>
      <c r="AZ66" s="742"/>
      <c r="BA66" s="742"/>
      <c r="BB66" s="742"/>
      <c r="BC66" s="742"/>
      <c r="BD66" s="742"/>
      <c r="BE66" s="742"/>
      <c r="BF66" s="742"/>
      <c r="BG66" s="742"/>
      <c r="BH66" s="742"/>
      <c r="BI66" s="742"/>
      <c r="BJ66" s="742"/>
      <c r="BK66" s="742"/>
    </row>
    <row r="67" spans="1:63" ht="12.75" customHeight="1">
      <c r="A67" s="1708" t="s">
        <v>213</v>
      </c>
      <c r="B67" s="1708"/>
      <c r="C67" s="1708"/>
      <c r="D67" s="1709"/>
      <c r="E67" s="1017" t="s">
        <v>265</v>
      </c>
      <c r="F67" s="987"/>
      <c r="G67" s="987"/>
      <c r="H67" s="987"/>
      <c r="K67" s="534"/>
      <c r="L67" s="742"/>
      <c r="M67" s="742"/>
      <c r="N67" s="742"/>
      <c r="O67" s="742"/>
      <c r="P67" s="742"/>
      <c r="Q67" s="742"/>
      <c r="R67" s="742"/>
      <c r="S67" s="742"/>
      <c r="T67" s="742"/>
      <c r="U67" s="742"/>
      <c r="V67" s="742"/>
      <c r="W67" s="742"/>
      <c r="X67" s="742"/>
      <c r="Y67" s="742"/>
      <c r="Z67" s="742"/>
      <c r="AA67" s="742"/>
      <c r="AB67" s="742"/>
      <c r="AC67" s="742"/>
      <c r="AD67" s="742"/>
      <c r="AE67" s="742"/>
      <c r="AF67" s="742"/>
      <c r="AG67" s="742"/>
      <c r="AH67" s="742"/>
      <c r="AI67" s="742"/>
      <c r="AJ67" s="742"/>
      <c r="AK67" s="742"/>
      <c r="AL67" s="742"/>
      <c r="AM67" s="742"/>
      <c r="AN67" s="742"/>
      <c r="AO67" s="742"/>
      <c r="AP67" s="742"/>
      <c r="AQ67" s="742"/>
      <c r="AR67" s="742"/>
      <c r="AS67" s="742"/>
      <c r="AT67" s="742"/>
      <c r="AU67" s="742"/>
      <c r="AV67" s="742"/>
      <c r="AW67" s="742"/>
      <c r="AX67" s="742"/>
      <c r="AY67" s="742"/>
      <c r="AZ67" s="742"/>
      <c r="BA67" s="742"/>
      <c r="BB67" s="742"/>
      <c r="BC67" s="742"/>
      <c r="BD67" s="742"/>
      <c r="BE67" s="742"/>
      <c r="BF67" s="742"/>
      <c r="BG67" s="742"/>
      <c r="BH67" s="742"/>
      <c r="BI67" s="742"/>
      <c r="BJ67" s="742"/>
      <c r="BK67" s="742"/>
    </row>
    <row r="68" spans="1:63" ht="12.75" customHeight="1">
      <c r="A68" s="653"/>
      <c r="B68" s="653"/>
      <c r="C68" s="645"/>
      <c r="D68" s="645"/>
      <c r="E68" s="645"/>
      <c r="F68" s="645"/>
      <c r="G68" s="645"/>
      <c r="K68" s="743"/>
      <c r="L68" s="742"/>
      <c r="M68" s="742"/>
      <c r="N68" s="742"/>
      <c r="O68" s="742"/>
      <c r="P68" s="742"/>
      <c r="Q68" s="742"/>
      <c r="R68" s="742"/>
      <c r="S68" s="742"/>
      <c r="T68" s="742"/>
      <c r="U68" s="742"/>
      <c r="V68" s="742"/>
      <c r="W68" s="742"/>
      <c r="X68" s="742"/>
      <c r="Y68" s="742"/>
      <c r="Z68" s="742"/>
      <c r="AA68" s="742"/>
      <c r="AB68" s="742"/>
      <c r="AC68" s="742"/>
      <c r="AD68" s="742"/>
      <c r="AE68" s="742"/>
      <c r="AF68" s="742"/>
      <c r="AG68" s="742"/>
      <c r="AH68" s="742"/>
      <c r="AI68" s="742"/>
      <c r="AJ68" s="742"/>
      <c r="AK68" s="742"/>
      <c r="AL68" s="742"/>
      <c r="AM68" s="742"/>
      <c r="AN68" s="742"/>
      <c r="AO68" s="742"/>
      <c r="AP68" s="742"/>
      <c r="AQ68" s="742"/>
      <c r="AR68" s="742"/>
      <c r="AS68" s="742"/>
      <c r="AT68" s="742"/>
      <c r="AU68" s="742"/>
      <c r="AV68" s="742"/>
      <c r="AW68" s="742"/>
      <c r="AX68" s="742"/>
      <c r="AY68" s="742"/>
      <c r="AZ68" s="742"/>
      <c r="BA68" s="742"/>
      <c r="BB68" s="742"/>
      <c r="BC68" s="742"/>
      <c r="BD68" s="742"/>
      <c r="BE68" s="742"/>
      <c r="BF68" s="742"/>
      <c r="BG68" s="742"/>
      <c r="BH68" s="742"/>
      <c r="BI68" s="742"/>
      <c r="BJ68" s="742"/>
      <c r="BK68" s="742"/>
    </row>
    <row r="69" spans="1:63" ht="12.75" customHeight="1">
      <c r="A69" s="1710" t="s">
        <v>369</v>
      </c>
      <c r="B69" s="1710"/>
      <c r="C69" s="1710"/>
      <c r="D69" s="1710"/>
      <c r="E69" s="1710"/>
      <c r="F69" s="1710"/>
      <c r="G69" s="1710"/>
      <c r="H69" s="1710"/>
      <c r="I69" s="1710"/>
      <c r="J69" s="1710"/>
      <c r="K69" s="1710"/>
      <c r="L69" s="742"/>
      <c r="M69" s="742"/>
      <c r="N69" s="742"/>
      <c r="O69" s="742"/>
      <c r="P69" s="742"/>
      <c r="Q69" s="742"/>
      <c r="R69" s="742"/>
      <c r="S69" s="742"/>
      <c r="T69" s="742"/>
      <c r="U69" s="742"/>
      <c r="V69" s="742"/>
      <c r="W69" s="742"/>
      <c r="X69" s="742"/>
      <c r="Y69" s="742"/>
      <c r="Z69" s="742"/>
      <c r="AA69" s="742"/>
      <c r="AB69" s="742"/>
      <c r="AC69" s="742"/>
      <c r="AD69" s="742"/>
      <c r="AE69" s="742"/>
      <c r="AF69" s="742"/>
      <c r="AG69" s="742"/>
      <c r="AH69" s="742"/>
      <c r="AI69" s="742"/>
      <c r="AJ69" s="742"/>
      <c r="AK69" s="742"/>
      <c r="AL69" s="742"/>
      <c r="AM69" s="742"/>
      <c r="AN69" s="742"/>
      <c r="AO69" s="742"/>
      <c r="AP69" s="742"/>
      <c r="AQ69" s="742"/>
      <c r="AR69" s="742"/>
      <c r="AS69" s="742"/>
      <c r="AT69" s="742"/>
      <c r="AU69" s="742"/>
      <c r="AV69" s="742"/>
      <c r="AW69" s="742"/>
      <c r="AX69" s="742"/>
      <c r="AY69" s="742"/>
      <c r="AZ69" s="742"/>
      <c r="BA69" s="742"/>
      <c r="BB69" s="742"/>
      <c r="BC69" s="742"/>
      <c r="BD69" s="742"/>
      <c r="BE69" s="742"/>
      <c r="BF69" s="742"/>
      <c r="BG69" s="742"/>
      <c r="BH69" s="742"/>
      <c r="BI69" s="742"/>
      <c r="BJ69" s="742"/>
      <c r="BK69" s="742"/>
    </row>
    <row r="70" spans="1:63" ht="11.25" customHeight="1" thickBot="1">
      <c r="A70" s="1035"/>
      <c r="B70" s="1035"/>
      <c r="C70" s="1035"/>
      <c r="D70" s="1035"/>
      <c r="E70" s="1035"/>
      <c r="F70" s="1035"/>
      <c r="G70" s="1035"/>
      <c r="H70" s="1035"/>
      <c r="I70" s="1035"/>
      <c r="J70" s="1035"/>
      <c r="K70" s="1035"/>
      <c r="L70" s="742"/>
      <c r="M70" s="742"/>
      <c r="N70" s="742"/>
      <c r="O70" s="742"/>
      <c r="P70" s="742"/>
      <c r="Q70" s="742"/>
      <c r="R70" s="742"/>
      <c r="S70" s="742"/>
      <c r="T70" s="742"/>
      <c r="U70" s="742"/>
      <c r="V70" s="742"/>
      <c r="W70" s="742"/>
      <c r="X70" s="742"/>
      <c r="Y70" s="742"/>
      <c r="Z70" s="742"/>
      <c r="AA70" s="742"/>
      <c r="AB70" s="742"/>
      <c r="AC70" s="742"/>
      <c r="AD70" s="742"/>
      <c r="AE70" s="742"/>
      <c r="AF70" s="742"/>
      <c r="AG70" s="742"/>
      <c r="AH70" s="742"/>
      <c r="AI70" s="742"/>
      <c r="AJ70" s="742"/>
      <c r="AK70" s="742"/>
      <c r="AL70" s="742"/>
      <c r="AM70" s="742"/>
      <c r="AN70" s="742"/>
      <c r="AO70" s="742"/>
      <c r="AP70" s="742"/>
      <c r="AQ70" s="742"/>
      <c r="AR70" s="742"/>
      <c r="AS70" s="742"/>
      <c r="AT70" s="742"/>
      <c r="AU70" s="742"/>
      <c r="AV70" s="742"/>
      <c r="AW70" s="742"/>
      <c r="AX70" s="742"/>
      <c r="AY70" s="742"/>
      <c r="AZ70" s="742"/>
      <c r="BA70" s="742"/>
      <c r="BB70" s="742"/>
      <c r="BC70" s="742"/>
      <c r="BD70" s="742"/>
      <c r="BE70" s="742"/>
      <c r="BF70" s="742"/>
      <c r="BG70" s="742"/>
      <c r="BH70" s="742"/>
      <c r="BI70" s="742"/>
      <c r="BJ70" s="742"/>
      <c r="BK70" s="742"/>
    </row>
    <row r="71" spans="1:63" ht="15.75" customHeight="1">
      <c r="A71" s="1711" t="s">
        <v>43</v>
      </c>
      <c r="B71" s="1712"/>
      <c r="C71" s="744"/>
      <c r="D71" s="1715" t="s">
        <v>248</v>
      </c>
      <c r="E71" s="1716"/>
      <c r="F71" s="1716"/>
      <c r="G71" s="1716"/>
      <c r="H71" s="1716"/>
      <c r="I71" s="1716"/>
      <c r="J71" s="1716"/>
      <c r="K71" s="1717"/>
      <c r="L71" s="742"/>
      <c r="M71" s="742"/>
      <c r="N71" s="742"/>
      <c r="O71" s="742"/>
      <c r="P71" s="742"/>
      <c r="Q71" s="742"/>
      <c r="R71" s="742"/>
      <c r="S71" s="742"/>
      <c r="T71" s="742"/>
      <c r="U71" s="742"/>
      <c r="V71" s="742"/>
      <c r="W71" s="742"/>
      <c r="X71" s="742"/>
      <c r="Y71" s="742"/>
      <c r="Z71" s="742"/>
      <c r="AA71" s="742"/>
      <c r="AB71" s="742"/>
      <c r="AC71" s="742"/>
      <c r="AD71" s="742"/>
      <c r="AE71" s="742"/>
      <c r="AF71" s="742"/>
      <c r="AG71" s="742"/>
      <c r="AH71" s="742"/>
      <c r="AI71" s="742"/>
      <c r="AJ71" s="742"/>
      <c r="AK71" s="742"/>
      <c r="AL71" s="742"/>
      <c r="AM71" s="742"/>
      <c r="AN71" s="742"/>
      <c r="AO71" s="742"/>
      <c r="AP71" s="742"/>
      <c r="AQ71" s="742"/>
      <c r="AR71" s="742"/>
      <c r="AS71" s="742"/>
      <c r="AT71" s="742"/>
      <c r="AU71" s="742"/>
      <c r="AV71" s="742"/>
      <c r="AW71" s="742"/>
      <c r="AX71" s="742"/>
      <c r="AY71" s="742"/>
      <c r="AZ71" s="742"/>
      <c r="BA71" s="742"/>
      <c r="BB71" s="742"/>
      <c r="BC71" s="742"/>
      <c r="BD71" s="742"/>
      <c r="BE71" s="742"/>
      <c r="BF71" s="742"/>
      <c r="BG71" s="742"/>
      <c r="BH71" s="742"/>
      <c r="BI71" s="742"/>
      <c r="BJ71" s="742"/>
      <c r="BK71" s="742"/>
    </row>
    <row r="72" spans="1:63" ht="11.25" customHeight="1">
      <c r="A72" s="1581"/>
      <c r="B72" s="1713"/>
      <c r="C72" s="745"/>
      <c r="D72" s="1162"/>
      <c r="E72" s="1162"/>
      <c r="F72" s="1163"/>
      <c r="G72" s="1164"/>
      <c r="H72" s="1718" t="s">
        <v>192</v>
      </c>
      <c r="I72" s="1719"/>
      <c r="J72" s="1719"/>
      <c r="K72" s="1720"/>
      <c r="L72" s="742"/>
      <c r="M72" s="742"/>
      <c r="N72" s="742"/>
      <c r="O72" s="742"/>
      <c r="P72" s="742"/>
      <c r="Q72" s="742"/>
      <c r="R72" s="742"/>
      <c r="S72" s="742"/>
      <c r="T72" s="742"/>
      <c r="U72" s="742"/>
      <c r="V72" s="742"/>
      <c r="W72" s="742"/>
      <c r="X72" s="742"/>
      <c r="Y72" s="742"/>
      <c r="Z72" s="742"/>
      <c r="AA72" s="742"/>
      <c r="AB72" s="742"/>
      <c r="AC72" s="742"/>
      <c r="AD72" s="742"/>
      <c r="AE72" s="742"/>
      <c r="AF72" s="742"/>
      <c r="AG72" s="742"/>
      <c r="AH72" s="742"/>
      <c r="AI72" s="742"/>
      <c r="AJ72" s="742"/>
      <c r="AK72" s="742"/>
      <c r="AL72" s="742"/>
      <c r="AM72" s="742"/>
      <c r="AN72" s="742"/>
      <c r="AO72" s="742"/>
      <c r="AP72" s="742"/>
      <c r="AQ72" s="742"/>
      <c r="AR72" s="742"/>
      <c r="AS72" s="742"/>
      <c r="AT72" s="742"/>
      <c r="AU72" s="742"/>
      <c r="AV72" s="742"/>
      <c r="AW72" s="742"/>
      <c r="AX72" s="742"/>
      <c r="AY72" s="742"/>
      <c r="AZ72" s="742"/>
      <c r="BA72" s="742"/>
      <c r="BB72" s="742"/>
      <c r="BC72" s="742"/>
      <c r="BD72" s="742"/>
      <c r="BE72" s="742"/>
      <c r="BF72" s="742"/>
      <c r="BG72" s="742"/>
      <c r="BH72" s="742"/>
      <c r="BI72" s="742"/>
      <c r="BJ72" s="742"/>
      <c r="BK72" s="742"/>
    </row>
    <row r="73" spans="1:63" ht="11.25" customHeight="1">
      <c r="A73" s="1581"/>
      <c r="B73" s="1713"/>
      <c r="C73" s="1724" t="s">
        <v>191</v>
      </c>
      <c r="D73" s="1165"/>
      <c r="E73" s="1165"/>
      <c r="F73" s="1166"/>
      <c r="G73" s="795" t="s">
        <v>5</v>
      </c>
      <c r="H73" s="1721" t="s">
        <v>209</v>
      </c>
      <c r="I73" s="1722"/>
      <c r="J73" s="1722"/>
      <c r="K73" s="1723"/>
      <c r="L73" s="742"/>
      <c r="M73" s="742"/>
      <c r="N73" s="742"/>
      <c r="O73" s="742"/>
      <c r="P73" s="742"/>
      <c r="Q73" s="742"/>
      <c r="R73" s="742"/>
      <c r="S73" s="742"/>
      <c r="T73" s="742"/>
      <c r="U73" s="742"/>
      <c r="V73" s="742"/>
      <c r="W73" s="742"/>
      <c r="X73" s="742"/>
      <c r="Y73" s="742"/>
      <c r="Z73" s="742"/>
      <c r="AA73" s="742"/>
      <c r="AB73" s="742"/>
      <c r="AC73" s="742"/>
      <c r="AD73" s="742"/>
      <c r="AE73" s="742"/>
      <c r="AF73" s="742"/>
      <c r="AG73" s="742"/>
      <c r="AH73" s="742"/>
      <c r="AI73" s="742"/>
      <c r="AJ73" s="742"/>
      <c r="AK73" s="742"/>
      <c r="AL73" s="742"/>
      <c r="AM73" s="742"/>
      <c r="AN73" s="742"/>
      <c r="AO73" s="742"/>
      <c r="AP73" s="742"/>
      <c r="AQ73" s="742"/>
      <c r="AR73" s="742"/>
      <c r="AS73" s="742"/>
      <c r="AT73" s="742"/>
      <c r="AU73" s="742"/>
      <c r="AV73" s="742"/>
      <c r="AW73" s="742"/>
      <c r="AX73" s="742"/>
      <c r="AY73" s="742"/>
      <c r="AZ73" s="742"/>
      <c r="BA73" s="742"/>
      <c r="BB73" s="742"/>
      <c r="BC73" s="742"/>
      <c r="BD73" s="742"/>
      <c r="BE73" s="742"/>
      <c r="BF73" s="742"/>
      <c r="BG73" s="742"/>
      <c r="BH73" s="742"/>
      <c r="BI73" s="742"/>
      <c r="BJ73" s="742"/>
      <c r="BK73" s="742"/>
    </row>
    <row r="74" spans="1:63" ht="11.25" customHeight="1">
      <c r="A74" s="1581"/>
      <c r="B74" s="1713"/>
      <c r="C74" s="1724"/>
      <c r="D74" s="1166"/>
      <c r="E74" s="1167"/>
      <c r="F74" s="1165"/>
      <c r="G74" s="795" t="s">
        <v>190</v>
      </c>
      <c r="H74" s="1168"/>
      <c r="I74" s="960"/>
      <c r="J74" s="960"/>
      <c r="K74" s="799" t="s">
        <v>190</v>
      </c>
      <c r="L74" s="742"/>
      <c r="M74" s="742"/>
      <c r="N74" s="742"/>
      <c r="O74" s="742"/>
      <c r="P74" s="742"/>
      <c r="Q74" s="742"/>
      <c r="R74" s="742"/>
      <c r="S74" s="742"/>
      <c r="T74" s="742"/>
      <c r="U74" s="742"/>
      <c r="V74" s="742"/>
      <c r="W74" s="742"/>
      <c r="X74" s="742"/>
      <c r="Y74" s="742"/>
      <c r="Z74" s="742"/>
      <c r="AA74" s="742"/>
      <c r="AB74" s="742"/>
      <c r="AC74" s="742"/>
      <c r="AD74" s="742"/>
      <c r="AE74" s="742"/>
      <c r="AF74" s="742"/>
      <c r="AG74" s="742"/>
      <c r="AH74" s="742"/>
      <c r="AI74" s="742"/>
      <c r="AJ74" s="742"/>
      <c r="AK74" s="742"/>
      <c r="AL74" s="742"/>
      <c r="AM74" s="742"/>
      <c r="AN74" s="742"/>
      <c r="AO74" s="742"/>
      <c r="AP74" s="742"/>
      <c r="AQ74" s="742"/>
      <c r="AR74" s="742"/>
      <c r="AS74" s="742"/>
      <c r="AT74" s="742"/>
      <c r="AU74" s="742"/>
      <c r="AV74" s="742"/>
      <c r="AW74" s="742"/>
      <c r="AX74" s="742"/>
      <c r="AY74" s="742"/>
      <c r="AZ74" s="742"/>
      <c r="BA74" s="742"/>
      <c r="BB74" s="742"/>
      <c r="BC74" s="742"/>
      <c r="BD74" s="742"/>
      <c r="BE74" s="742"/>
      <c r="BF74" s="742"/>
      <c r="BG74" s="742"/>
      <c r="BH74" s="742"/>
      <c r="BI74" s="742"/>
      <c r="BJ74" s="742"/>
      <c r="BK74" s="742"/>
    </row>
    <row r="75" spans="1:63" ht="11.25" customHeight="1">
      <c r="A75" s="1581"/>
      <c r="B75" s="1713"/>
      <c r="C75" s="1724" t="s">
        <v>189</v>
      </c>
      <c r="D75" s="1169" t="s">
        <v>19</v>
      </c>
      <c r="E75" s="782" t="s">
        <v>17</v>
      </c>
      <c r="F75" s="782" t="s">
        <v>18</v>
      </c>
      <c r="G75" s="795" t="s">
        <v>188</v>
      </c>
      <c r="H75" s="1169" t="s">
        <v>19</v>
      </c>
      <c r="I75" s="782" t="s">
        <v>17</v>
      </c>
      <c r="J75" s="782" t="s">
        <v>18</v>
      </c>
      <c r="K75" s="799" t="s">
        <v>188</v>
      </c>
      <c r="L75" s="742"/>
      <c r="M75" s="742"/>
      <c r="N75" s="742"/>
      <c r="O75" s="742"/>
      <c r="P75" s="742"/>
      <c r="Q75" s="742"/>
      <c r="R75" s="742"/>
      <c r="S75" s="742"/>
      <c r="T75" s="742"/>
      <c r="U75" s="742"/>
      <c r="V75" s="742"/>
      <c r="W75" s="742"/>
      <c r="X75" s="742"/>
      <c r="Y75" s="742"/>
      <c r="Z75" s="742"/>
      <c r="AA75" s="742"/>
      <c r="AB75" s="742"/>
      <c r="AC75" s="742"/>
      <c r="AD75" s="742"/>
      <c r="AE75" s="742"/>
      <c r="AF75" s="742"/>
      <c r="AG75" s="742"/>
      <c r="AH75" s="742"/>
      <c r="AI75" s="742"/>
      <c r="AJ75" s="742"/>
      <c r="AK75" s="742"/>
      <c r="AL75" s="742"/>
      <c r="AM75" s="742"/>
      <c r="AN75" s="742"/>
      <c r="AO75" s="742"/>
      <c r="AP75" s="742"/>
      <c r="AQ75" s="742"/>
      <c r="AR75" s="742"/>
      <c r="AS75" s="742"/>
      <c r="AT75" s="742"/>
      <c r="AU75" s="742"/>
      <c r="AV75" s="742"/>
      <c r="AW75" s="742"/>
      <c r="AX75" s="742"/>
      <c r="AY75" s="742"/>
      <c r="AZ75" s="742"/>
      <c r="BA75" s="742"/>
      <c r="BB75" s="742"/>
      <c r="BC75" s="742"/>
      <c r="BD75" s="742"/>
      <c r="BE75" s="742"/>
      <c r="BF75" s="742"/>
      <c r="BG75" s="742"/>
      <c r="BH75" s="742"/>
      <c r="BI75" s="742"/>
      <c r="BJ75" s="742"/>
      <c r="BK75" s="742"/>
    </row>
    <row r="76" spans="1:63" ht="11.25" customHeight="1">
      <c r="A76" s="1582"/>
      <c r="B76" s="1714"/>
      <c r="C76" s="1725"/>
      <c r="D76" s="1171" t="s">
        <v>29</v>
      </c>
      <c r="E76" s="806" t="s">
        <v>28</v>
      </c>
      <c r="F76" s="806" t="s">
        <v>34</v>
      </c>
      <c r="G76" s="1172" t="s">
        <v>187</v>
      </c>
      <c r="H76" s="1171" t="s">
        <v>29</v>
      </c>
      <c r="I76" s="806" t="s">
        <v>28</v>
      </c>
      <c r="J76" s="806" t="s">
        <v>34</v>
      </c>
      <c r="K76" s="1170" t="s">
        <v>341</v>
      </c>
      <c r="L76" s="742"/>
      <c r="M76" s="742"/>
      <c r="N76" s="742"/>
      <c r="O76" s="742"/>
      <c r="P76" s="742"/>
      <c r="Q76" s="742"/>
      <c r="R76" s="742"/>
      <c r="S76" s="742"/>
      <c r="T76" s="742"/>
      <c r="U76" s="742"/>
      <c r="V76" s="742"/>
      <c r="W76" s="742"/>
      <c r="X76" s="742"/>
      <c r="Y76" s="742"/>
      <c r="Z76" s="742"/>
      <c r="AA76" s="742"/>
      <c r="AB76" s="742"/>
      <c r="AC76" s="742"/>
      <c r="AD76" s="742"/>
      <c r="AE76" s="742"/>
      <c r="AF76" s="742"/>
      <c r="AG76" s="742"/>
      <c r="AH76" s="742"/>
      <c r="AI76" s="742"/>
      <c r="AJ76" s="742"/>
      <c r="AK76" s="742"/>
      <c r="AL76" s="742"/>
      <c r="AM76" s="742"/>
      <c r="AN76" s="742"/>
      <c r="AO76" s="742"/>
      <c r="AP76" s="742"/>
      <c r="AQ76" s="742"/>
      <c r="AR76" s="742"/>
      <c r="AS76" s="742"/>
      <c r="AT76" s="742"/>
      <c r="AU76" s="742"/>
      <c r="AV76" s="742"/>
      <c r="AW76" s="742"/>
      <c r="AX76" s="742"/>
      <c r="AY76" s="742"/>
      <c r="AZ76" s="742"/>
      <c r="BA76" s="742"/>
      <c r="BB76" s="742"/>
      <c r="BC76" s="742"/>
      <c r="BD76" s="742"/>
      <c r="BE76" s="742"/>
      <c r="BF76" s="742"/>
      <c r="BG76" s="742"/>
      <c r="BH76" s="742"/>
      <c r="BI76" s="742"/>
      <c r="BJ76" s="742"/>
      <c r="BK76" s="742"/>
    </row>
    <row r="77" spans="1:63" ht="5.25" customHeight="1">
      <c r="A77" s="614"/>
      <c r="B77" s="971"/>
      <c r="C77" s="749"/>
      <c r="D77" s="972"/>
      <c r="E77" s="973"/>
      <c r="F77" s="973"/>
      <c r="G77" s="974"/>
      <c r="H77" s="573"/>
      <c r="I77" s="526"/>
      <c r="J77" s="526"/>
      <c r="K77" s="675"/>
      <c r="L77" s="742"/>
      <c r="M77" s="742"/>
      <c r="N77" s="742"/>
      <c r="O77" s="742"/>
      <c r="P77" s="742"/>
      <c r="Q77" s="742"/>
      <c r="R77" s="742"/>
      <c r="S77" s="742"/>
      <c r="T77" s="742"/>
      <c r="U77" s="742"/>
      <c r="V77" s="742"/>
      <c r="W77" s="742"/>
      <c r="X77" s="742"/>
      <c r="Y77" s="742"/>
      <c r="Z77" s="742"/>
      <c r="AA77" s="742"/>
      <c r="AB77" s="742"/>
      <c r="AC77" s="742"/>
      <c r="AD77" s="742"/>
      <c r="AE77" s="742"/>
      <c r="AF77" s="742"/>
      <c r="AG77" s="742"/>
      <c r="AH77" s="742"/>
      <c r="AI77" s="742"/>
      <c r="AJ77" s="742"/>
      <c r="AK77" s="742"/>
      <c r="AL77" s="742"/>
      <c r="AM77" s="742"/>
      <c r="AN77" s="742"/>
      <c r="AO77" s="742"/>
      <c r="AP77" s="742"/>
      <c r="AQ77" s="742"/>
      <c r="AR77" s="742"/>
      <c r="AS77" s="742"/>
      <c r="AT77" s="742"/>
      <c r="AU77" s="742"/>
      <c r="AV77" s="742"/>
      <c r="AW77" s="742"/>
      <c r="AX77" s="742"/>
      <c r="AY77" s="742"/>
      <c r="AZ77" s="742"/>
      <c r="BA77" s="742"/>
      <c r="BB77" s="742"/>
      <c r="BC77" s="742"/>
      <c r="BD77" s="742"/>
      <c r="BE77" s="742"/>
      <c r="BF77" s="742"/>
      <c r="BG77" s="742"/>
      <c r="BH77" s="742"/>
      <c r="BI77" s="742"/>
      <c r="BJ77" s="742"/>
      <c r="BK77" s="742"/>
    </row>
    <row r="78" spans="1:63" ht="11.25" customHeight="1">
      <c r="A78" s="614" t="s">
        <v>44</v>
      </c>
      <c r="B78" s="662"/>
      <c r="C78" s="749" t="s">
        <v>229</v>
      </c>
      <c r="D78" s="1182">
        <v>78</v>
      </c>
      <c r="E78" s="1174">
        <v>72</v>
      </c>
      <c r="F78" s="1175">
        <v>6</v>
      </c>
      <c r="G78" s="1173">
        <v>63</v>
      </c>
      <c r="H78" s="1184">
        <v>3</v>
      </c>
      <c r="I78" s="1176">
        <v>3</v>
      </c>
      <c r="J78" s="1177">
        <v>0</v>
      </c>
      <c r="K78" s="1178">
        <v>0</v>
      </c>
      <c r="L78" s="742"/>
      <c r="M78" s="742"/>
      <c r="N78" s="742"/>
      <c r="O78" s="742"/>
      <c r="P78" s="742"/>
      <c r="Q78" s="742"/>
      <c r="R78" s="742"/>
      <c r="S78" s="742"/>
      <c r="T78" s="742"/>
      <c r="U78" s="742"/>
      <c r="V78" s="742"/>
      <c r="W78" s="742"/>
      <c r="X78" s="742"/>
      <c r="Y78" s="742"/>
      <c r="Z78" s="742"/>
      <c r="AA78" s="742"/>
      <c r="AB78" s="742"/>
      <c r="AC78" s="742"/>
      <c r="AD78" s="742"/>
      <c r="AE78" s="742"/>
      <c r="AF78" s="742"/>
      <c r="AG78" s="742"/>
      <c r="AH78" s="742"/>
      <c r="AI78" s="742"/>
      <c r="AJ78" s="742"/>
      <c r="AK78" s="742"/>
      <c r="AL78" s="742"/>
      <c r="AM78" s="742"/>
      <c r="AN78" s="742"/>
      <c r="AO78" s="742"/>
      <c r="AP78" s="742"/>
      <c r="AQ78" s="742"/>
      <c r="AR78" s="742"/>
      <c r="AS78" s="742"/>
      <c r="AT78" s="742"/>
      <c r="AU78" s="742"/>
      <c r="AV78" s="742"/>
      <c r="AW78" s="742"/>
      <c r="AX78" s="742"/>
      <c r="AY78" s="742"/>
      <c r="AZ78" s="742"/>
      <c r="BA78" s="742"/>
      <c r="BB78" s="742"/>
      <c r="BC78" s="742"/>
      <c r="BD78" s="742"/>
      <c r="BE78" s="742"/>
      <c r="BF78" s="742"/>
      <c r="BG78" s="742"/>
      <c r="BH78" s="742"/>
      <c r="BI78" s="742"/>
      <c r="BJ78" s="742"/>
      <c r="BK78" s="742"/>
    </row>
    <row r="79" spans="1:63" ht="11.25" customHeight="1">
      <c r="A79" s="614"/>
      <c r="B79" s="662"/>
      <c r="C79" s="749" t="s">
        <v>256</v>
      </c>
      <c r="D79" s="1184">
        <v>21</v>
      </c>
      <c r="E79" s="1176">
        <v>18</v>
      </c>
      <c r="F79" s="1179">
        <v>3</v>
      </c>
      <c r="G79" s="1180">
        <v>18</v>
      </c>
      <c r="H79" s="1184">
        <v>0</v>
      </c>
      <c r="I79" s="1176">
        <v>0</v>
      </c>
      <c r="J79" s="1177">
        <v>0</v>
      </c>
      <c r="K79" s="1178">
        <v>0</v>
      </c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V79" s="742"/>
      <c r="W79" s="742"/>
      <c r="X79" s="742"/>
      <c r="Y79" s="742"/>
      <c r="Z79" s="742"/>
      <c r="AA79" s="742"/>
      <c r="AB79" s="742"/>
      <c r="AC79" s="742"/>
      <c r="AD79" s="742"/>
      <c r="AE79" s="742"/>
      <c r="AF79" s="742"/>
      <c r="AG79" s="742"/>
      <c r="AH79" s="742"/>
      <c r="AI79" s="742"/>
      <c r="AJ79" s="742"/>
      <c r="AK79" s="742"/>
      <c r="AL79" s="742"/>
      <c r="AM79" s="742"/>
      <c r="AN79" s="742"/>
      <c r="AO79" s="742"/>
      <c r="AP79" s="742"/>
      <c r="AQ79" s="742"/>
      <c r="AR79" s="742"/>
      <c r="AS79" s="742"/>
      <c r="AT79" s="742"/>
      <c r="AU79" s="742"/>
      <c r="AV79" s="742"/>
      <c r="AW79" s="742"/>
      <c r="AX79" s="742"/>
      <c r="AY79" s="742"/>
      <c r="AZ79" s="742"/>
      <c r="BA79" s="742"/>
      <c r="BB79" s="742"/>
      <c r="BC79" s="742"/>
      <c r="BD79" s="742"/>
      <c r="BE79" s="742"/>
      <c r="BF79" s="742"/>
      <c r="BG79" s="742"/>
      <c r="BH79" s="742"/>
      <c r="BI79" s="742"/>
      <c r="BJ79" s="742"/>
      <c r="BK79" s="742"/>
    </row>
    <row r="80" spans="1:63" ht="11.25" customHeight="1">
      <c r="A80" s="614"/>
      <c r="B80" s="662"/>
      <c r="C80" s="749" t="s">
        <v>257</v>
      </c>
      <c r="D80" s="1182">
        <v>0</v>
      </c>
      <c r="E80" s="1174">
        <v>0</v>
      </c>
      <c r="F80" s="1175">
        <v>0</v>
      </c>
      <c r="G80" s="1173">
        <v>0</v>
      </c>
      <c r="H80" s="1184">
        <v>0</v>
      </c>
      <c r="I80" s="1176">
        <v>0</v>
      </c>
      <c r="J80" s="1177">
        <v>0</v>
      </c>
      <c r="K80" s="1178">
        <v>0</v>
      </c>
      <c r="L80" s="742"/>
      <c r="M80" s="742"/>
      <c r="N80" s="742"/>
      <c r="O80" s="742"/>
      <c r="P80" s="742"/>
      <c r="Q80" s="742"/>
      <c r="R80" s="742"/>
      <c r="S80" s="742"/>
      <c r="T80" s="742"/>
      <c r="U80" s="742"/>
      <c r="V80" s="742"/>
      <c r="W80" s="742"/>
      <c r="X80" s="742"/>
      <c r="Y80" s="742"/>
      <c r="Z80" s="742"/>
      <c r="AA80" s="742"/>
      <c r="AB80" s="742"/>
      <c r="AC80" s="742"/>
      <c r="AD80" s="742"/>
      <c r="AE80" s="742"/>
      <c r="AF80" s="742"/>
      <c r="AG80" s="742"/>
      <c r="AH80" s="742"/>
      <c r="AI80" s="742"/>
      <c r="AJ80" s="742"/>
      <c r="AK80" s="742"/>
      <c r="AL80" s="742"/>
      <c r="AM80" s="742"/>
      <c r="AN80" s="742"/>
      <c r="AO80" s="742"/>
      <c r="AP80" s="742"/>
      <c r="AQ80" s="742"/>
      <c r="AR80" s="742"/>
      <c r="AS80" s="742"/>
      <c r="AT80" s="742"/>
      <c r="AU80" s="742"/>
      <c r="AV80" s="742"/>
      <c r="AW80" s="742"/>
      <c r="AX80" s="742"/>
      <c r="AY80" s="742"/>
      <c r="AZ80" s="742"/>
      <c r="BA80" s="742"/>
      <c r="BB80" s="742"/>
      <c r="BC80" s="742"/>
      <c r="BD80" s="742"/>
      <c r="BE80" s="742"/>
      <c r="BF80" s="742"/>
      <c r="BG80" s="742"/>
      <c r="BH80" s="742"/>
      <c r="BI80" s="742"/>
      <c r="BJ80" s="742"/>
      <c r="BK80" s="742"/>
    </row>
    <row r="81" spans="1:63" ht="11.25" customHeight="1">
      <c r="A81" s="614"/>
      <c r="B81" s="662"/>
      <c r="C81" s="749" t="s">
        <v>246</v>
      </c>
      <c r="D81" s="1182">
        <v>15</v>
      </c>
      <c r="E81" s="1174">
        <v>15</v>
      </c>
      <c r="F81" s="1175">
        <v>0</v>
      </c>
      <c r="G81" s="1173">
        <v>9</v>
      </c>
      <c r="H81" s="1184">
        <v>0</v>
      </c>
      <c r="I81" s="1176">
        <v>0</v>
      </c>
      <c r="J81" s="1177">
        <v>0</v>
      </c>
      <c r="K81" s="1178">
        <v>0</v>
      </c>
      <c r="L81" s="742"/>
      <c r="M81" s="742"/>
      <c r="N81" s="742"/>
      <c r="O81" s="742"/>
      <c r="P81" s="742"/>
      <c r="Q81" s="742"/>
      <c r="R81" s="742"/>
      <c r="S81" s="742"/>
      <c r="T81" s="742"/>
      <c r="U81" s="742"/>
      <c r="V81" s="742"/>
      <c r="W81" s="742"/>
      <c r="X81" s="742"/>
      <c r="Y81" s="742"/>
      <c r="Z81" s="742"/>
      <c r="AA81" s="742"/>
      <c r="AB81" s="742"/>
      <c r="AC81" s="742"/>
      <c r="AD81" s="742"/>
      <c r="AE81" s="742"/>
      <c r="AF81" s="742"/>
      <c r="AG81" s="742"/>
      <c r="AH81" s="742"/>
      <c r="AI81" s="742"/>
      <c r="AJ81" s="742"/>
      <c r="AK81" s="742"/>
      <c r="AL81" s="742"/>
      <c r="AM81" s="742"/>
      <c r="AN81" s="742"/>
      <c r="AO81" s="742"/>
      <c r="AP81" s="742"/>
      <c r="AQ81" s="742"/>
      <c r="AR81" s="742"/>
      <c r="AS81" s="742"/>
      <c r="AT81" s="742"/>
      <c r="AU81" s="742"/>
      <c r="AV81" s="742"/>
      <c r="AW81" s="742"/>
      <c r="AX81" s="742"/>
      <c r="AY81" s="742"/>
      <c r="AZ81" s="742"/>
      <c r="BA81" s="742"/>
      <c r="BB81" s="742"/>
      <c r="BC81" s="742"/>
      <c r="BD81" s="742"/>
      <c r="BE81" s="742"/>
      <c r="BF81" s="742"/>
      <c r="BG81" s="742"/>
      <c r="BH81" s="742"/>
      <c r="BI81" s="742"/>
      <c r="BJ81" s="742"/>
      <c r="BK81" s="742"/>
    </row>
    <row r="82" spans="1:63" ht="11.25" customHeight="1">
      <c r="A82" s="614"/>
      <c r="B82" s="662"/>
      <c r="C82" s="749" t="s">
        <v>260</v>
      </c>
      <c r="D82" s="1182">
        <v>27</v>
      </c>
      <c r="E82" s="1174">
        <v>24</v>
      </c>
      <c r="F82" s="1175">
        <v>3</v>
      </c>
      <c r="G82" s="1173">
        <v>24</v>
      </c>
      <c r="H82" s="1184">
        <v>0</v>
      </c>
      <c r="I82" s="1176">
        <v>0</v>
      </c>
      <c r="J82" s="1177">
        <v>0</v>
      </c>
      <c r="K82" s="1178">
        <v>0</v>
      </c>
      <c r="L82" s="742"/>
      <c r="M82" s="742"/>
      <c r="N82" s="742"/>
      <c r="O82" s="742"/>
      <c r="P82" s="742"/>
      <c r="Q82" s="742"/>
      <c r="R82" s="742"/>
      <c r="S82" s="742"/>
      <c r="T82" s="742"/>
      <c r="U82" s="742"/>
      <c r="V82" s="742"/>
      <c r="W82" s="742"/>
      <c r="X82" s="742"/>
      <c r="Y82" s="742"/>
      <c r="Z82" s="742"/>
      <c r="AA82" s="742"/>
      <c r="AB82" s="742"/>
      <c r="AC82" s="742"/>
      <c r="AD82" s="742"/>
      <c r="AE82" s="742"/>
      <c r="AF82" s="742"/>
      <c r="AG82" s="742"/>
      <c r="AH82" s="742"/>
      <c r="AI82" s="742"/>
      <c r="AJ82" s="742"/>
      <c r="AK82" s="742"/>
      <c r="AL82" s="742"/>
      <c r="AM82" s="742"/>
      <c r="AN82" s="742"/>
      <c r="AO82" s="742"/>
      <c r="AP82" s="742"/>
      <c r="AQ82" s="742"/>
      <c r="AR82" s="742"/>
      <c r="AS82" s="742"/>
      <c r="AT82" s="742"/>
      <c r="AU82" s="742"/>
      <c r="AV82" s="742"/>
      <c r="AW82" s="742"/>
      <c r="AX82" s="742"/>
      <c r="AY82" s="742"/>
      <c r="AZ82" s="742"/>
      <c r="BA82" s="742"/>
      <c r="BB82" s="742"/>
      <c r="BC82" s="742"/>
      <c r="BD82" s="742"/>
      <c r="BE82" s="742"/>
      <c r="BF82" s="742"/>
      <c r="BG82" s="742"/>
      <c r="BH82" s="742"/>
      <c r="BI82" s="742"/>
      <c r="BJ82" s="742"/>
      <c r="BK82" s="742"/>
    </row>
    <row r="83" spans="1:63" ht="11.25" customHeight="1">
      <c r="A83" s="614"/>
      <c r="B83" s="662"/>
      <c r="C83" s="749" t="s">
        <v>245</v>
      </c>
      <c r="D83" s="1182">
        <v>0</v>
      </c>
      <c r="E83" s="1174">
        <v>0</v>
      </c>
      <c r="F83" s="1175">
        <v>0</v>
      </c>
      <c r="G83" s="1173">
        <v>0</v>
      </c>
      <c r="H83" s="1184">
        <v>0</v>
      </c>
      <c r="I83" s="1176">
        <v>0</v>
      </c>
      <c r="J83" s="1177">
        <v>0</v>
      </c>
      <c r="K83" s="1178">
        <v>0</v>
      </c>
      <c r="L83" s="742"/>
      <c r="M83" s="742"/>
      <c r="N83" s="742"/>
      <c r="O83" s="742"/>
      <c r="P83" s="742"/>
      <c r="Q83" s="742"/>
      <c r="R83" s="742"/>
      <c r="S83" s="742"/>
      <c r="T83" s="742"/>
      <c r="U83" s="742"/>
      <c r="V83" s="742"/>
      <c r="W83" s="742"/>
      <c r="X83" s="742"/>
      <c r="Y83" s="742"/>
      <c r="Z83" s="742"/>
      <c r="AA83" s="742"/>
      <c r="AB83" s="742"/>
      <c r="AC83" s="742"/>
      <c r="AD83" s="742"/>
      <c r="AE83" s="742"/>
      <c r="AF83" s="742"/>
      <c r="AG83" s="742"/>
      <c r="AH83" s="742"/>
      <c r="AI83" s="742"/>
      <c r="AJ83" s="742"/>
      <c r="AK83" s="742"/>
      <c r="AL83" s="742"/>
      <c r="AM83" s="742"/>
      <c r="AN83" s="742"/>
      <c r="AO83" s="742"/>
      <c r="AP83" s="742"/>
      <c r="AQ83" s="742"/>
      <c r="AR83" s="742"/>
      <c r="AS83" s="742"/>
      <c r="AT83" s="742"/>
      <c r="AU83" s="742"/>
      <c r="AV83" s="742"/>
      <c r="AW83" s="742"/>
      <c r="AX83" s="742"/>
      <c r="AY83" s="742"/>
      <c r="AZ83" s="742"/>
      <c r="BA83" s="742"/>
      <c r="BB83" s="742"/>
      <c r="BC83" s="742"/>
      <c r="BD83" s="742"/>
      <c r="BE83" s="742"/>
      <c r="BF83" s="742"/>
      <c r="BG83" s="742"/>
      <c r="BH83" s="742"/>
      <c r="BI83" s="742"/>
      <c r="BJ83" s="742"/>
      <c r="BK83" s="742"/>
    </row>
    <row r="84" spans="1:63" ht="11.25" customHeight="1">
      <c r="A84" s="614"/>
      <c r="B84" s="662"/>
      <c r="C84" s="749" t="s">
        <v>231</v>
      </c>
      <c r="D84" s="1182">
        <v>21</v>
      </c>
      <c r="E84" s="1174">
        <v>21</v>
      </c>
      <c r="F84" s="1175">
        <v>3</v>
      </c>
      <c r="G84" s="1173">
        <v>18</v>
      </c>
      <c r="H84" s="1184">
        <v>0</v>
      </c>
      <c r="I84" s="1176">
        <v>0</v>
      </c>
      <c r="J84" s="1177">
        <v>0</v>
      </c>
      <c r="K84" s="1178">
        <v>0</v>
      </c>
      <c r="L84" s="742"/>
      <c r="M84" s="742"/>
      <c r="N84" s="742"/>
      <c r="O84" s="742"/>
      <c r="P84" s="742"/>
      <c r="Q84" s="742"/>
      <c r="R84" s="742"/>
      <c r="S84" s="742"/>
      <c r="T84" s="742"/>
      <c r="U84" s="742"/>
      <c r="V84" s="742"/>
      <c r="W84" s="742"/>
      <c r="X84" s="742"/>
      <c r="Y84" s="742"/>
      <c r="Z84" s="742"/>
      <c r="AA84" s="742"/>
      <c r="AB84" s="742"/>
      <c r="AC84" s="742"/>
      <c r="AD84" s="742"/>
      <c r="AE84" s="742"/>
      <c r="AF84" s="742"/>
      <c r="AG84" s="742"/>
      <c r="AH84" s="742"/>
      <c r="AI84" s="742"/>
      <c r="AJ84" s="742"/>
      <c r="AK84" s="742"/>
      <c r="AL84" s="742"/>
      <c r="AM84" s="742"/>
      <c r="AN84" s="742"/>
      <c r="AO84" s="742"/>
      <c r="AP84" s="742"/>
      <c r="AQ84" s="742"/>
      <c r="AR84" s="742"/>
      <c r="AS84" s="742"/>
      <c r="AT84" s="742"/>
      <c r="AU84" s="742"/>
      <c r="AV84" s="742"/>
      <c r="AW84" s="742"/>
      <c r="AX84" s="742"/>
      <c r="AY84" s="742"/>
      <c r="AZ84" s="742"/>
      <c r="BA84" s="742"/>
      <c r="BB84" s="742"/>
      <c r="BC84" s="742"/>
      <c r="BD84" s="742"/>
      <c r="BE84" s="742"/>
      <c r="BF84" s="742"/>
      <c r="BG84" s="742"/>
      <c r="BH84" s="742"/>
      <c r="BI84" s="742"/>
      <c r="BJ84" s="742"/>
      <c r="BK84" s="742"/>
    </row>
    <row r="85" spans="1:63" ht="11.25" customHeight="1">
      <c r="A85" s="614"/>
      <c r="B85" s="662"/>
      <c r="C85" s="749" t="s">
        <v>232</v>
      </c>
      <c r="D85" s="1182">
        <v>6</v>
      </c>
      <c r="E85" s="1174">
        <v>6</v>
      </c>
      <c r="F85" s="1175">
        <v>3</v>
      </c>
      <c r="G85" s="1173">
        <v>6</v>
      </c>
      <c r="H85" s="1184">
        <v>0</v>
      </c>
      <c r="I85" s="1176">
        <v>0</v>
      </c>
      <c r="J85" s="1177">
        <v>0</v>
      </c>
      <c r="K85" s="1178">
        <v>0</v>
      </c>
      <c r="L85" s="742"/>
      <c r="M85" s="742"/>
      <c r="N85" s="742"/>
      <c r="O85" s="742"/>
      <c r="P85" s="742"/>
      <c r="Q85" s="742"/>
      <c r="R85" s="742"/>
      <c r="S85" s="742"/>
      <c r="T85" s="742"/>
      <c r="U85" s="742"/>
      <c r="V85" s="742"/>
      <c r="W85" s="742"/>
      <c r="X85" s="742"/>
      <c r="Y85" s="742"/>
      <c r="Z85" s="742"/>
      <c r="AA85" s="742"/>
      <c r="AB85" s="742"/>
      <c r="AC85" s="742"/>
      <c r="AD85" s="742"/>
      <c r="AE85" s="742"/>
      <c r="AF85" s="742"/>
      <c r="AG85" s="742"/>
      <c r="AH85" s="742"/>
      <c r="AI85" s="742"/>
      <c r="AJ85" s="742"/>
      <c r="AK85" s="742"/>
      <c r="AL85" s="742"/>
      <c r="AM85" s="742"/>
      <c r="AN85" s="742"/>
      <c r="AO85" s="742"/>
      <c r="AP85" s="742"/>
      <c r="AQ85" s="742"/>
      <c r="AR85" s="742"/>
      <c r="AS85" s="742"/>
      <c r="AT85" s="742"/>
      <c r="AU85" s="742"/>
      <c r="AV85" s="742"/>
      <c r="AW85" s="742"/>
      <c r="AX85" s="742"/>
      <c r="AY85" s="742"/>
      <c r="AZ85" s="742"/>
      <c r="BA85" s="742"/>
      <c r="BB85" s="742"/>
      <c r="BC85" s="742"/>
      <c r="BD85" s="742"/>
      <c r="BE85" s="742"/>
      <c r="BF85" s="742"/>
      <c r="BG85" s="742"/>
      <c r="BH85" s="742"/>
      <c r="BI85" s="742"/>
      <c r="BJ85" s="742"/>
      <c r="BK85" s="742"/>
    </row>
    <row r="86" spans="1:63" ht="11.25" customHeight="1">
      <c r="A86" s="614"/>
      <c r="B86" s="662"/>
      <c r="C86" s="749" t="s">
        <v>233</v>
      </c>
      <c r="D86" s="1182">
        <v>0</v>
      </c>
      <c r="E86" s="1174">
        <v>0</v>
      </c>
      <c r="F86" s="1175">
        <v>0</v>
      </c>
      <c r="G86" s="1173">
        <v>0</v>
      </c>
      <c r="H86" s="1184">
        <v>0</v>
      </c>
      <c r="I86" s="1176">
        <v>0</v>
      </c>
      <c r="J86" s="1177">
        <v>0</v>
      </c>
      <c r="K86" s="1178">
        <v>0</v>
      </c>
      <c r="L86" s="742"/>
      <c r="M86" s="742"/>
      <c r="N86" s="742"/>
      <c r="O86" s="742"/>
      <c r="P86" s="742"/>
      <c r="Q86" s="742"/>
      <c r="R86" s="742"/>
      <c r="S86" s="742"/>
      <c r="T86" s="742"/>
      <c r="U86" s="742"/>
      <c r="V86" s="742"/>
      <c r="W86" s="742"/>
      <c r="X86" s="742"/>
      <c r="Y86" s="742"/>
      <c r="Z86" s="742"/>
      <c r="AA86" s="742"/>
      <c r="AB86" s="742"/>
      <c r="AC86" s="742"/>
      <c r="AD86" s="742"/>
      <c r="AE86" s="742"/>
      <c r="AF86" s="742"/>
      <c r="AG86" s="742"/>
      <c r="AH86" s="742"/>
      <c r="AI86" s="742"/>
      <c r="AJ86" s="742"/>
      <c r="AK86" s="742"/>
      <c r="AL86" s="742"/>
      <c r="AM86" s="742"/>
      <c r="AN86" s="742"/>
      <c r="AO86" s="742"/>
      <c r="AP86" s="742"/>
      <c r="AQ86" s="742"/>
      <c r="AR86" s="742"/>
      <c r="AS86" s="742"/>
      <c r="AT86" s="742"/>
      <c r="AU86" s="742"/>
      <c r="AV86" s="742"/>
      <c r="AW86" s="742"/>
      <c r="AX86" s="742"/>
      <c r="AY86" s="742"/>
      <c r="AZ86" s="742"/>
      <c r="BA86" s="742"/>
      <c r="BB86" s="742"/>
      <c r="BC86" s="742"/>
      <c r="BD86" s="742"/>
      <c r="BE86" s="742"/>
      <c r="BF86" s="742"/>
      <c r="BG86" s="742"/>
      <c r="BH86" s="742"/>
      <c r="BI86" s="742"/>
      <c r="BJ86" s="742"/>
      <c r="BK86" s="742"/>
    </row>
    <row r="87" spans="1:63" ht="11.25" customHeight="1">
      <c r="A87" s="614"/>
      <c r="B87" s="662"/>
      <c r="C87" s="749" t="s">
        <v>234</v>
      </c>
      <c r="D87" s="1184">
        <v>21</v>
      </c>
      <c r="E87" s="1176">
        <v>18</v>
      </c>
      <c r="F87" s="1177">
        <v>3</v>
      </c>
      <c r="G87" s="1176">
        <v>21</v>
      </c>
      <c r="H87" s="1184">
        <v>0</v>
      </c>
      <c r="I87" s="1176">
        <v>0</v>
      </c>
      <c r="J87" s="1177">
        <v>0</v>
      </c>
      <c r="K87" s="1178">
        <v>0</v>
      </c>
      <c r="L87" s="742"/>
      <c r="M87" s="742"/>
      <c r="N87" s="742"/>
      <c r="O87" s="742"/>
      <c r="P87" s="742"/>
      <c r="Q87" s="742"/>
      <c r="R87" s="742"/>
      <c r="S87" s="742"/>
      <c r="T87" s="742"/>
      <c r="U87" s="742"/>
      <c r="V87" s="742"/>
      <c r="W87" s="742"/>
      <c r="X87" s="742"/>
      <c r="Y87" s="742"/>
      <c r="Z87" s="742"/>
      <c r="AA87" s="742"/>
      <c r="AB87" s="742"/>
      <c r="AC87" s="742"/>
      <c r="AD87" s="742"/>
      <c r="AE87" s="742"/>
      <c r="AF87" s="742"/>
      <c r="AG87" s="742"/>
      <c r="AH87" s="742"/>
      <c r="AI87" s="742"/>
      <c r="AJ87" s="742"/>
      <c r="AK87" s="742"/>
      <c r="AL87" s="742"/>
      <c r="AM87" s="742"/>
      <c r="AN87" s="742"/>
      <c r="AO87" s="742"/>
      <c r="AP87" s="742"/>
      <c r="AQ87" s="742"/>
      <c r="AR87" s="742"/>
      <c r="AS87" s="742"/>
      <c r="AT87" s="742"/>
      <c r="AU87" s="742"/>
      <c r="AV87" s="742"/>
      <c r="AW87" s="742"/>
      <c r="AX87" s="742"/>
      <c r="AY87" s="742"/>
      <c r="AZ87" s="742"/>
      <c r="BA87" s="742"/>
      <c r="BB87" s="742"/>
      <c r="BC87" s="742"/>
      <c r="BD87" s="742"/>
      <c r="BE87" s="742"/>
      <c r="BF87" s="742"/>
      <c r="BG87" s="742"/>
      <c r="BH87" s="742"/>
      <c r="BI87" s="742"/>
      <c r="BJ87" s="742"/>
      <c r="BK87" s="742"/>
    </row>
    <row r="88" spans="1:63" ht="11.25" customHeight="1">
      <c r="A88" s="614"/>
      <c r="B88" s="662"/>
      <c r="C88" s="749" t="s">
        <v>258</v>
      </c>
      <c r="D88" s="1182">
        <v>102</v>
      </c>
      <c r="E88" s="1174">
        <v>93</v>
      </c>
      <c r="F88" s="1175">
        <v>9</v>
      </c>
      <c r="G88" s="1173">
        <v>99</v>
      </c>
      <c r="H88" s="1184">
        <v>0</v>
      </c>
      <c r="I88" s="1176">
        <v>0</v>
      </c>
      <c r="J88" s="1177">
        <v>0</v>
      </c>
      <c r="K88" s="1178">
        <v>0</v>
      </c>
      <c r="L88" s="742"/>
      <c r="M88" s="742"/>
      <c r="N88" s="742"/>
      <c r="O88" s="742"/>
      <c r="P88" s="742"/>
      <c r="Q88" s="742"/>
      <c r="R88" s="742"/>
      <c r="S88" s="742"/>
      <c r="T88" s="742"/>
      <c r="U88" s="742"/>
      <c r="V88" s="742"/>
      <c r="W88" s="742"/>
      <c r="X88" s="742"/>
      <c r="Y88" s="742"/>
      <c r="Z88" s="742"/>
      <c r="AA88" s="742"/>
      <c r="AB88" s="742"/>
      <c r="AC88" s="742"/>
      <c r="AD88" s="742"/>
      <c r="AE88" s="742"/>
      <c r="AF88" s="742"/>
      <c r="AG88" s="742"/>
      <c r="AH88" s="742"/>
      <c r="AI88" s="742"/>
      <c r="AJ88" s="742"/>
      <c r="AK88" s="742"/>
      <c r="AL88" s="742"/>
      <c r="AM88" s="742"/>
      <c r="AN88" s="742"/>
      <c r="AO88" s="742"/>
      <c r="AP88" s="742"/>
      <c r="AQ88" s="742"/>
      <c r="AR88" s="742"/>
      <c r="AS88" s="742"/>
      <c r="AT88" s="742"/>
      <c r="AU88" s="742"/>
      <c r="AV88" s="742"/>
      <c r="AW88" s="742"/>
      <c r="AX88" s="742"/>
      <c r="AY88" s="742"/>
      <c r="AZ88" s="742"/>
      <c r="BA88" s="742"/>
      <c r="BB88" s="742"/>
      <c r="BC88" s="742"/>
      <c r="BD88" s="742"/>
      <c r="BE88" s="742"/>
      <c r="BF88" s="742"/>
      <c r="BG88" s="742"/>
      <c r="BH88" s="742"/>
      <c r="BI88" s="742"/>
      <c r="BJ88" s="742"/>
      <c r="BK88" s="742"/>
    </row>
    <row r="89" spans="1:63" ht="11.25" customHeight="1">
      <c r="A89" s="614"/>
      <c r="B89" s="662"/>
      <c r="C89" s="749" t="s">
        <v>235</v>
      </c>
      <c r="D89" s="1182">
        <v>3</v>
      </c>
      <c r="E89" s="1174">
        <v>3</v>
      </c>
      <c r="F89" s="1175">
        <v>3</v>
      </c>
      <c r="G89" s="1173">
        <v>3</v>
      </c>
      <c r="H89" s="1184">
        <v>0</v>
      </c>
      <c r="I89" s="1176">
        <v>0</v>
      </c>
      <c r="J89" s="1177">
        <v>0</v>
      </c>
      <c r="K89" s="1178">
        <v>0</v>
      </c>
      <c r="L89" s="742"/>
      <c r="M89" s="742"/>
      <c r="N89" s="742"/>
      <c r="O89" s="742"/>
      <c r="P89" s="742"/>
      <c r="Q89" s="742"/>
      <c r="R89" s="742"/>
      <c r="S89" s="742"/>
      <c r="T89" s="742"/>
      <c r="U89" s="742"/>
      <c r="V89" s="742"/>
      <c r="W89" s="742"/>
      <c r="X89" s="742"/>
      <c r="Y89" s="742"/>
      <c r="Z89" s="742"/>
      <c r="AA89" s="742"/>
      <c r="AB89" s="742"/>
      <c r="AC89" s="742"/>
      <c r="AD89" s="742"/>
      <c r="AE89" s="742"/>
      <c r="AF89" s="742"/>
      <c r="AG89" s="742"/>
      <c r="AH89" s="742"/>
      <c r="AI89" s="742"/>
      <c r="AJ89" s="742"/>
      <c r="AK89" s="742"/>
      <c r="AL89" s="742"/>
      <c r="AM89" s="742"/>
      <c r="AN89" s="742"/>
      <c r="AO89" s="742"/>
      <c r="AP89" s="742"/>
      <c r="AQ89" s="742"/>
      <c r="AR89" s="742"/>
      <c r="AS89" s="742"/>
      <c r="AT89" s="742"/>
      <c r="AU89" s="742"/>
      <c r="AV89" s="742"/>
      <c r="AW89" s="742"/>
      <c r="AX89" s="742"/>
      <c r="AY89" s="742"/>
      <c r="AZ89" s="742"/>
      <c r="BA89" s="742"/>
      <c r="BB89" s="742"/>
      <c r="BC89" s="742"/>
      <c r="BD89" s="742"/>
      <c r="BE89" s="742"/>
      <c r="BF89" s="742"/>
      <c r="BG89" s="742"/>
      <c r="BH89" s="742"/>
      <c r="BI89" s="742"/>
      <c r="BJ89" s="742"/>
      <c r="BK89" s="742"/>
    </row>
    <row r="90" spans="1:63" ht="11.25" customHeight="1">
      <c r="A90" s="614"/>
      <c r="B90" s="662"/>
      <c r="C90" s="749" t="s">
        <v>236</v>
      </c>
      <c r="D90" s="1182">
        <v>9</v>
      </c>
      <c r="E90" s="1174">
        <v>3</v>
      </c>
      <c r="F90" s="1175">
        <v>6</v>
      </c>
      <c r="G90" s="1173">
        <v>6</v>
      </c>
      <c r="H90" s="1184">
        <v>0</v>
      </c>
      <c r="I90" s="1176">
        <v>0</v>
      </c>
      <c r="J90" s="1177">
        <v>0</v>
      </c>
      <c r="K90" s="1178">
        <v>0</v>
      </c>
      <c r="L90" s="742"/>
      <c r="M90" s="742"/>
      <c r="N90" s="742"/>
      <c r="O90" s="742"/>
      <c r="P90" s="742"/>
      <c r="Q90" s="742"/>
      <c r="R90" s="742"/>
      <c r="S90" s="742"/>
      <c r="T90" s="742"/>
      <c r="U90" s="742"/>
      <c r="V90" s="742"/>
      <c r="W90" s="742"/>
      <c r="X90" s="742"/>
      <c r="Y90" s="742"/>
      <c r="Z90" s="742"/>
      <c r="AA90" s="742"/>
      <c r="AB90" s="742"/>
      <c r="AC90" s="742"/>
      <c r="AD90" s="742"/>
      <c r="AE90" s="742"/>
      <c r="AF90" s="742"/>
      <c r="AG90" s="742"/>
      <c r="AH90" s="742"/>
      <c r="AI90" s="742"/>
      <c r="AJ90" s="742"/>
      <c r="AK90" s="742"/>
      <c r="AL90" s="742"/>
      <c r="AM90" s="742"/>
      <c r="AN90" s="742"/>
      <c r="AO90" s="742"/>
      <c r="AP90" s="742"/>
      <c r="AQ90" s="742"/>
      <c r="AR90" s="742"/>
      <c r="AS90" s="742"/>
      <c r="AT90" s="742"/>
      <c r="AU90" s="742"/>
      <c r="AV90" s="742"/>
      <c r="AW90" s="742"/>
      <c r="AX90" s="742"/>
      <c r="AY90" s="742"/>
      <c r="AZ90" s="742"/>
      <c r="BA90" s="742"/>
      <c r="BB90" s="742"/>
      <c r="BC90" s="742"/>
      <c r="BD90" s="742"/>
      <c r="BE90" s="742"/>
      <c r="BF90" s="742"/>
      <c r="BG90" s="742"/>
      <c r="BH90" s="742"/>
      <c r="BI90" s="742"/>
      <c r="BJ90" s="742"/>
      <c r="BK90" s="742"/>
    </row>
    <row r="91" spans="1:63" ht="11.25" customHeight="1">
      <c r="A91" s="614"/>
      <c r="B91" s="662"/>
      <c r="C91" s="749" t="s">
        <v>240</v>
      </c>
      <c r="D91" s="1184">
        <v>6</v>
      </c>
      <c r="E91" s="1176">
        <v>6</v>
      </c>
      <c r="F91" s="1177">
        <v>0</v>
      </c>
      <c r="G91" s="1176">
        <v>6</v>
      </c>
      <c r="H91" s="1210">
        <v>0</v>
      </c>
      <c r="I91" s="1176">
        <v>0</v>
      </c>
      <c r="J91" s="1177">
        <v>0</v>
      </c>
      <c r="K91" s="1178">
        <v>0</v>
      </c>
      <c r="L91" s="742"/>
      <c r="M91" s="742"/>
      <c r="N91" s="742"/>
      <c r="O91" s="742"/>
      <c r="P91" s="742"/>
      <c r="Q91" s="742"/>
      <c r="R91" s="742"/>
      <c r="S91" s="742"/>
      <c r="T91" s="742"/>
      <c r="U91" s="742"/>
      <c r="V91" s="742"/>
      <c r="W91" s="742"/>
      <c r="X91" s="742"/>
      <c r="Y91" s="742"/>
      <c r="Z91" s="742"/>
      <c r="AA91" s="742"/>
      <c r="AB91" s="742"/>
      <c r="AC91" s="742"/>
      <c r="AD91" s="742"/>
      <c r="AE91" s="742"/>
      <c r="AF91" s="742"/>
      <c r="AG91" s="742"/>
      <c r="AH91" s="742"/>
      <c r="AI91" s="742"/>
      <c r="AJ91" s="742"/>
      <c r="AK91" s="742"/>
      <c r="AL91" s="742"/>
      <c r="AM91" s="742"/>
      <c r="AN91" s="742"/>
      <c r="AO91" s="742"/>
      <c r="AP91" s="742"/>
      <c r="AQ91" s="742"/>
      <c r="AR91" s="742"/>
      <c r="AS91" s="742"/>
      <c r="AT91" s="742"/>
      <c r="AU91" s="742"/>
      <c r="AV91" s="742"/>
      <c r="AW91" s="742"/>
      <c r="AX91" s="742"/>
      <c r="AY91" s="742"/>
      <c r="AZ91" s="742"/>
      <c r="BA91" s="742"/>
      <c r="BB91" s="742"/>
      <c r="BC91" s="742"/>
      <c r="BD91" s="742"/>
      <c r="BE91" s="742"/>
      <c r="BF91" s="742"/>
      <c r="BG91" s="742"/>
      <c r="BH91" s="742"/>
      <c r="BI91" s="742"/>
      <c r="BJ91" s="742"/>
      <c r="BK91" s="742"/>
    </row>
    <row r="92" spans="1:63" ht="11.25" customHeight="1">
      <c r="A92" s="614"/>
      <c r="B92" s="662"/>
      <c r="C92" s="749" t="s">
        <v>237</v>
      </c>
      <c r="D92" s="1182">
        <v>30</v>
      </c>
      <c r="E92" s="1174">
        <v>0</v>
      </c>
      <c r="F92" s="1175">
        <v>30</v>
      </c>
      <c r="G92" s="1173">
        <v>21</v>
      </c>
      <c r="H92" s="1184">
        <v>3</v>
      </c>
      <c r="I92" s="1176">
        <v>0</v>
      </c>
      <c r="J92" s="1177">
        <v>3</v>
      </c>
      <c r="K92" s="1178">
        <v>0</v>
      </c>
      <c r="L92" s="742"/>
      <c r="M92" s="742"/>
      <c r="N92" s="742"/>
      <c r="O92" s="742"/>
      <c r="P92" s="742"/>
      <c r="Q92" s="742"/>
      <c r="R92" s="742"/>
      <c r="S92" s="742"/>
      <c r="T92" s="742"/>
      <c r="U92" s="742"/>
      <c r="V92" s="742"/>
      <c r="W92" s="742"/>
      <c r="X92" s="742"/>
      <c r="Y92" s="742"/>
      <c r="Z92" s="742"/>
      <c r="AA92" s="742"/>
      <c r="AB92" s="742"/>
      <c r="AC92" s="742"/>
      <c r="AD92" s="742"/>
      <c r="AE92" s="742"/>
      <c r="AF92" s="742"/>
      <c r="AG92" s="742"/>
      <c r="AH92" s="742"/>
      <c r="AI92" s="742"/>
      <c r="AJ92" s="742"/>
      <c r="AK92" s="742"/>
      <c r="AL92" s="742"/>
      <c r="AM92" s="742"/>
      <c r="AN92" s="742"/>
      <c r="AO92" s="742"/>
      <c r="AP92" s="742"/>
      <c r="AQ92" s="742"/>
      <c r="AR92" s="742"/>
      <c r="AS92" s="742"/>
      <c r="AT92" s="742"/>
      <c r="AU92" s="742"/>
      <c r="AV92" s="742"/>
      <c r="AW92" s="742"/>
      <c r="AX92" s="742"/>
      <c r="AY92" s="742"/>
      <c r="AZ92" s="742"/>
      <c r="BA92" s="742"/>
      <c r="BB92" s="742"/>
      <c r="BC92" s="742"/>
      <c r="BD92" s="742"/>
      <c r="BE92" s="742"/>
      <c r="BF92" s="742"/>
      <c r="BG92" s="742"/>
      <c r="BH92" s="742"/>
      <c r="BI92" s="742"/>
      <c r="BJ92" s="742"/>
      <c r="BK92" s="742"/>
    </row>
    <row r="93" spans="1:63" ht="11.25" customHeight="1">
      <c r="A93" s="1234"/>
      <c r="B93" s="1245"/>
      <c r="C93" s="1236"/>
      <c r="D93" s="1237"/>
      <c r="E93" s="1238"/>
      <c r="F93" s="1239"/>
      <c r="G93" s="1240"/>
      <c r="H93" s="1241"/>
      <c r="I93" s="1242"/>
      <c r="J93" s="1243"/>
      <c r="K93" s="1244"/>
      <c r="L93" s="742"/>
      <c r="M93" s="742"/>
      <c r="N93" s="742"/>
      <c r="O93" s="742"/>
      <c r="P93" s="742"/>
      <c r="Q93" s="742"/>
      <c r="R93" s="742"/>
      <c r="S93" s="742"/>
      <c r="T93" s="742"/>
      <c r="U93" s="742"/>
      <c r="V93" s="742"/>
      <c r="W93" s="742"/>
      <c r="X93" s="742"/>
      <c r="Y93" s="742"/>
      <c r="Z93" s="742"/>
      <c r="AA93" s="742"/>
      <c r="AB93" s="742"/>
      <c r="AC93" s="742"/>
      <c r="AD93" s="742"/>
      <c r="AE93" s="742"/>
      <c r="AF93" s="742"/>
      <c r="AG93" s="742"/>
      <c r="AH93" s="742"/>
      <c r="AI93" s="742"/>
      <c r="AJ93" s="742"/>
      <c r="AK93" s="742"/>
      <c r="AL93" s="742"/>
      <c r="AM93" s="742"/>
      <c r="AN93" s="742"/>
      <c r="AO93" s="742"/>
      <c r="AP93" s="742"/>
      <c r="AQ93" s="742"/>
      <c r="AR93" s="742"/>
      <c r="AS93" s="742"/>
      <c r="AT93" s="742"/>
      <c r="AU93" s="742"/>
      <c r="AV93" s="742"/>
      <c r="AW93" s="742"/>
      <c r="AX93" s="742"/>
      <c r="AY93" s="742"/>
      <c r="AZ93" s="742"/>
      <c r="BA93" s="742"/>
      <c r="BB93" s="742"/>
      <c r="BC93" s="742"/>
      <c r="BD93" s="742"/>
      <c r="BE93" s="742"/>
      <c r="BF93" s="742"/>
      <c r="BG93" s="742"/>
      <c r="BH93" s="742"/>
      <c r="BI93" s="742"/>
      <c r="BJ93" s="742"/>
      <c r="BK93" s="742"/>
    </row>
    <row r="94" spans="1:63" ht="11.25" customHeight="1">
      <c r="A94" s="614" t="s">
        <v>173</v>
      </c>
      <c r="B94" s="662"/>
      <c r="C94" s="749" t="s">
        <v>229</v>
      </c>
      <c r="D94" s="1182">
        <v>519</v>
      </c>
      <c r="E94" s="1174">
        <v>483</v>
      </c>
      <c r="F94" s="1175">
        <v>36</v>
      </c>
      <c r="G94" s="1173">
        <v>402</v>
      </c>
      <c r="H94" s="1184">
        <v>21</v>
      </c>
      <c r="I94" s="1176">
        <v>21</v>
      </c>
      <c r="J94" s="1177">
        <v>0</v>
      </c>
      <c r="K94" s="1178">
        <v>12</v>
      </c>
      <c r="L94" s="742"/>
      <c r="M94" s="742"/>
      <c r="N94" s="742"/>
      <c r="O94" s="742"/>
      <c r="P94" s="742"/>
      <c r="Q94" s="742"/>
      <c r="R94" s="742"/>
      <c r="S94" s="742"/>
      <c r="T94" s="742"/>
      <c r="U94" s="742"/>
      <c r="V94" s="742"/>
      <c r="W94" s="742"/>
      <c r="X94" s="742"/>
      <c r="Y94" s="742"/>
      <c r="Z94" s="742"/>
      <c r="AA94" s="742"/>
      <c r="AB94" s="742"/>
      <c r="AC94" s="742"/>
      <c r="AD94" s="742"/>
      <c r="AE94" s="742"/>
      <c r="AF94" s="742"/>
      <c r="AG94" s="742"/>
      <c r="AH94" s="742"/>
      <c r="AI94" s="742"/>
      <c r="AJ94" s="742"/>
      <c r="AK94" s="742"/>
      <c r="AL94" s="742"/>
      <c r="AM94" s="742"/>
      <c r="AN94" s="742"/>
      <c r="AO94" s="742"/>
      <c r="AP94" s="742"/>
      <c r="AQ94" s="742"/>
      <c r="AR94" s="742"/>
      <c r="AS94" s="742"/>
      <c r="AT94" s="742"/>
      <c r="AU94" s="742"/>
      <c r="AV94" s="742"/>
      <c r="AW94" s="742"/>
      <c r="AX94" s="742"/>
      <c r="AY94" s="742"/>
      <c r="AZ94" s="742"/>
      <c r="BA94" s="742"/>
      <c r="BB94" s="742"/>
      <c r="BC94" s="742"/>
      <c r="BD94" s="742"/>
      <c r="BE94" s="742"/>
      <c r="BF94" s="742"/>
      <c r="BG94" s="742"/>
      <c r="BH94" s="742"/>
      <c r="BI94" s="742"/>
      <c r="BJ94" s="742"/>
      <c r="BK94" s="742"/>
    </row>
    <row r="95" spans="1:63" ht="11.25" customHeight="1">
      <c r="A95" s="614"/>
      <c r="B95" s="662"/>
      <c r="C95" s="671" t="s">
        <v>238</v>
      </c>
      <c r="D95" s="1184">
        <v>12</v>
      </c>
      <c r="E95" s="1176">
        <v>12</v>
      </c>
      <c r="F95" s="1177">
        <v>3</v>
      </c>
      <c r="G95" s="1176">
        <v>9</v>
      </c>
      <c r="H95" s="1184">
        <v>0</v>
      </c>
      <c r="I95" s="1176">
        <v>0</v>
      </c>
      <c r="J95" s="1177">
        <v>0</v>
      </c>
      <c r="K95" s="1178">
        <v>0</v>
      </c>
      <c r="L95" s="742"/>
      <c r="M95" s="742"/>
      <c r="N95" s="742"/>
      <c r="O95" s="742"/>
      <c r="P95" s="742"/>
      <c r="Q95" s="742"/>
      <c r="R95" s="742"/>
      <c r="S95" s="742"/>
      <c r="T95" s="742"/>
      <c r="U95" s="742"/>
      <c r="V95" s="742"/>
      <c r="W95" s="742"/>
      <c r="X95" s="742"/>
      <c r="Y95" s="742"/>
      <c r="Z95" s="742"/>
      <c r="AA95" s="742"/>
      <c r="AB95" s="742"/>
      <c r="AC95" s="742"/>
      <c r="AD95" s="742"/>
      <c r="AE95" s="742"/>
      <c r="AF95" s="742"/>
      <c r="AG95" s="742"/>
      <c r="AH95" s="742"/>
      <c r="AI95" s="742"/>
      <c r="AJ95" s="742"/>
      <c r="AK95" s="742"/>
      <c r="AL95" s="742"/>
      <c r="AM95" s="742"/>
      <c r="AN95" s="742"/>
      <c r="AO95" s="742"/>
      <c r="AP95" s="742"/>
      <c r="AQ95" s="742"/>
      <c r="AR95" s="742"/>
      <c r="AS95" s="742"/>
      <c r="AT95" s="742"/>
      <c r="AU95" s="742"/>
      <c r="AV95" s="742"/>
      <c r="AW95" s="742"/>
      <c r="AX95" s="742"/>
      <c r="AY95" s="742"/>
      <c r="AZ95" s="742"/>
      <c r="BA95" s="742"/>
      <c r="BB95" s="742"/>
      <c r="BC95" s="742"/>
      <c r="BD95" s="742"/>
      <c r="BE95" s="742"/>
      <c r="BF95" s="742"/>
      <c r="BG95" s="742"/>
      <c r="BH95" s="742"/>
      <c r="BI95" s="742"/>
      <c r="BJ95" s="742"/>
      <c r="BK95" s="742"/>
    </row>
    <row r="96" spans="1:63" ht="11.25" customHeight="1">
      <c r="A96" s="614"/>
      <c r="B96" s="662"/>
      <c r="C96" s="671" t="s">
        <v>262</v>
      </c>
      <c r="D96" s="1184">
        <v>15</v>
      </c>
      <c r="E96" s="1176">
        <v>9</v>
      </c>
      <c r="F96" s="1177">
        <v>6</v>
      </c>
      <c r="G96" s="1176">
        <v>12</v>
      </c>
      <c r="H96" s="1184">
        <v>0</v>
      </c>
      <c r="I96" s="1176">
        <v>0</v>
      </c>
      <c r="J96" s="1177">
        <v>0</v>
      </c>
      <c r="K96" s="1178">
        <v>0</v>
      </c>
      <c r="L96" s="742"/>
      <c r="M96" s="742"/>
      <c r="N96" s="742"/>
      <c r="O96" s="742"/>
      <c r="P96" s="742"/>
      <c r="Q96" s="742"/>
      <c r="R96" s="742"/>
      <c r="S96" s="742"/>
      <c r="T96" s="742"/>
      <c r="U96" s="742"/>
      <c r="V96" s="742"/>
      <c r="W96" s="742"/>
      <c r="X96" s="742"/>
      <c r="Y96" s="742"/>
      <c r="Z96" s="742"/>
      <c r="AA96" s="742"/>
      <c r="AB96" s="742"/>
      <c r="AC96" s="742"/>
      <c r="AD96" s="742"/>
      <c r="AE96" s="742"/>
      <c r="AF96" s="742"/>
      <c r="AG96" s="742"/>
      <c r="AH96" s="742"/>
      <c r="AI96" s="742"/>
      <c r="AJ96" s="742"/>
      <c r="AK96" s="742"/>
      <c r="AL96" s="742"/>
      <c r="AM96" s="742"/>
      <c r="AN96" s="742"/>
      <c r="AO96" s="742"/>
      <c r="AP96" s="742"/>
      <c r="AQ96" s="742"/>
      <c r="AR96" s="742"/>
      <c r="AS96" s="742"/>
      <c r="AT96" s="742"/>
      <c r="AU96" s="742"/>
      <c r="AV96" s="742"/>
      <c r="AW96" s="742"/>
      <c r="AX96" s="742"/>
      <c r="AY96" s="742"/>
      <c r="AZ96" s="742"/>
      <c r="BA96" s="742"/>
      <c r="BB96" s="742"/>
      <c r="BC96" s="742"/>
      <c r="BD96" s="742"/>
      <c r="BE96" s="742"/>
      <c r="BF96" s="742"/>
      <c r="BG96" s="742"/>
      <c r="BH96" s="742"/>
      <c r="BI96" s="742"/>
      <c r="BJ96" s="742"/>
      <c r="BK96" s="742"/>
    </row>
    <row r="97" spans="1:63" ht="11.25" customHeight="1">
      <c r="A97" s="614"/>
      <c r="B97" s="662"/>
      <c r="C97" s="671" t="s">
        <v>257</v>
      </c>
      <c r="D97" s="1182">
        <v>33</v>
      </c>
      <c r="E97" s="1174">
        <v>6</v>
      </c>
      <c r="F97" s="1175">
        <v>27</v>
      </c>
      <c r="G97" s="1173">
        <v>24</v>
      </c>
      <c r="H97" s="1184">
        <v>12</v>
      </c>
      <c r="I97" s="1176">
        <v>0</v>
      </c>
      <c r="J97" s="1177">
        <v>12</v>
      </c>
      <c r="K97" s="1178">
        <v>9</v>
      </c>
      <c r="L97" s="742"/>
      <c r="M97" s="742"/>
      <c r="N97" s="742"/>
      <c r="O97" s="742"/>
      <c r="P97" s="742"/>
      <c r="Q97" s="742"/>
      <c r="R97" s="742"/>
      <c r="S97" s="742"/>
      <c r="T97" s="742"/>
      <c r="U97" s="742"/>
      <c r="V97" s="742"/>
      <c r="W97" s="742"/>
      <c r="X97" s="742"/>
      <c r="Y97" s="742"/>
      <c r="Z97" s="742"/>
      <c r="AA97" s="742"/>
      <c r="AB97" s="742"/>
      <c r="AC97" s="742"/>
      <c r="AD97" s="742"/>
      <c r="AE97" s="742"/>
      <c r="AF97" s="742"/>
      <c r="AG97" s="742"/>
      <c r="AH97" s="742"/>
      <c r="AI97" s="742"/>
      <c r="AJ97" s="742"/>
      <c r="AK97" s="742"/>
      <c r="AL97" s="742"/>
      <c r="AM97" s="742"/>
      <c r="AN97" s="742"/>
      <c r="AO97" s="742"/>
      <c r="AP97" s="742"/>
      <c r="AQ97" s="742"/>
      <c r="AR97" s="742"/>
      <c r="AS97" s="742"/>
      <c r="AT97" s="742"/>
      <c r="AU97" s="742"/>
      <c r="AV97" s="742"/>
      <c r="AW97" s="742"/>
      <c r="AX97" s="742"/>
      <c r="AY97" s="742"/>
      <c r="AZ97" s="742"/>
      <c r="BA97" s="742"/>
      <c r="BB97" s="742"/>
      <c r="BC97" s="742"/>
      <c r="BD97" s="742"/>
      <c r="BE97" s="742"/>
      <c r="BF97" s="742"/>
      <c r="BG97" s="742"/>
      <c r="BH97" s="742"/>
      <c r="BI97" s="742"/>
      <c r="BJ97" s="742"/>
      <c r="BK97" s="742"/>
    </row>
    <row r="98" spans="1:63" ht="11.25" customHeight="1">
      <c r="A98" s="614"/>
      <c r="B98" s="662"/>
      <c r="C98" s="671" t="s">
        <v>239</v>
      </c>
      <c r="D98" s="1182">
        <v>12</v>
      </c>
      <c r="E98" s="1176">
        <v>0</v>
      </c>
      <c r="F98" s="1175">
        <v>12</v>
      </c>
      <c r="G98" s="1173">
        <v>9</v>
      </c>
      <c r="H98" s="1184">
        <v>3</v>
      </c>
      <c r="I98" s="1176">
        <v>0</v>
      </c>
      <c r="J98" s="1177">
        <v>3</v>
      </c>
      <c r="K98" s="1178">
        <v>0</v>
      </c>
      <c r="L98" s="742"/>
      <c r="M98" s="742"/>
      <c r="N98" s="742"/>
      <c r="O98" s="742"/>
      <c r="P98" s="742"/>
      <c r="Q98" s="742"/>
      <c r="R98" s="742"/>
      <c r="S98" s="742"/>
      <c r="T98" s="742"/>
      <c r="U98" s="742"/>
      <c r="V98" s="742"/>
      <c r="W98" s="742"/>
      <c r="X98" s="742"/>
      <c r="Y98" s="742"/>
      <c r="Z98" s="742"/>
      <c r="AA98" s="742"/>
      <c r="AB98" s="742"/>
      <c r="AC98" s="742"/>
      <c r="AD98" s="742"/>
      <c r="AE98" s="742"/>
      <c r="AF98" s="742"/>
      <c r="AG98" s="742"/>
      <c r="AH98" s="742"/>
      <c r="AI98" s="742"/>
      <c r="AJ98" s="742"/>
      <c r="AK98" s="742"/>
      <c r="AL98" s="742"/>
      <c r="AM98" s="742"/>
      <c r="AN98" s="742"/>
      <c r="AO98" s="742"/>
      <c r="AP98" s="742"/>
      <c r="AQ98" s="742"/>
      <c r="AR98" s="742"/>
      <c r="AS98" s="742"/>
      <c r="AT98" s="742"/>
      <c r="AU98" s="742"/>
      <c r="AV98" s="742"/>
      <c r="AW98" s="742"/>
      <c r="AX98" s="742"/>
      <c r="AY98" s="742"/>
      <c r="AZ98" s="742"/>
      <c r="BA98" s="742"/>
      <c r="BB98" s="742"/>
      <c r="BC98" s="742"/>
      <c r="BD98" s="742"/>
      <c r="BE98" s="742"/>
      <c r="BF98" s="742"/>
      <c r="BG98" s="742"/>
      <c r="BH98" s="742"/>
      <c r="BI98" s="742"/>
      <c r="BJ98" s="742"/>
      <c r="BK98" s="742"/>
    </row>
    <row r="99" spans="1:63" ht="11.25" customHeight="1">
      <c r="A99" s="614"/>
      <c r="B99" s="662"/>
      <c r="C99" s="671" t="s">
        <v>289</v>
      </c>
      <c r="D99" s="1182">
        <v>15</v>
      </c>
      <c r="E99" s="1174">
        <v>15</v>
      </c>
      <c r="F99" s="1177">
        <v>0</v>
      </c>
      <c r="G99" s="1173">
        <v>12</v>
      </c>
      <c r="H99" s="1184">
        <v>3</v>
      </c>
      <c r="I99" s="1176">
        <v>3</v>
      </c>
      <c r="J99" s="1177">
        <v>0</v>
      </c>
      <c r="K99" s="1178">
        <v>0</v>
      </c>
      <c r="L99" s="742"/>
      <c r="M99" s="742"/>
      <c r="N99" s="742"/>
      <c r="O99" s="742"/>
      <c r="P99" s="742"/>
      <c r="Q99" s="742"/>
      <c r="R99" s="742"/>
      <c r="S99" s="742"/>
      <c r="T99" s="742"/>
      <c r="U99" s="742"/>
      <c r="V99" s="742"/>
      <c r="W99" s="742"/>
      <c r="X99" s="742"/>
      <c r="Y99" s="742"/>
      <c r="Z99" s="742"/>
      <c r="AA99" s="742"/>
      <c r="AB99" s="742"/>
      <c r="AC99" s="742"/>
      <c r="AD99" s="742"/>
      <c r="AE99" s="742"/>
      <c r="AF99" s="742"/>
      <c r="AG99" s="742"/>
      <c r="AH99" s="742"/>
      <c r="AI99" s="742"/>
      <c r="AJ99" s="742"/>
      <c r="AK99" s="742"/>
      <c r="AL99" s="742"/>
      <c r="AM99" s="742"/>
      <c r="AN99" s="742"/>
      <c r="AO99" s="742"/>
      <c r="AP99" s="742"/>
      <c r="AQ99" s="742"/>
      <c r="AR99" s="742"/>
      <c r="AS99" s="742"/>
      <c r="AT99" s="742"/>
      <c r="AU99" s="742"/>
      <c r="AV99" s="742"/>
      <c r="AW99" s="742"/>
      <c r="AX99" s="742"/>
      <c r="AY99" s="742"/>
      <c r="AZ99" s="742"/>
      <c r="BA99" s="742"/>
      <c r="BB99" s="742"/>
      <c r="BC99" s="742"/>
      <c r="BD99" s="742"/>
      <c r="BE99" s="742"/>
      <c r="BF99" s="742"/>
      <c r="BG99" s="742"/>
      <c r="BH99" s="742"/>
      <c r="BI99" s="742"/>
      <c r="BJ99" s="742"/>
      <c r="BK99" s="742"/>
    </row>
    <row r="100" spans="1:63" ht="11.25" customHeight="1">
      <c r="A100" s="614"/>
      <c r="B100" s="662"/>
      <c r="C100" s="671" t="s">
        <v>290</v>
      </c>
      <c r="D100" s="1182">
        <v>3</v>
      </c>
      <c r="E100" s="1174">
        <v>3</v>
      </c>
      <c r="F100" s="1177">
        <v>0</v>
      </c>
      <c r="G100" s="1173">
        <v>3</v>
      </c>
      <c r="H100" s="1184">
        <v>0</v>
      </c>
      <c r="I100" s="1176">
        <v>0</v>
      </c>
      <c r="J100" s="1177">
        <v>0</v>
      </c>
      <c r="K100" s="1178">
        <v>0</v>
      </c>
      <c r="L100" s="742"/>
      <c r="M100" s="742"/>
      <c r="N100" s="742"/>
      <c r="O100" s="742"/>
      <c r="P100" s="742"/>
      <c r="Q100" s="742"/>
      <c r="R100" s="742"/>
      <c r="S100" s="742"/>
      <c r="T100" s="742"/>
      <c r="U100" s="742"/>
      <c r="V100" s="742"/>
      <c r="W100" s="742"/>
      <c r="X100" s="742"/>
      <c r="Y100" s="742"/>
      <c r="Z100" s="742"/>
      <c r="AA100" s="742"/>
      <c r="AB100" s="742"/>
      <c r="AC100" s="742"/>
      <c r="AD100" s="742"/>
      <c r="AE100" s="742"/>
      <c r="AF100" s="742"/>
      <c r="AG100" s="742"/>
      <c r="AH100" s="742"/>
      <c r="AI100" s="742"/>
      <c r="AJ100" s="742"/>
      <c r="AK100" s="742"/>
      <c r="AL100" s="742"/>
      <c r="AM100" s="742"/>
      <c r="AN100" s="742"/>
      <c r="AO100" s="742"/>
      <c r="AP100" s="742"/>
      <c r="AQ100" s="742"/>
      <c r="AR100" s="742"/>
      <c r="AS100" s="742"/>
      <c r="AT100" s="742"/>
      <c r="AU100" s="742"/>
      <c r="AV100" s="742"/>
      <c r="AW100" s="742"/>
      <c r="AX100" s="742"/>
      <c r="AY100" s="742"/>
      <c r="AZ100" s="742"/>
      <c r="BA100" s="742"/>
      <c r="BB100" s="742"/>
      <c r="BC100" s="742"/>
      <c r="BD100" s="742"/>
      <c r="BE100" s="742"/>
      <c r="BF100" s="742"/>
      <c r="BG100" s="742"/>
      <c r="BH100" s="742"/>
      <c r="BI100" s="742"/>
      <c r="BJ100" s="742"/>
      <c r="BK100" s="742"/>
    </row>
    <row r="101" spans="1:63" ht="11.25" customHeight="1">
      <c r="A101" s="614"/>
      <c r="B101" s="662"/>
      <c r="C101" s="671" t="s">
        <v>228</v>
      </c>
      <c r="D101" s="1182">
        <v>18</v>
      </c>
      <c r="E101" s="1174">
        <v>15</v>
      </c>
      <c r="F101" s="1177">
        <v>3</v>
      </c>
      <c r="G101" s="1173">
        <v>18</v>
      </c>
      <c r="H101" s="1184">
        <v>0</v>
      </c>
      <c r="I101" s="1176">
        <v>0</v>
      </c>
      <c r="J101" s="1177">
        <v>0</v>
      </c>
      <c r="K101" s="1178">
        <v>0</v>
      </c>
      <c r="L101" s="742"/>
      <c r="M101" s="742"/>
      <c r="N101" s="742"/>
      <c r="O101" s="742"/>
      <c r="P101" s="742"/>
      <c r="Q101" s="742"/>
      <c r="R101" s="742"/>
      <c r="S101" s="742"/>
      <c r="T101" s="742"/>
      <c r="U101" s="742"/>
      <c r="V101" s="742"/>
      <c r="W101" s="742"/>
      <c r="X101" s="742"/>
      <c r="Y101" s="742"/>
      <c r="Z101" s="742"/>
      <c r="AA101" s="742"/>
      <c r="AB101" s="742"/>
      <c r="AC101" s="742"/>
      <c r="AD101" s="742"/>
      <c r="AE101" s="742"/>
      <c r="AF101" s="742"/>
      <c r="AG101" s="742"/>
      <c r="AH101" s="742"/>
      <c r="AI101" s="742"/>
      <c r="AJ101" s="742"/>
      <c r="AK101" s="742"/>
      <c r="AL101" s="742"/>
      <c r="AM101" s="742"/>
      <c r="AN101" s="742"/>
      <c r="AO101" s="742"/>
      <c r="AP101" s="742"/>
      <c r="AQ101" s="742"/>
      <c r="AR101" s="742"/>
      <c r="AS101" s="742"/>
      <c r="AT101" s="742"/>
      <c r="AU101" s="742"/>
      <c r="AV101" s="742"/>
      <c r="AW101" s="742"/>
      <c r="AX101" s="742"/>
      <c r="AY101" s="742"/>
      <c r="AZ101" s="742"/>
      <c r="BA101" s="742"/>
      <c r="BB101" s="742"/>
      <c r="BC101" s="742"/>
      <c r="BD101" s="742"/>
      <c r="BE101" s="742"/>
      <c r="BF101" s="742"/>
      <c r="BG101" s="742"/>
      <c r="BH101" s="742"/>
      <c r="BI101" s="742"/>
      <c r="BJ101" s="742"/>
      <c r="BK101" s="742"/>
    </row>
    <row r="102" spans="1:63" ht="11.25" customHeight="1">
      <c r="A102" s="614"/>
      <c r="B102" s="662"/>
      <c r="C102" s="671" t="s">
        <v>244</v>
      </c>
      <c r="D102" s="1182">
        <v>0</v>
      </c>
      <c r="E102" s="1174">
        <v>0</v>
      </c>
      <c r="F102" s="1177">
        <v>0</v>
      </c>
      <c r="G102" s="1173">
        <v>0</v>
      </c>
      <c r="H102" s="1184">
        <v>0</v>
      </c>
      <c r="I102" s="1176">
        <v>0</v>
      </c>
      <c r="J102" s="1177">
        <v>0</v>
      </c>
      <c r="K102" s="1178">
        <v>0</v>
      </c>
      <c r="L102" s="742"/>
      <c r="M102" s="742"/>
      <c r="N102" s="742"/>
      <c r="O102" s="742"/>
      <c r="P102" s="742"/>
      <c r="Q102" s="742"/>
      <c r="R102" s="742"/>
      <c r="S102" s="742"/>
      <c r="T102" s="742"/>
      <c r="U102" s="742"/>
      <c r="V102" s="742"/>
      <c r="W102" s="742"/>
      <c r="X102" s="742"/>
      <c r="Y102" s="742"/>
      <c r="Z102" s="742"/>
      <c r="AA102" s="742"/>
      <c r="AB102" s="742"/>
      <c r="AC102" s="742"/>
      <c r="AD102" s="742"/>
      <c r="AE102" s="742"/>
      <c r="AF102" s="742"/>
      <c r="AG102" s="742"/>
      <c r="AH102" s="742"/>
      <c r="AI102" s="742"/>
      <c r="AJ102" s="742"/>
      <c r="AK102" s="742"/>
      <c r="AL102" s="742"/>
      <c r="AM102" s="742"/>
      <c r="AN102" s="742"/>
      <c r="AO102" s="742"/>
      <c r="AP102" s="742"/>
      <c r="AQ102" s="742"/>
      <c r="AR102" s="742"/>
      <c r="AS102" s="742"/>
      <c r="AT102" s="742"/>
      <c r="AU102" s="742"/>
      <c r="AV102" s="742"/>
      <c r="AW102" s="742"/>
      <c r="AX102" s="742"/>
      <c r="AY102" s="742"/>
      <c r="AZ102" s="742"/>
      <c r="BA102" s="742"/>
      <c r="BB102" s="742"/>
      <c r="BC102" s="742"/>
      <c r="BD102" s="742"/>
      <c r="BE102" s="742"/>
      <c r="BF102" s="742"/>
      <c r="BG102" s="742"/>
      <c r="BH102" s="742"/>
      <c r="BI102" s="742"/>
      <c r="BJ102" s="742"/>
      <c r="BK102" s="742"/>
    </row>
    <row r="103" spans="1:63" ht="11.25" customHeight="1">
      <c r="A103" s="614"/>
      <c r="B103" s="662"/>
      <c r="C103" s="671" t="s">
        <v>245</v>
      </c>
      <c r="D103" s="1183">
        <v>27</v>
      </c>
      <c r="E103" s="1179">
        <v>27</v>
      </c>
      <c r="F103" s="1177">
        <v>0</v>
      </c>
      <c r="G103" s="1176">
        <v>18</v>
      </c>
      <c r="H103" s="1184">
        <v>6</v>
      </c>
      <c r="I103" s="1176">
        <v>6</v>
      </c>
      <c r="J103" s="1177">
        <v>0</v>
      </c>
      <c r="K103" s="1178">
        <v>6</v>
      </c>
      <c r="L103" s="742"/>
      <c r="M103" s="742"/>
      <c r="N103" s="742"/>
      <c r="O103" s="742"/>
      <c r="P103" s="742"/>
      <c r="Q103" s="742"/>
      <c r="R103" s="742"/>
      <c r="S103" s="742"/>
      <c r="T103" s="742"/>
      <c r="U103" s="742"/>
      <c r="V103" s="742"/>
      <c r="W103" s="742"/>
      <c r="X103" s="742"/>
      <c r="Y103" s="742"/>
      <c r="Z103" s="742"/>
      <c r="AA103" s="742"/>
      <c r="AB103" s="742"/>
      <c r="AC103" s="742"/>
      <c r="AD103" s="742"/>
      <c r="AE103" s="742"/>
      <c r="AF103" s="742"/>
      <c r="AG103" s="742"/>
      <c r="AH103" s="742"/>
      <c r="AI103" s="742"/>
      <c r="AJ103" s="742"/>
      <c r="AK103" s="742"/>
      <c r="AL103" s="742"/>
      <c r="AM103" s="742"/>
      <c r="AN103" s="742"/>
      <c r="AO103" s="742"/>
      <c r="AP103" s="742"/>
      <c r="AQ103" s="742"/>
      <c r="AR103" s="742"/>
      <c r="AS103" s="742"/>
      <c r="AT103" s="742"/>
      <c r="AU103" s="742"/>
      <c r="AV103" s="742"/>
      <c r="AW103" s="742"/>
      <c r="AX103" s="742"/>
      <c r="AY103" s="742"/>
      <c r="AZ103" s="742"/>
      <c r="BA103" s="742"/>
      <c r="BB103" s="742"/>
      <c r="BC103" s="742"/>
      <c r="BD103" s="742"/>
      <c r="BE103" s="742"/>
      <c r="BF103" s="742"/>
      <c r="BG103" s="742"/>
      <c r="BH103" s="742"/>
      <c r="BI103" s="742"/>
      <c r="BJ103" s="742"/>
      <c r="BK103" s="742"/>
    </row>
    <row r="104" spans="1:63" ht="11.25" customHeight="1">
      <c r="A104" s="614"/>
      <c r="B104" s="662"/>
      <c r="C104" s="671" t="s">
        <v>185</v>
      </c>
      <c r="D104" s="1182">
        <v>18</v>
      </c>
      <c r="E104" s="1174">
        <v>18</v>
      </c>
      <c r="F104" s="1175">
        <v>0</v>
      </c>
      <c r="G104" s="1173">
        <v>18</v>
      </c>
      <c r="H104" s="1184">
        <v>3</v>
      </c>
      <c r="I104" s="1176">
        <v>3</v>
      </c>
      <c r="J104" s="1177">
        <v>0</v>
      </c>
      <c r="K104" s="1178">
        <v>0</v>
      </c>
      <c r="L104" s="742"/>
      <c r="M104" s="742"/>
      <c r="N104" s="742"/>
      <c r="O104" s="742"/>
      <c r="P104" s="742"/>
      <c r="Q104" s="742"/>
      <c r="R104" s="742"/>
      <c r="S104" s="742"/>
      <c r="T104" s="742"/>
      <c r="U104" s="742"/>
      <c r="V104" s="742"/>
      <c r="W104" s="742"/>
      <c r="X104" s="742"/>
      <c r="Y104" s="742"/>
      <c r="Z104" s="742"/>
      <c r="AA104" s="742"/>
      <c r="AB104" s="742"/>
      <c r="AC104" s="742"/>
      <c r="AD104" s="742"/>
      <c r="AE104" s="742"/>
      <c r="AF104" s="742"/>
      <c r="AG104" s="742"/>
      <c r="AH104" s="742"/>
      <c r="AI104" s="742"/>
      <c r="AJ104" s="742"/>
      <c r="AK104" s="742"/>
      <c r="AL104" s="742"/>
      <c r="AM104" s="742"/>
      <c r="AN104" s="742"/>
      <c r="AO104" s="742"/>
      <c r="AP104" s="742"/>
      <c r="AQ104" s="742"/>
      <c r="AR104" s="742"/>
      <c r="AS104" s="742"/>
      <c r="AT104" s="742"/>
      <c r="AU104" s="742"/>
      <c r="AV104" s="742"/>
      <c r="AW104" s="742"/>
      <c r="AX104" s="742"/>
      <c r="AY104" s="742"/>
      <c r="AZ104" s="742"/>
      <c r="BA104" s="742"/>
      <c r="BB104" s="742"/>
      <c r="BC104" s="742"/>
      <c r="BD104" s="742"/>
      <c r="BE104" s="742"/>
      <c r="BF104" s="742"/>
      <c r="BG104" s="742"/>
      <c r="BH104" s="742"/>
      <c r="BI104" s="742"/>
      <c r="BJ104" s="742"/>
      <c r="BK104" s="742"/>
    </row>
    <row r="105" spans="1:63" ht="11.25" customHeight="1">
      <c r="A105" s="614"/>
      <c r="B105" s="662"/>
      <c r="C105" s="671" t="s">
        <v>263</v>
      </c>
      <c r="D105" s="1183">
        <v>0</v>
      </c>
      <c r="E105" s="1179">
        <v>0</v>
      </c>
      <c r="F105" s="1177">
        <v>0</v>
      </c>
      <c r="G105" s="1177">
        <v>0</v>
      </c>
      <c r="H105" s="1184">
        <v>0</v>
      </c>
      <c r="I105" s="1176">
        <v>0</v>
      </c>
      <c r="J105" s="1177">
        <v>0</v>
      </c>
      <c r="K105" s="1178">
        <v>0</v>
      </c>
      <c r="L105" s="742"/>
      <c r="M105" s="742"/>
      <c r="N105" s="742"/>
      <c r="O105" s="742"/>
      <c r="P105" s="742"/>
      <c r="Q105" s="742"/>
      <c r="R105" s="742"/>
      <c r="S105" s="742"/>
      <c r="T105" s="742"/>
      <c r="U105" s="742"/>
      <c r="V105" s="742"/>
      <c r="W105" s="742"/>
      <c r="X105" s="742"/>
      <c r="Y105" s="742"/>
      <c r="Z105" s="742"/>
      <c r="AA105" s="742"/>
      <c r="AB105" s="742"/>
      <c r="AC105" s="742"/>
      <c r="AD105" s="742"/>
      <c r="AE105" s="742"/>
      <c r="AF105" s="742"/>
      <c r="AG105" s="742"/>
      <c r="AH105" s="742"/>
      <c r="AI105" s="742"/>
      <c r="AJ105" s="742"/>
      <c r="AK105" s="742"/>
      <c r="AL105" s="742"/>
      <c r="AM105" s="742"/>
      <c r="AN105" s="742"/>
      <c r="AO105" s="742"/>
      <c r="AP105" s="742"/>
      <c r="AQ105" s="742"/>
      <c r="AR105" s="742"/>
      <c r="AS105" s="742"/>
      <c r="AT105" s="742"/>
      <c r="AU105" s="742"/>
      <c r="AV105" s="742"/>
      <c r="AW105" s="742"/>
      <c r="AX105" s="742"/>
      <c r="AY105" s="742"/>
      <c r="AZ105" s="742"/>
      <c r="BA105" s="742"/>
      <c r="BB105" s="742"/>
      <c r="BC105" s="742"/>
      <c r="BD105" s="742"/>
      <c r="BE105" s="742"/>
      <c r="BF105" s="742"/>
      <c r="BG105" s="742"/>
      <c r="BH105" s="742"/>
      <c r="BI105" s="742"/>
      <c r="BJ105" s="742"/>
      <c r="BK105" s="742"/>
    </row>
    <row r="106" spans="1:63" ht="11.25" customHeight="1">
      <c r="A106" s="614"/>
      <c r="B106" s="662"/>
      <c r="C106" s="672" t="s">
        <v>260</v>
      </c>
      <c r="D106" s="1182">
        <v>51</v>
      </c>
      <c r="E106" s="1174">
        <v>51</v>
      </c>
      <c r="F106" s="1177">
        <v>0</v>
      </c>
      <c r="G106" s="1173">
        <v>36</v>
      </c>
      <c r="H106" s="1184">
        <v>3</v>
      </c>
      <c r="I106" s="1176">
        <v>3</v>
      </c>
      <c r="J106" s="1177">
        <v>0</v>
      </c>
      <c r="K106" s="1178">
        <v>3</v>
      </c>
      <c r="L106" s="742"/>
      <c r="M106" s="742"/>
      <c r="N106" s="742"/>
      <c r="O106" s="742"/>
      <c r="P106" s="742"/>
      <c r="Q106" s="742"/>
      <c r="R106" s="742"/>
      <c r="S106" s="742"/>
      <c r="T106" s="742"/>
      <c r="U106" s="742"/>
      <c r="V106" s="742"/>
      <c r="W106" s="742"/>
      <c r="X106" s="742"/>
      <c r="Y106" s="742"/>
      <c r="Z106" s="742"/>
      <c r="AA106" s="742"/>
      <c r="AB106" s="742"/>
      <c r="AC106" s="742"/>
      <c r="AD106" s="742"/>
      <c r="AE106" s="742"/>
      <c r="AF106" s="742"/>
      <c r="AG106" s="742"/>
      <c r="AH106" s="742"/>
      <c r="AI106" s="742"/>
      <c r="AJ106" s="742"/>
      <c r="AK106" s="742"/>
      <c r="AL106" s="742"/>
      <c r="AM106" s="742"/>
      <c r="AN106" s="742"/>
      <c r="AO106" s="742"/>
      <c r="AP106" s="742"/>
      <c r="AQ106" s="742"/>
      <c r="AR106" s="742"/>
      <c r="AS106" s="742"/>
      <c r="AT106" s="742"/>
      <c r="AU106" s="742"/>
      <c r="AV106" s="742"/>
      <c r="AW106" s="742"/>
      <c r="AX106" s="742"/>
      <c r="AY106" s="742"/>
      <c r="AZ106" s="742"/>
      <c r="BA106" s="742"/>
      <c r="BB106" s="742"/>
      <c r="BC106" s="742"/>
      <c r="BD106" s="742"/>
      <c r="BE106" s="742"/>
      <c r="BF106" s="742"/>
      <c r="BG106" s="742"/>
      <c r="BH106" s="742"/>
      <c r="BI106" s="742"/>
      <c r="BJ106" s="742"/>
      <c r="BK106" s="742"/>
    </row>
    <row r="107" spans="1:63" ht="11.25" customHeight="1">
      <c r="A107" s="614"/>
      <c r="B107" s="662"/>
      <c r="C107" s="672" t="s">
        <v>242</v>
      </c>
      <c r="D107" s="1182">
        <v>12</v>
      </c>
      <c r="E107" s="1174">
        <v>6</v>
      </c>
      <c r="F107" s="1175">
        <v>6</v>
      </c>
      <c r="G107" s="1173">
        <v>12</v>
      </c>
      <c r="H107" s="1184">
        <v>0</v>
      </c>
      <c r="I107" s="1176">
        <v>0</v>
      </c>
      <c r="J107" s="1177">
        <v>0</v>
      </c>
      <c r="K107" s="1178">
        <v>0</v>
      </c>
      <c r="L107" s="742"/>
      <c r="M107" s="742"/>
      <c r="N107" s="742"/>
      <c r="O107" s="742"/>
      <c r="P107" s="742"/>
      <c r="Q107" s="742"/>
      <c r="R107" s="742"/>
      <c r="S107" s="742"/>
      <c r="T107" s="742"/>
      <c r="U107" s="742"/>
      <c r="V107" s="742"/>
      <c r="W107" s="742"/>
      <c r="X107" s="742"/>
      <c r="Y107" s="742"/>
      <c r="Z107" s="742"/>
      <c r="AA107" s="742"/>
      <c r="AB107" s="742"/>
      <c r="AC107" s="742"/>
      <c r="AD107" s="742"/>
      <c r="AE107" s="742"/>
      <c r="AF107" s="742"/>
      <c r="AG107" s="742"/>
      <c r="AH107" s="742"/>
      <c r="AI107" s="742"/>
      <c r="AJ107" s="742"/>
      <c r="AK107" s="742"/>
      <c r="AL107" s="742"/>
      <c r="AM107" s="742"/>
      <c r="AN107" s="742"/>
      <c r="AO107" s="742"/>
      <c r="AP107" s="742"/>
      <c r="AQ107" s="742"/>
      <c r="AR107" s="742"/>
      <c r="AS107" s="742"/>
      <c r="AT107" s="742"/>
      <c r="AU107" s="742"/>
      <c r="AV107" s="742"/>
      <c r="AW107" s="742"/>
      <c r="AX107" s="742"/>
      <c r="AY107" s="742"/>
      <c r="AZ107" s="742"/>
      <c r="BA107" s="742"/>
      <c r="BB107" s="742"/>
      <c r="BC107" s="742"/>
      <c r="BD107" s="742"/>
      <c r="BE107" s="742"/>
      <c r="BF107" s="742"/>
      <c r="BG107" s="742"/>
      <c r="BH107" s="742"/>
      <c r="BI107" s="742"/>
      <c r="BJ107" s="742"/>
      <c r="BK107" s="742"/>
    </row>
    <row r="108" spans="1:63" ht="11.25" customHeight="1">
      <c r="A108" s="614"/>
      <c r="B108" s="662"/>
      <c r="C108" s="672" t="s">
        <v>261</v>
      </c>
      <c r="D108" s="1182">
        <v>9</v>
      </c>
      <c r="E108" s="1174">
        <v>9</v>
      </c>
      <c r="F108" s="1175">
        <v>0</v>
      </c>
      <c r="G108" s="1173">
        <v>9</v>
      </c>
      <c r="H108" s="1184">
        <v>0</v>
      </c>
      <c r="I108" s="1176">
        <v>0</v>
      </c>
      <c r="J108" s="1177">
        <v>0</v>
      </c>
      <c r="K108" s="1178">
        <v>0</v>
      </c>
      <c r="L108" s="742"/>
      <c r="M108" s="742"/>
      <c r="N108" s="742"/>
      <c r="O108" s="742"/>
      <c r="P108" s="742"/>
      <c r="Q108" s="742"/>
      <c r="R108" s="742"/>
      <c r="S108" s="742"/>
      <c r="T108" s="742"/>
      <c r="U108" s="742"/>
      <c r="V108" s="742"/>
      <c r="W108" s="742"/>
      <c r="X108" s="742"/>
      <c r="Y108" s="742"/>
      <c r="Z108" s="742"/>
      <c r="AA108" s="742"/>
      <c r="AB108" s="742"/>
      <c r="AC108" s="742"/>
      <c r="AD108" s="742"/>
      <c r="AE108" s="742"/>
      <c r="AF108" s="742"/>
      <c r="AG108" s="742"/>
      <c r="AH108" s="742"/>
      <c r="AI108" s="742"/>
      <c r="AJ108" s="742"/>
      <c r="AK108" s="742"/>
      <c r="AL108" s="742"/>
      <c r="AM108" s="742"/>
      <c r="AN108" s="742"/>
      <c r="AO108" s="742"/>
      <c r="AP108" s="742"/>
      <c r="AQ108" s="742"/>
      <c r="AR108" s="742"/>
      <c r="AS108" s="742"/>
      <c r="AT108" s="742"/>
      <c r="AU108" s="742"/>
      <c r="AV108" s="742"/>
      <c r="AW108" s="742"/>
      <c r="AX108" s="742"/>
      <c r="AY108" s="742"/>
      <c r="AZ108" s="742"/>
      <c r="BA108" s="742"/>
      <c r="BB108" s="742"/>
      <c r="BC108" s="742"/>
      <c r="BD108" s="742"/>
      <c r="BE108" s="742"/>
      <c r="BF108" s="742"/>
      <c r="BG108" s="742"/>
      <c r="BH108" s="742"/>
      <c r="BI108" s="742"/>
      <c r="BJ108" s="742"/>
      <c r="BK108" s="742"/>
    </row>
    <row r="109" spans="1:63" ht="11.25" customHeight="1">
      <c r="A109" s="614"/>
      <c r="B109" s="662"/>
      <c r="C109" s="749" t="s">
        <v>231</v>
      </c>
      <c r="D109" s="1182">
        <v>36</v>
      </c>
      <c r="E109" s="1174">
        <v>18</v>
      </c>
      <c r="F109" s="1175">
        <v>21</v>
      </c>
      <c r="G109" s="1173">
        <v>30</v>
      </c>
      <c r="H109" s="1184">
        <v>3</v>
      </c>
      <c r="I109" s="1176">
        <v>0</v>
      </c>
      <c r="J109" s="1177">
        <v>3</v>
      </c>
      <c r="K109" s="1178">
        <v>0</v>
      </c>
      <c r="L109" s="742"/>
      <c r="M109" s="742"/>
      <c r="N109" s="742"/>
      <c r="O109" s="742"/>
      <c r="P109" s="742"/>
      <c r="Q109" s="742"/>
      <c r="R109" s="742"/>
      <c r="S109" s="742"/>
      <c r="T109" s="742"/>
      <c r="U109" s="742"/>
      <c r="V109" s="742"/>
      <c r="W109" s="742"/>
      <c r="X109" s="742"/>
      <c r="Y109" s="742"/>
      <c r="Z109" s="742"/>
      <c r="AA109" s="742"/>
      <c r="AB109" s="742"/>
      <c r="AC109" s="742"/>
      <c r="AD109" s="742"/>
      <c r="AE109" s="742"/>
      <c r="AF109" s="742"/>
      <c r="AG109" s="742"/>
      <c r="AH109" s="742"/>
      <c r="AI109" s="742"/>
      <c r="AJ109" s="742"/>
      <c r="AK109" s="742"/>
      <c r="AL109" s="742"/>
      <c r="AM109" s="742"/>
      <c r="AN109" s="742"/>
      <c r="AO109" s="742"/>
      <c r="AP109" s="742"/>
      <c r="AQ109" s="742"/>
      <c r="AR109" s="742"/>
      <c r="AS109" s="742"/>
      <c r="AT109" s="742"/>
      <c r="AU109" s="742"/>
      <c r="AV109" s="742"/>
      <c r="AW109" s="742"/>
      <c r="AX109" s="742"/>
      <c r="AY109" s="742"/>
      <c r="AZ109" s="742"/>
      <c r="BA109" s="742"/>
      <c r="BB109" s="742"/>
      <c r="BC109" s="742"/>
      <c r="BD109" s="742"/>
      <c r="BE109" s="742"/>
      <c r="BF109" s="742"/>
      <c r="BG109" s="742"/>
      <c r="BH109" s="742"/>
      <c r="BI109" s="742"/>
      <c r="BJ109" s="742"/>
      <c r="BK109" s="742"/>
    </row>
    <row r="110" spans="1:63" ht="11.25" customHeight="1">
      <c r="A110" s="614"/>
      <c r="B110" s="662"/>
      <c r="C110" s="672" t="s">
        <v>233</v>
      </c>
      <c r="D110" s="1182">
        <v>18</v>
      </c>
      <c r="E110" s="1174">
        <v>15</v>
      </c>
      <c r="F110" s="1175">
        <v>3</v>
      </c>
      <c r="G110" s="1173">
        <v>15</v>
      </c>
      <c r="H110" s="1184">
        <v>0</v>
      </c>
      <c r="I110" s="1176">
        <v>0</v>
      </c>
      <c r="J110" s="1177">
        <v>0</v>
      </c>
      <c r="K110" s="1178">
        <v>0</v>
      </c>
      <c r="L110" s="742"/>
      <c r="M110" s="742"/>
      <c r="N110" s="742"/>
      <c r="O110" s="742"/>
      <c r="P110" s="742"/>
      <c r="Q110" s="742"/>
      <c r="R110" s="742"/>
      <c r="S110" s="742"/>
      <c r="T110" s="742"/>
      <c r="U110" s="742"/>
      <c r="V110" s="742"/>
      <c r="W110" s="742"/>
      <c r="X110" s="742"/>
      <c r="Y110" s="742"/>
      <c r="Z110" s="742"/>
      <c r="AA110" s="742"/>
      <c r="AB110" s="742"/>
      <c r="AC110" s="742"/>
      <c r="AD110" s="742"/>
      <c r="AE110" s="742"/>
      <c r="AF110" s="742"/>
      <c r="AG110" s="742"/>
      <c r="AH110" s="742"/>
      <c r="AI110" s="742"/>
      <c r="AJ110" s="742"/>
      <c r="AK110" s="742"/>
      <c r="AL110" s="742"/>
      <c r="AM110" s="742"/>
      <c r="AN110" s="742"/>
      <c r="AO110" s="742"/>
      <c r="AP110" s="742"/>
      <c r="AQ110" s="742"/>
      <c r="AR110" s="742"/>
      <c r="AS110" s="742"/>
      <c r="AT110" s="742"/>
      <c r="AU110" s="742"/>
      <c r="AV110" s="742"/>
      <c r="AW110" s="742"/>
      <c r="AX110" s="742"/>
      <c r="AY110" s="742"/>
      <c r="AZ110" s="742"/>
      <c r="BA110" s="742"/>
      <c r="BB110" s="742"/>
      <c r="BC110" s="742"/>
      <c r="BD110" s="742"/>
      <c r="BE110" s="742"/>
      <c r="BF110" s="742"/>
      <c r="BG110" s="742"/>
      <c r="BH110" s="742"/>
      <c r="BI110" s="742"/>
      <c r="BJ110" s="742"/>
      <c r="BK110" s="742"/>
    </row>
    <row r="111" spans="1:63" ht="11.25" customHeight="1">
      <c r="A111" s="614"/>
      <c r="B111" s="662"/>
      <c r="C111" s="749" t="s">
        <v>234</v>
      </c>
      <c r="D111" s="1182">
        <v>0</v>
      </c>
      <c r="E111" s="1174">
        <v>0</v>
      </c>
      <c r="F111" s="1175">
        <v>0</v>
      </c>
      <c r="G111" s="1173">
        <v>0</v>
      </c>
      <c r="H111" s="1184">
        <v>0</v>
      </c>
      <c r="I111" s="1176">
        <v>0</v>
      </c>
      <c r="J111" s="1177">
        <v>0</v>
      </c>
      <c r="K111" s="1178">
        <v>0</v>
      </c>
      <c r="L111" s="742"/>
      <c r="M111" s="742"/>
      <c r="N111" s="742"/>
      <c r="O111" s="742"/>
      <c r="P111" s="742"/>
      <c r="Q111" s="742"/>
      <c r="R111" s="742"/>
      <c r="S111" s="742"/>
      <c r="T111" s="742"/>
      <c r="U111" s="742"/>
      <c r="V111" s="742"/>
      <c r="W111" s="742"/>
      <c r="X111" s="742"/>
      <c r="Y111" s="742"/>
      <c r="Z111" s="742"/>
      <c r="AA111" s="742"/>
      <c r="AB111" s="742"/>
      <c r="AC111" s="742"/>
      <c r="AD111" s="742"/>
      <c r="AE111" s="742"/>
      <c r="AF111" s="742"/>
      <c r="AG111" s="742"/>
      <c r="AH111" s="742"/>
      <c r="AI111" s="742"/>
      <c r="AJ111" s="742"/>
      <c r="AK111" s="742"/>
      <c r="AL111" s="742"/>
      <c r="AM111" s="742"/>
      <c r="AN111" s="742"/>
      <c r="AO111" s="742"/>
      <c r="AP111" s="742"/>
      <c r="AQ111" s="742"/>
      <c r="AR111" s="742"/>
      <c r="AS111" s="742"/>
      <c r="AT111" s="742"/>
      <c r="AU111" s="742"/>
      <c r="AV111" s="742"/>
      <c r="AW111" s="742"/>
      <c r="AX111" s="742"/>
      <c r="AY111" s="742"/>
      <c r="AZ111" s="742"/>
      <c r="BA111" s="742"/>
      <c r="BB111" s="742"/>
      <c r="BC111" s="742"/>
      <c r="BD111" s="742"/>
      <c r="BE111" s="742"/>
      <c r="BF111" s="742"/>
      <c r="BG111" s="742"/>
      <c r="BH111" s="742"/>
      <c r="BI111" s="742"/>
      <c r="BJ111" s="742"/>
      <c r="BK111" s="742"/>
    </row>
    <row r="112" spans="1:63" ht="11.25" customHeight="1">
      <c r="A112" s="614"/>
      <c r="B112" s="662"/>
      <c r="C112" s="672" t="s">
        <v>258</v>
      </c>
      <c r="D112" s="1182">
        <v>90</v>
      </c>
      <c r="E112" s="1174">
        <v>84</v>
      </c>
      <c r="F112" s="1175">
        <v>6</v>
      </c>
      <c r="G112" s="1173">
        <v>84</v>
      </c>
      <c r="H112" s="1184">
        <v>6</v>
      </c>
      <c r="I112" s="1176">
        <v>6</v>
      </c>
      <c r="J112" s="1177">
        <v>0</v>
      </c>
      <c r="K112" s="1178">
        <v>6</v>
      </c>
      <c r="L112" s="742"/>
      <c r="M112" s="742"/>
      <c r="N112" s="742"/>
      <c r="O112" s="742"/>
      <c r="P112" s="742"/>
      <c r="Q112" s="742"/>
      <c r="R112" s="742"/>
      <c r="S112" s="742"/>
      <c r="T112" s="742"/>
      <c r="U112" s="742"/>
      <c r="V112" s="742"/>
      <c r="W112" s="742"/>
      <c r="X112" s="742"/>
      <c r="Y112" s="742"/>
      <c r="Z112" s="742"/>
      <c r="AA112" s="742"/>
      <c r="AB112" s="742"/>
      <c r="AC112" s="742"/>
      <c r="AD112" s="742"/>
      <c r="AE112" s="742"/>
      <c r="AF112" s="742"/>
      <c r="AG112" s="742"/>
      <c r="AH112" s="742"/>
      <c r="AI112" s="742"/>
      <c r="AJ112" s="742"/>
      <c r="AK112" s="742"/>
      <c r="AL112" s="742"/>
      <c r="AM112" s="742"/>
      <c r="AN112" s="742"/>
      <c r="AO112" s="742"/>
      <c r="AP112" s="742"/>
      <c r="AQ112" s="742"/>
      <c r="AR112" s="742"/>
      <c r="AS112" s="742"/>
      <c r="AT112" s="742"/>
      <c r="AU112" s="742"/>
      <c r="AV112" s="742"/>
      <c r="AW112" s="742"/>
      <c r="AX112" s="742"/>
      <c r="AY112" s="742"/>
      <c r="AZ112" s="742"/>
      <c r="BA112" s="742"/>
      <c r="BB112" s="742"/>
      <c r="BC112" s="742"/>
      <c r="BD112" s="742"/>
      <c r="BE112" s="742"/>
      <c r="BF112" s="742"/>
      <c r="BG112" s="742"/>
      <c r="BH112" s="742"/>
      <c r="BI112" s="742"/>
      <c r="BJ112" s="742"/>
      <c r="BK112" s="742"/>
    </row>
    <row r="113" spans="1:63" ht="11.25" customHeight="1">
      <c r="A113" s="614"/>
      <c r="B113" s="662"/>
      <c r="C113" s="672" t="s">
        <v>236</v>
      </c>
      <c r="D113" s="1182">
        <v>3</v>
      </c>
      <c r="E113" s="1176">
        <v>3</v>
      </c>
      <c r="F113" s="1175">
        <v>0</v>
      </c>
      <c r="G113" s="1173">
        <v>3</v>
      </c>
      <c r="H113" s="1184">
        <v>0</v>
      </c>
      <c r="I113" s="1176">
        <v>0</v>
      </c>
      <c r="J113" s="1177">
        <v>0</v>
      </c>
      <c r="K113" s="1178">
        <v>0</v>
      </c>
      <c r="L113" s="742"/>
      <c r="M113" s="742"/>
      <c r="N113" s="742"/>
      <c r="O113" s="742"/>
      <c r="P113" s="742"/>
      <c r="Q113" s="742"/>
      <c r="R113" s="742"/>
      <c r="S113" s="742"/>
      <c r="T113" s="742"/>
      <c r="U113" s="742"/>
      <c r="V113" s="742"/>
      <c r="W113" s="742"/>
      <c r="X113" s="742"/>
      <c r="Y113" s="742"/>
      <c r="Z113" s="742"/>
      <c r="AA113" s="742"/>
      <c r="AB113" s="742"/>
      <c r="AC113" s="742"/>
      <c r="AD113" s="742"/>
      <c r="AE113" s="742"/>
      <c r="AF113" s="742"/>
      <c r="AG113" s="742"/>
      <c r="AH113" s="742"/>
      <c r="AI113" s="742"/>
      <c r="AJ113" s="742"/>
      <c r="AK113" s="742"/>
      <c r="AL113" s="742"/>
      <c r="AM113" s="742"/>
      <c r="AN113" s="742"/>
      <c r="AO113" s="742"/>
      <c r="AP113" s="742"/>
      <c r="AQ113" s="742"/>
      <c r="AR113" s="742"/>
      <c r="AS113" s="742"/>
      <c r="AT113" s="742"/>
      <c r="AU113" s="742"/>
      <c r="AV113" s="742"/>
      <c r="AW113" s="742"/>
      <c r="AX113" s="742"/>
      <c r="AY113" s="742"/>
      <c r="AZ113" s="742"/>
      <c r="BA113" s="742"/>
      <c r="BB113" s="742"/>
      <c r="BC113" s="742"/>
      <c r="BD113" s="742"/>
      <c r="BE113" s="742"/>
      <c r="BF113" s="742"/>
      <c r="BG113" s="742"/>
      <c r="BH113" s="742"/>
      <c r="BI113" s="742"/>
      <c r="BJ113" s="742"/>
      <c r="BK113" s="742"/>
    </row>
    <row r="114" spans="1:63" ht="11.25" customHeight="1">
      <c r="A114" s="614"/>
      <c r="B114" s="662"/>
      <c r="C114" s="672" t="s">
        <v>232</v>
      </c>
      <c r="D114" s="1182">
        <v>0</v>
      </c>
      <c r="E114" s="1174">
        <v>0</v>
      </c>
      <c r="F114" s="1175">
        <v>0</v>
      </c>
      <c r="G114" s="1173">
        <v>0</v>
      </c>
      <c r="H114" s="1184">
        <v>0</v>
      </c>
      <c r="I114" s="1176">
        <v>0</v>
      </c>
      <c r="J114" s="1177">
        <v>0</v>
      </c>
      <c r="K114" s="1178">
        <v>0</v>
      </c>
      <c r="L114" s="742"/>
      <c r="M114" s="742"/>
      <c r="N114" s="742"/>
      <c r="O114" s="742"/>
      <c r="P114" s="742"/>
      <c r="Q114" s="742"/>
      <c r="R114" s="742"/>
      <c r="S114" s="742"/>
      <c r="T114" s="742"/>
      <c r="U114" s="742"/>
      <c r="V114" s="742"/>
      <c r="W114" s="742"/>
      <c r="X114" s="742"/>
      <c r="Y114" s="742"/>
      <c r="Z114" s="742"/>
      <c r="AA114" s="742"/>
      <c r="AB114" s="742"/>
      <c r="AC114" s="742"/>
      <c r="AD114" s="742"/>
      <c r="AE114" s="742"/>
      <c r="AF114" s="742"/>
      <c r="AG114" s="742"/>
      <c r="AH114" s="742"/>
      <c r="AI114" s="742"/>
      <c r="AJ114" s="742"/>
      <c r="AK114" s="742"/>
      <c r="AL114" s="742"/>
      <c r="AM114" s="742"/>
      <c r="AN114" s="742"/>
      <c r="AO114" s="742"/>
      <c r="AP114" s="742"/>
      <c r="AQ114" s="742"/>
      <c r="AR114" s="742"/>
      <c r="AS114" s="742"/>
      <c r="AT114" s="742"/>
      <c r="AU114" s="742"/>
      <c r="AV114" s="742"/>
      <c r="AW114" s="742"/>
      <c r="AX114" s="742"/>
      <c r="AY114" s="742"/>
      <c r="AZ114" s="742"/>
      <c r="BA114" s="742"/>
      <c r="BB114" s="742"/>
      <c r="BC114" s="742"/>
      <c r="BD114" s="742"/>
      <c r="BE114" s="742"/>
      <c r="BF114" s="742"/>
      <c r="BG114" s="742"/>
      <c r="BH114" s="742"/>
      <c r="BI114" s="742"/>
      <c r="BJ114" s="742"/>
      <c r="BK114" s="742"/>
    </row>
    <row r="115" spans="1:63" ht="11.25" customHeight="1">
      <c r="A115" s="614"/>
      <c r="B115" s="662"/>
      <c r="C115" s="672" t="s">
        <v>240</v>
      </c>
      <c r="D115" s="1182">
        <v>21</v>
      </c>
      <c r="E115" s="1174">
        <v>18</v>
      </c>
      <c r="F115" s="1177">
        <v>3</v>
      </c>
      <c r="G115" s="1173">
        <v>21</v>
      </c>
      <c r="H115" s="1184">
        <v>15</v>
      </c>
      <c r="I115" s="1176">
        <v>15</v>
      </c>
      <c r="J115" s="1177">
        <v>3</v>
      </c>
      <c r="K115" s="1178">
        <v>15</v>
      </c>
      <c r="L115" s="742"/>
      <c r="M115" s="742"/>
      <c r="N115" s="742"/>
      <c r="O115" s="742"/>
      <c r="P115" s="742"/>
      <c r="Q115" s="742"/>
      <c r="R115" s="742"/>
      <c r="S115" s="742"/>
      <c r="T115" s="742"/>
      <c r="U115" s="742"/>
      <c r="V115" s="742"/>
      <c r="W115" s="742"/>
      <c r="X115" s="742"/>
      <c r="Y115" s="742"/>
      <c r="Z115" s="742"/>
      <c r="AA115" s="742"/>
      <c r="AB115" s="742"/>
      <c r="AC115" s="742"/>
      <c r="AD115" s="742"/>
      <c r="AE115" s="742"/>
      <c r="AF115" s="742"/>
      <c r="AG115" s="742"/>
      <c r="AH115" s="742"/>
      <c r="AI115" s="742"/>
      <c r="AJ115" s="742"/>
      <c r="AK115" s="742"/>
      <c r="AL115" s="742"/>
      <c r="AM115" s="742"/>
      <c r="AN115" s="742"/>
      <c r="AO115" s="742"/>
      <c r="AP115" s="742"/>
      <c r="AQ115" s="742"/>
      <c r="AR115" s="742"/>
      <c r="AS115" s="742"/>
      <c r="AT115" s="742"/>
      <c r="AU115" s="742"/>
      <c r="AV115" s="742"/>
      <c r="AW115" s="742"/>
      <c r="AX115" s="742"/>
      <c r="AY115" s="742"/>
      <c r="AZ115" s="742"/>
      <c r="BA115" s="742"/>
      <c r="BB115" s="742"/>
      <c r="BC115" s="742"/>
      <c r="BD115" s="742"/>
      <c r="BE115" s="742"/>
      <c r="BF115" s="742"/>
      <c r="BG115" s="742"/>
      <c r="BH115" s="742"/>
      <c r="BI115" s="742"/>
      <c r="BJ115" s="742"/>
      <c r="BK115" s="742"/>
    </row>
    <row r="116" spans="1:63" ht="11.25" customHeight="1">
      <c r="A116" s="614"/>
      <c r="B116" s="662"/>
      <c r="C116" s="749" t="s">
        <v>241</v>
      </c>
      <c r="D116" s="1182">
        <v>24</v>
      </c>
      <c r="E116" s="1174">
        <v>3</v>
      </c>
      <c r="F116" s="1175">
        <v>18</v>
      </c>
      <c r="G116" s="1173">
        <v>24</v>
      </c>
      <c r="H116" s="1184">
        <v>0</v>
      </c>
      <c r="I116" s="1176">
        <v>0</v>
      </c>
      <c r="J116" s="1177">
        <v>0</v>
      </c>
      <c r="K116" s="1178">
        <v>0</v>
      </c>
      <c r="L116" s="742"/>
      <c r="M116" s="742"/>
      <c r="N116" s="742"/>
      <c r="O116" s="742"/>
      <c r="P116" s="742"/>
      <c r="Q116" s="742"/>
      <c r="R116" s="742"/>
      <c r="S116" s="742"/>
      <c r="T116" s="742"/>
      <c r="U116" s="742"/>
      <c r="V116" s="742"/>
      <c r="W116" s="742"/>
      <c r="X116" s="742"/>
      <c r="Y116" s="742"/>
      <c r="Z116" s="742"/>
      <c r="AA116" s="742"/>
      <c r="AB116" s="742"/>
      <c r="AC116" s="742"/>
      <c r="AD116" s="742"/>
      <c r="AE116" s="742"/>
      <c r="AF116" s="742"/>
      <c r="AG116" s="742"/>
      <c r="AH116" s="742"/>
      <c r="AI116" s="742"/>
      <c r="AJ116" s="742"/>
      <c r="AK116" s="742"/>
      <c r="AL116" s="742"/>
      <c r="AM116" s="742"/>
      <c r="AN116" s="742"/>
      <c r="AO116" s="742"/>
      <c r="AP116" s="742"/>
      <c r="AQ116" s="742"/>
      <c r="AR116" s="742"/>
      <c r="AS116" s="742"/>
      <c r="AT116" s="742"/>
      <c r="AU116" s="742"/>
      <c r="AV116" s="742"/>
      <c r="AW116" s="742"/>
      <c r="AX116" s="742"/>
      <c r="AY116" s="742"/>
      <c r="AZ116" s="742"/>
      <c r="BA116" s="742"/>
      <c r="BB116" s="742"/>
      <c r="BC116" s="742"/>
      <c r="BD116" s="742"/>
      <c r="BE116" s="742"/>
      <c r="BF116" s="742"/>
      <c r="BG116" s="742"/>
      <c r="BH116" s="742"/>
      <c r="BI116" s="742"/>
      <c r="BJ116" s="742"/>
      <c r="BK116" s="742"/>
    </row>
    <row r="117" spans="1:63" ht="11.25" customHeight="1">
      <c r="A117" s="614"/>
      <c r="B117" s="662"/>
      <c r="C117" s="749" t="s">
        <v>237</v>
      </c>
      <c r="D117" s="1182">
        <v>36</v>
      </c>
      <c r="E117" s="1176">
        <v>0</v>
      </c>
      <c r="F117" s="1175">
        <v>36</v>
      </c>
      <c r="G117" s="1173">
        <v>33</v>
      </c>
      <c r="H117" s="1184">
        <v>3</v>
      </c>
      <c r="I117" s="1176">
        <v>0</v>
      </c>
      <c r="J117" s="1177">
        <v>3</v>
      </c>
      <c r="K117" s="1178">
        <v>3</v>
      </c>
      <c r="L117" s="742"/>
      <c r="M117" s="742"/>
      <c r="N117" s="742"/>
      <c r="O117" s="742"/>
      <c r="P117" s="742"/>
      <c r="Q117" s="742"/>
      <c r="R117" s="742"/>
      <c r="S117" s="742"/>
      <c r="T117" s="742"/>
      <c r="U117" s="742"/>
      <c r="V117" s="742"/>
      <c r="W117" s="742"/>
      <c r="X117" s="742"/>
      <c r="Y117" s="742"/>
      <c r="Z117" s="742"/>
      <c r="AA117" s="742"/>
      <c r="AB117" s="742"/>
      <c r="AC117" s="742"/>
      <c r="AD117" s="742"/>
      <c r="AE117" s="742"/>
      <c r="AF117" s="742"/>
      <c r="AG117" s="742"/>
      <c r="AH117" s="742"/>
      <c r="AI117" s="742"/>
      <c r="AJ117" s="742"/>
      <c r="AK117" s="742"/>
      <c r="AL117" s="742"/>
      <c r="AM117" s="742"/>
      <c r="AN117" s="742"/>
      <c r="AO117" s="742"/>
      <c r="AP117" s="742"/>
      <c r="AQ117" s="742"/>
      <c r="AR117" s="742"/>
      <c r="AS117" s="742"/>
      <c r="AT117" s="742"/>
      <c r="AU117" s="742"/>
      <c r="AV117" s="742"/>
      <c r="AW117" s="742"/>
      <c r="AX117" s="742"/>
      <c r="AY117" s="742"/>
      <c r="AZ117" s="742"/>
      <c r="BA117" s="742"/>
      <c r="BB117" s="742"/>
      <c r="BC117" s="742"/>
      <c r="BD117" s="742"/>
      <c r="BE117" s="742"/>
      <c r="BF117" s="742"/>
      <c r="BG117" s="742"/>
      <c r="BH117" s="742"/>
      <c r="BI117" s="742"/>
      <c r="BJ117" s="742"/>
      <c r="BK117" s="742"/>
    </row>
    <row r="118" spans="1:63" ht="3.75" customHeight="1" thickBot="1">
      <c r="A118" s="757"/>
      <c r="B118" s="758"/>
      <c r="C118" s="765"/>
      <c r="D118" s="759"/>
      <c r="E118" s="762"/>
      <c r="F118" s="761"/>
      <c r="G118" s="759"/>
      <c r="H118" s="761"/>
      <c r="I118" s="760"/>
      <c r="J118" s="762"/>
      <c r="K118" s="763"/>
      <c r="L118" s="742"/>
      <c r="M118" s="742"/>
      <c r="N118" s="742"/>
      <c r="O118" s="742"/>
      <c r="P118" s="742"/>
      <c r="Q118" s="742"/>
      <c r="R118" s="742"/>
      <c r="S118" s="742"/>
      <c r="T118" s="742"/>
      <c r="U118" s="742"/>
      <c r="V118" s="742"/>
      <c r="W118" s="742"/>
      <c r="X118" s="742"/>
      <c r="Y118" s="742"/>
      <c r="Z118" s="742"/>
      <c r="AA118" s="742"/>
      <c r="AB118" s="742"/>
      <c r="AC118" s="742"/>
      <c r="AD118" s="742"/>
      <c r="AE118" s="742"/>
      <c r="AF118" s="742"/>
      <c r="AG118" s="742"/>
      <c r="AH118" s="742"/>
      <c r="AI118" s="742"/>
      <c r="AJ118" s="742"/>
      <c r="AK118" s="742"/>
      <c r="AL118" s="742"/>
      <c r="AM118" s="742"/>
      <c r="AN118" s="742"/>
      <c r="AO118" s="742"/>
      <c r="AP118" s="742"/>
      <c r="AQ118" s="742"/>
      <c r="AR118" s="742"/>
      <c r="AS118" s="742"/>
      <c r="AT118" s="742"/>
      <c r="AU118" s="742"/>
      <c r="AV118" s="742"/>
      <c r="AW118" s="742"/>
      <c r="AX118" s="742"/>
      <c r="AY118" s="742"/>
      <c r="AZ118" s="742"/>
      <c r="BA118" s="742"/>
      <c r="BB118" s="742"/>
      <c r="BC118" s="742"/>
      <c r="BD118" s="742"/>
      <c r="BE118" s="742"/>
      <c r="BF118" s="742"/>
      <c r="BG118" s="742"/>
      <c r="BH118" s="742"/>
      <c r="BI118" s="742"/>
      <c r="BJ118" s="742"/>
      <c r="BK118" s="742"/>
    </row>
    <row r="119" spans="1:63" ht="12.75" customHeight="1">
      <c r="A119" s="767"/>
      <c r="B119" s="768"/>
      <c r="C119" s="653"/>
      <c r="D119" s="676"/>
      <c r="E119" s="526"/>
      <c r="F119" s="526"/>
      <c r="G119" s="676"/>
      <c r="H119" s="526"/>
      <c r="I119" s="526"/>
      <c r="J119" s="526"/>
      <c r="K119" s="526"/>
      <c r="L119" s="742"/>
      <c r="M119" s="742"/>
      <c r="N119" s="742"/>
      <c r="O119" s="742"/>
      <c r="P119" s="742"/>
      <c r="Q119" s="742"/>
      <c r="R119" s="742"/>
      <c r="S119" s="742"/>
      <c r="T119" s="742"/>
      <c r="U119" s="742"/>
      <c r="V119" s="742"/>
      <c r="W119" s="742"/>
      <c r="X119" s="742"/>
      <c r="Y119" s="742"/>
      <c r="Z119" s="742"/>
      <c r="AA119" s="742"/>
      <c r="AB119" s="742"/>
      <c r="AC119" s="742"/>
      <c r="AD119" s="742"/>
      <c r="AE119" s="742"/>
      <c r="AF119" s="742"/>
      <c r="AG119" s="742"/>
      <c r="AH119" s="742"/>
      <c r="AI119" s="742"/>
      <c r="AJ119" s="742"/>
      <c r="AK119" s="742"/>
      <c r="AL119" s="742"/>
      <c r="AM119" s="742"/>
      <c r="AN119" s="742"/>
      <c r="AO119" s="742"/>
      <c r="AP119" s="742"/>
      <c r="AQ119" s="742"/>
      <c r="AR119" s="742"/>
      <c r="AS119" s="742"/>
      <c r="AT119" s="742"/>
      <c r="AU119" s="742"/>
      <c r="AV119" s="742"/>
      <c r="AW119" s="742"/>
      <c r="AX119" s="742"/>
      <c r="AY119" s="742"/>
      <c r="AZ119" s="742"/>
      <c r="BA119" s="742"/>
      <c r="BB119" s="742"/>
      <c r="BC119" s="742"/>
      <c r="BD119" s="742"/>
      <c r="BE119" s="742"/>
      <c r="BF119" s="742"/>
      <c r="BG119" s="742"/>
      <c r="BH119" s="742"/>
      <c r="BI119" s="742"/>
      <c r="BJ119" s="742"/>
      <c r="BK119" s="742"/>
    </row>
    <row r="120" spans="1:63" ht="12.75" customHeight="1">
      <c r="A120" s="1708" t="s">
        <v>213</v>
      </c>
      <c r="B120" s="1708"/>
      <c r="C120" s="1708"/>
      <c r="D120" s="1709"/>
      <c r="E120" s="1017" t="s">
        <v>266</v>
      </c>
      <c r="F120" s="987"/>
      <c r="G120" s="987"/>
      <c r="H120" s="987"/>
      <c r="K120" s="534"/>
      <c r="L120" s="742"/>
      <c r="M120" s="742"/>
      <c r="N120" s="742"/>
      <c r="O120" s="742"/>
      <c r="P120" s="742"/>
      <c r="Q120" s="742"/>
      <c r="R120" s="742"/>
      <c r="S120" s="742"/>
      <c r="T120" s="742"/>
      <c r="U120" s="742"/>
      <c r="V120" s="742"/>
      <c r="W120" s="742"/>
      <c r="X120" s="742"/>
      <c r="Y120" s="742"/>
      <c r="Z120" s="742"/>
      <c r="AA120" s="742"/>
      <c r="AB120" s="742"/>
      <c r="AC120" s="742"/>
      <c r="AD120" s="742"/>
      <c r="AE120" s="742"/>
      <c r="AF120" s="742"/>
      <c r="AG120" s="742"/>
      <c r="AH120" s="742"/>
      <c r="AI120" s="742"/>
      <c r="AJ120" s="742"/>
      <c r="AK120" s="742"/>
      <c r="AL120" s="742"/>
      <c r="AM120" s="742"/>
      <c r="AN120" s="742"/>
      <c r="AO120" s="742"/>
      <c r="AP120" s="742"/>
      <c r="AQ120" s="742"/>
      <c r="AR120" s="742"/>
      <c r="AS120" s="742"/>
      <c r="AT120" s="742"/>
      <c r="AU120" s="742"/>
      <c r="AV120" s="742"/>
      <c r="AW120" s="742"/>
      <c r="AX120" s="742"/>
      <c r="AY120" s="742"/>
      <c r="AZ120" s="742"/>
      <c r="BA120" s="742"/>
      <c r="BB120" s="742"/>
      <c r="BC120" s="742"/>
      <c r="BD120" s="742"/>
      <c r="BE120" s="742"/>
      <c r="BF120" s="742"/>
      <c r="BG120" s="742"/>
      <c r="BH120" s="742"/>
      <c r="BI120" s="742"/>
      <c r="BJ120" s="742"/>
      <c r="BK120" s="742"/>
    </row>
    <row r="121" spans="1:63" ht="12.75" customHeight="1">
      <c r="A121" s="653"/>
      <c r="B121" s="653"/>
      <c r="C121" s="645"/>
      <c r="D121" s="645"/>
      <c r="E121" s="645"/>
      <c r="F121" s="645"/>
      <c r="G121" s="645"/>
      <c r="K121" s="743"/>
      <c r="L121" s="742"/>
      <c r="M121" s="742"/>
      <c r="N121" s="742"/>
      <c r="O121" s="742"/>
      <c r="P121" s="742"/>
      <c r="Q121" s="742"/>
      <c r="R121" s="742"/>
      <c r="S121" s="742"/>
      <c r="T121" s="742"/>
      <c r="U121" s="742"/>
      <c r="V121" s="742"/>
      <c r="W121" s="742"/>
      <c r="X121" s="742"/>
      <c r="Y121" s="742"/>
      <c r="Z121" s="742"/>
      <c r="AA121" s="742"/>
      <c r="AB121" s="742"/>
      <c r="AC121" s="742"/>
      <c r="AD121" s="742"/>
      <c r="AE121" s="742"/>
      <c r="AF121" s="742"/>
      <c r="AG121" s="742"/>
      <c r="AH121" s="742"/>
      <c r="AI121" s="742"/>
      <c r="AJ121" s="742"/>
      <c r="AK121" s="742"/>
      <c r="AL121" s="742"/>
      <c r="AM121" s="742"/>
      <c r="AN121" s="742"/>
      <c r="AO121" s="742"/>
      <c r="AP121" s="742"/>
      <c r="AQ121" s="742"/>
      <c r="AR121" s="742"/>
      <c r="AS121" s="742"/>
      <c r="AT121" s="742"/>
      <c r="AU121" s="742"/>
      <c r="AV121" s="742"/>
      <c r="AW121" s="742"/>
      <c r="AX121" s="742"/>
      <c r="AY121" s="742"/>
      <c r="AZ121" s="742"/>
      <c r="BA121" s="742"/>
      <c r="BB121" s="742"/>
      <c r="BC121" s="742"/>
      <c r="BD121" s="742"/>
      <c r="BE121" s="742"/>
      <c r="BF121" s="742"/>
      <c r="BG121" s="742"/>
      <c r="BH121" s="742"/>
      <c r="BI121" s="742"/>
      <c r="BJ121" s="742"/>
      <c r="BK121" s="742"/>
    </row>
    <row r="122" spans="1:63" ht="12.75" customHeight="1">
      <c r="A122" s="1710" t="s">
        <v>369</v>
      </c>
      <c r="B122" s="1710"/>
      <c r="C122" s="1710"/>
      <c r="D122" s="1710"/>
      <c r="E122" s="1710"/>
      <c r="F122" s="1710"/>
      <c r="G122" s="1710"/>
      <c r="H122" s="1710"/>
      <c r="I122" s="1710"/>
      <c r="J122" s="1710"/>
      <c r="K122" s="1710"/>
      <c r="L122" s="742"/>
      <c r="M122" s="742"/>
      <c r="N122" s="742"/>
      <c r="O122" s="742"/>
      <c r="P122" s="742"/>
      <c r="Q122" s="742"/>
      <c r="R122" s="742"/>
      <c r="S122" s="742"/>
      <c r="T122" s="742"/>
      <c r="U122" s="742"/>
      <c r="V122" s="742"/>
      <c r="W122" s="742"/>
      <c r="X122" s="742"/>
      <c r="Y122" s="742"/>
      <c r="Z122" s="742"/>
      <c r="AA122" s="742"/>
      <c r="AB122" s="742"/>
      <c r="AC122" s="742"/>
      <c r="AD122" s="742"/>
      <c r="AE122" s="742"/>
      <c r="AF122" s="742"/>
      <c r="AG122" s="742"/>
      <c r="AH122" s="742"/>
      <c r="AI122" s="742"/>
      <c r="AJ122" s="742"/>
      <c r="AK122" s="742"/>
      <c r="AL122" s="742"/>
      <c r="AM122" s="742"/>
      <c r="AN122" s="742"/>
      <c r="AO122" s="742"/>
      <c r="AP122" s="742"/>
      <c r="AQ122" s="742"/>
      <c r="AR122" s="742"/>
      <c r="AS122" s="742"/>
      <c r="AT122" s="742"/>
      <c r="AU122" s="742"/>
      <c r="AV122" s="742"/>
      <c r="AW122" s="742"/>
      <c r="AX122" s="742"/>
      <c r="AY122" s="742"/>
      <c r="AZ122" s="742"/>
      <c r="BA122" s="742"/>
      <c r="BB122" s="742"/>
      <c r="BC122" s="742"/>
      <c r="BD122" s="742"/>
      <c r="BE122" s="742"/>
      <c r="BF122" s="742"/>
      <c r="BG122" s="742"/>
      <c r="BH122" s="742"/>
      <c r="BI122" s="742"/>
      <c r="BJ122" s="742"/>
      <c r="BK122" s="742"/>
    </row>
    <row r="123" spans="1:63" ht="11.25" customHeight="1" thickBot="1">
      <c r="A123" s="1035"/>
      <c r="B123" s="1035"/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742"/>
      <c r="M123" s="742"/>
      <c r="N123" s="742"/>
      <c r="O123" s="742"/>
      <c r="P123" s="742"/>
      <c r="Q123" s="742"/>
      <c r="R123" s="742"/>
      <c r="S123" s="742"/>
      <c r="T123" s="742"/>
      <c r="U123" s="742"/>
      <c r="V123" s="742"/>
      <c r="W123" s="742"/>
      <c r="X123" s="742"/>
      <c r="Y123" s="742"/>
      <c r="Z123" s="742"/>
      <c r="AA123" s="742"/>
      <c r="AB123" s="742"/>
      <c r="AC123" s="742"/>
      <c r="AD123" s="742"/>
      <c r="AE123" s="742"/>
      <c r="AF123" s="742"/>
      <c r="AG123" s="742"/>
      <c r="AH123" s="742"/>
      <c r="AI123" s="742"/>
      <c r="AJ123" s="742"/>
      <c r="AK123" s="742"/>
      <c r="AL123" s="742"/>
      <c r="AM123" s="742"/>
      <c r="AN123" s="742"/>
      <c r="AO123" s="742"/>
      <c r="AP123" s="742"/>
      <c r="AQ123" s="742"/>
      <c r="AR123" s="742"/>
      <c r="AS123" s="742"/>
      <c r="AT123" s="742"/>
      <c r="AU123" s="742"/>
      <c r="AV123" s="742"/>
      <c r="AW123" s="742"/>
      <c r="AX123" s="742"/>
      <c r="AY123" s="742"/>
      <c r="AZ123" s="742"/>
      <c r="BA123" s="742"/>
      <c r="BB123" s="742"/>
      <c r="BC123" s="742"/>
      <c r="BD123" s="742"/>
      <c r="BE123" s="742"/>
      <c r="BF123" s="742"/>
      <c r="BG123" s="742"/>
      <c r="BH123" s="742"/>
      <c r="BI123" s="742"/>
      <c r="BJ123" s="742"/>
      <c r="BK123" s="742"/>
    </row>
    <row r="124" spans="1:63" ht="15.75" customHeight="1">
      <c r="A124" s="1711" t="s">
        <v>43</v>
      </c>
      <c r="B124" s="1712"/>
      <c r="C124" s="744"/>
      <c r="D124" s="1715" t="s">
        <v>248</v>
      </c>
      <c r="E124" s="1716"/>
      <c r="F124" s="1716"/>
      <c r="G124" s="1716"/>
      <c r="H124" s="1716"/>
      <c r="I124" s="1716"/>
      <c r="J124" s="1716"/>
      <c r="K124" s="1717"/>
      <c r="L124" s="742"/>
      <c r="M124" s="742"/>
      <c r="N124" s="742"/>
      <c r="O124" s="742"/>
      <c r="P124" s="742"/>
      <c r="Q124" s="742"/>
      <c r="R124" s="742"/>
      <c r="S124" s="742"/>
      <c r="T124" s="742"/>
      <c r="U124" s="742"/>
      <c r="V124" s="742"/>
      <c r="W124" s="742"/>
      <c r="X124" s="742"/>
      <c r="Y124" s="742"/>
      <c r="Z124" s="742"/>
      <c r="AA124" s="742"/>
      <c r="AB124" s="742"/>
      <c r="AC124" s="742"/>
      <c r="AD124" s="742"/>
      <c r="AE124" s="742"/>
      <c r="AF124" s="742"/>
      <c r="AG124" s="742"/>
      <c r="AH124" s="742"/>
      <c r="AI124" s="742"/>
      <c r="AJ124" s="742"/>
      <c r="AK124" s="742"/>
      <c r="AL124" s="742"/>
      <c r="AM124" s="742"/>
      <c r="AN124" s="742"/>
      <c r="AO124" s="742"/>
      <c r="AP124" s="742"/>
      <c r="AQ124" s="742"/>
      <c r="AR124" s="742"/>
      <c r="AS124" s="742"/>
      <c r="AT124" s="742"/>
      <c r="AU124" s="742"/>
      <c r="AV124" s="742"/>
      <c r="AW124" s="742"/>
      <c r="AX124" s="742"/>
      <c r="AY124" s="742"/>
      <c r="AZ124" s="742"/>
      <c r="BA124" s="742"/>
      <c r="BB124" s="742"/>
      <c r="BC124" s="742"/>
      <c r="BD124" s="742"/>
      <c r="BE124" s="742"/>
      <c r="BF124" s="742"/>
      <c r="BG124" s="742"/>
      <c r="BH124" s="742"/>
      <c r="BI124" s="742"/>
      <c r="BJ124" s="742"/>
      <c r="BK124" s="742"/>
    </row>
    <row r="125" spans="1:63" ht="11.25" customHeight="1">
      <c r="A125" s="1581"/>
      <c r="B125" s="1713"/>
      <c r="C125" s="745"/>
      <c r="D125" s="1162"/>
      <c r="E125" s="1162"/>
      <c r="F125" s="1163"/>
      <c r="G125" s="1164"/>
      <c r="H125" s="1718" t="s">
        <v>192</v>
      </c>
      <c r="I125" s="1719"/>
      <c r="J125" s="1719"/>
      <c r="K125" s="1720"/>
      <c r="L125" s="742"/>
      <c r="M125" s="742"/>
      <c r="N125" s="742"/>
      <c r="O125" s="742"/>
      <c r="P125" s="742"/>
      <c r="Q125" s="742"/>
      <c r="R125" s="742"/>
      <c r="S125" s="742"/>
      <c r="T125" s="742"/>
      <c r="U125" s="742"/>
      <c r="V125" s="742"/>
      <c r="W125" s="742"/>
      <c r="X125" s="742"/>
      <c r="Y125" s="742"/>
      <c r="Z125" s="742"/>
      <c r="AA125" s="742"/>
      <c r="AB125" s="742"/>
      <c r="AC125" s="742"/>
      <c r="AD125" s="742"/>
      <c r="AE125" s="742"/>
      <c r="AF125" s="742"/>
      <c r="AG125" s="742"/>
      <c r="AH125" s="742"/>
      <c r="AI125" s="742"/>
      <c r="AJ125" s="742"/>
      <c r="AK125" s="742"/>
      <c r="AL125" s="742"/>
      <c r="AM125" s="742"/>
      <c r="AN125" s="742"/>
      <c r="AO125" s="742"/>
      <c r="AP125" s="742"/>
      <c r="AQ125" s="742"/>
      <c r="AR125" s="742"/>
      <c r="AS125" s="742"/>
      <c r="AT125" s="742"/>
      <c r="AU125" s="742"/>
      <c r="AV125" s="742"/>
      <c r="AW125" s="742"/>
      <c r="AX125" s="742"/>
      <c r="AY125" s="742"/>
      <c r="AZ125" s="742"/>
      <c r="BA125" s="742"/>
      <c r="BB125" s="742"/>
      <c r="BC125" s="742"/>
      <c r="BD125" s="742"/>
      <c r="BE125" s="742"/>
      <c r="BF125" s="742"/>
      <c r="BG125" s="742"/>
      <c r="BH125" s="742"/>
      <c r="BI125" s="742"/>
      <c r="BJ125" s="742"/>
      <c r="BK125" s="742"/>
    </row>
    <row r="126" spans="1:63" ht="11.25" customHeight="1">
      <c r="A126" s="1581"/>
      <c r="B126" s="1713"/>
      <c r="C126" s="745"/>
      <c r="D126" s="1165"/>
      <c r="E126" s="1165"/>
      <c r="F126" s="1166"/>
      <c r="G126" s="795" t="s">
        <v>5</v>
      </c>
      <c r="H126" s="1721" t="s">
        <v>209</v>
      </c>
      <c r="I126" s="1722"/>
      <c r="J126" s="1722"/>
      <c r="K126" s="1723"/>
      <c r="L126" s="742"/>
      <c r="M126" s="742"/>
      <c r="N126" s="742"/>
      <c r="O126" s="742"/>
      <c r="P126" s="742"/>
      <c r="Q126" s="742"/>
      <c r="R126" s="742"/>
      <c r="S126" s="742"/>
      <c r="T126" s="742"/>
      <c r="U126" s="742"/>
      <c r="V126" s="742"/>
      <c r="W126" s="742"/>
      <c r="X126" s="742"/>
      <c r="Y126" s="742"/>
      <c r="Z126" s="742"/>
      <c r="AA126" s="742"/>
      <c r="AB126" s="742"/>
      <c r="AC126" s="742"/>
      <c r="AD126" s="742"/>
      <c r="AE126" s="742"/>
      <c r="AF126" s="742"/>
      <c r="AG126" s="742"/>
      <c r="AH126" s="742"/>
      <c r="AI126" s="742"/>
      <c r="AJ126" s="742"/>
      <c r="AK126" s="742"/>
      <c r="AL126" s="742"/>
      <c r="AM126" s="742"/>
      <c r="AN126" s="742"/>
      <c r="AO126" s="742"/>
      <c r="AP126" s="742"/>
      <c r="AQ126" s="742"/>
      <c r="AR126" s="742"/>
      <c r="AS126" s="742"/>
      <c r="AT126" s="742"/>
      <c r="AU126" s="742"/>
      <c r="AV126" s="742"/>
      <c r="AW126" s="742"/>
      <c r="AX126" s="742"/>
      <c r="AY126" s="742"/>
      <c r="AZ126" s="742"/>
      <c r="BA126" s="742"/>
      <c r="BB126" s="742"/>
      <c r="BC126" s="742"/>
      <c r="BD126" s="742"/>
      <c r="BE126" s="742"/>
      <c r="BF126" s="742"/>
      <c r="BG126" s="742"/>
      <c r="BH126" s="742"/>
      <c r="BI126" s="742"/>
      <c r="BJ126" s="742"/>
      <c r="BK126" s="742"/>
    </row>
    <row r="127" spans="1:63" ht="11.25" customHeight="1">
      <c r="A127" s="1581"/>
      <c r="B127" s="1713"/>
      <c r="C127" s="1159"/>
      <c r="D127" s="1166"/>
      <c r="E127" s="1167"/>
      <c r="F127" s="1165"/>
      <c r="G127" s="795" t="s">
        <v>190</v>
      </c>
      <c r="H127" s="1168"/>
      <c r="I127" s="960"/>
      <c r="J127" s="960"/>
      <c r="K127" s="799" t="s">
        <v>190</v>
      </c>
      <c r="L127" s="742"/>
      <c r="M127" s="742"/>
      <c r="N127" s="742"/>
      <c r="O127" s="742"/>
      <c r="P127" s="742"/>
      <c r="Q127" s="742"/>
      <c r="R127" s="742"/>
      <c r="S127" s="742"/>
      <c r="T127" s="742"/>
      <c r="U127" s="742"/>
      <c r="V127" s="742"/>
      <c r="W127" s="742"/>
      <c r="X127" s="742"/>
      <c r="Y127" s="742"/>
      <c r="Z127" s="742"/>
      <c r="AA127" s="742"/>
      <c r="AB127" s="742"/>
      <c r="AC127" s="742"/>
      <c r="AD127" s="742"/>
      <c r="AE127" s="742"/>
      <c r="AF127" s="742"/>
      <c r="AG127" s="742"/>
      <c r="AH127" s="742"/>
      <c r="AI127" s="742"/>
      <c r="AJ127" s="742"/>
      <c r="AK127" s="742"/>
      <c r="AL127" s="742"/>
      <c r="AM127" s="742"/>
      <c r="AN127" s="742"/>
      <c r="AO127" s="742"/>
      <c r="AP127" s="742"/>
      <c r="AQ127" s="742"/>
      <c r="AR127" s="742"/>
      <c r="AS127" s="742"/>
      <c r="AT127" s="742"/>
      <c r="AU127" s="742"/>
      <c r="AV127" s="742"/>
      <c r="AW127" s="742"/>
      <c r="AX127" s="742"/>
      <c r="AY127" s="742"/>
      <c r="AZ127" s="742"/>
      <c r="BA127" s="742"/>
      <c r="BB127" s="742"/>
      <c r="BC127" s="742"/>
      <c r="BD127" s="742"/>
      <c r="BE127" s="742"/>
      <c r="BF127" s="742"/>
      <c r="BG127" s="742"/>
      <c r="BH127" s="742"/>
      <c r="BI127" s="742"/>
      <c r="BJ127" s="742"/>
      <c r="BK127" s="742"/>
    </row>
    <row r="128" spans="1:63" ht="11.25" customHeight="1">
      <c r="A128" s="1581"/>
      <c r="B128" s="1713"/>
      <c r="C128" s="1158" t="s">
        <v>189</v>
      </c>
      <c r="D128" s="1169" t="s">
        <v>19</v>
      </c>
      <c r="E128" s="782" t="s">
        <v>17</v>
      </c>
      <c r="F128" s="782" t="s">
        <v>18</v>
      </c>
      <c r="G128" s="795" t="s">
        <v>188</v>
      </c>
      <c r="H128" s="1169" t="s">
        <v>19</v>
      </c>
      <c r="I128" s="782" t="s">
        <v>17</v>
      </c>
      <c r="J128" s="782" t="s">
        <v>18</v>
      </c>
      <c r="K128" s="799" t="s">
        <v>188</v>
      </c>
      <c r="L128" s="742"/>
      <c r="M128" s="742"/>
      <c r="N128" s="742"/>
      <c r="O128" s="742"/>
      <c r="P128" s="742"/>
      <c r="Q128" s="742"/>
      <c r="R128" s="742"/>
      <c r="S128" s="742"/>
      <c r="T128" s="742"/>
      <c r="U128" s="742"/>
      <c r="V128" s="742"/>
      <c r="W128" s="742"/>
      <c r="X128" s="742"/>
      <c r="Y128" s="742"/>
      <c r="Z128" s="742"/>
      <c r="AA128" s="742"/>
      <c r="AB128" s="742"/>
      <c r="AC128" s="742"/>
      <c r="AD128" s="742"/>
      <c r="AE128" s="742"/>
      <c r="AF128" s="742"/>
      <c r="AG128" s="742"/>
      <c r="AH128" s="742"/>
      <c r="AI128" s="742"/>
      <c r="AJ128" s="742"/>
      <c r="AK128" s="742"/>
      <c r="AL128" s="742"/>
      <c r="AM128" s="742"/>
      <c r="AN128" s="742"/>
      <c r="AO128" s="742"/>
      <c r="AP128" s="742"/>
      <c r="AQ128" s="742"/>
      <c r="AR128" s="742"/>
      <c r="AS128" s="742"/>
      <c r="AT128" s="742"/>
      <c r="AU128" s="742"/>
      <c r="AV128" s="742"/>
      <c r="AW128" s="742"/>
      <c r="AX128" s="742"/>
      <c r="AY128" s="742"/>
      <c r="AZ128" s="742"/>
      <c r="BA128" s="742"/>
      <c r="BB128" s="742"/>
      <c r="BC128" s="742"/>
      <c r="BD128" s="742"/>
      <c r="BE128" s="742"/>
      <c r="BF128" s="742"/>
      <c r="BG128" s="742"/>
      <c r="BH128" s="742"/>
      <c r="BI128" s="742"/>
      <c r="BJ128" s="742"/>
      <c r="BK128" s="742"/>
    </row>
    <row r="129" spans="1:63" ht="11.25" customHeight="1">
      <c r="A129" s="1582"/>
      <c r="B129" s="1714"/>
      <c r="C129" s="766"/>
      <c r="D129" s="1171" t="s">
        <v>29</v>
      </c>
      <c r="E129" s="806" t="s">
        <v>28</v>
      </c>
      <c r="F129" s="806" t="s">
        <v>34</v>
      </c>
      <c r="G129" s="1172" t="s">
        <v>187</v>
      </c>
      <c r="H129" s="1171" t="s">
        <v>29</v>
      </c>
      <c r="I129" s="806" t="s">
        <v>28</v>
      </c>
      <c r="J129" s="806" t="s">
        <v>34</v>
      </c>
      <c r="K129" s="1170" t="s">
        <v>341</v>
      </c>
      <c r="L129" s="742"/>
      <c r="M129" s="742"/>
      <c r="N129" s="742"/>
      <c r="O129" s="742"/>
      <c r="P129" s="742"/>
      <c r="Q129" s="742"/>
      <c r="R129" s="742"/>
      <c r="S129" s="742"/>
      <c r="T129" s="742"/>
      <c r="U129" s="742"/>
      <c r="V129" s="742"/>
      <c r="W129" s="742"/>
      <c r="X129" s="742"/>
      <c r="Y129" s="742"/>
      <c r="Z129" s="742"/>
      <c r="AA129" s="742"/>
      <c r="AB129" s="742"/>
      <c r="AC129" s="742"/>
      <c r="AD129" s="742"/>
      <c r="AE129" s="742"/>
      <c r="AF129" s="742"/>
      <c r="AG129" s="742"/>
      <c r="AH129" s="742"/>
      <c r="AI129" s="742"/>
      <c r="AJ129" s="742"/>
      <c r="AK129" s="742"/>
      <c r="AL129" s="742"/>
      <c r="AM129" s="742"/>
      <c r="AN129" s="742"/>
      <c r="AO129" s="742"/>
      <c r="AP129" s="742"/>
      <c r="AQ129" s="742"/>
      <c r="AR129" s="742"/>
      <c r="AS129" s="742"/>
      <c r="AT129" s="742"/>
      <c r="AU129" s="742"/>
      <c r="AV129" s="742"/>
      <c r="AW129" s="742"/>
      <c r="AX129" s="742"/>
      <c r="AY129" s="742"/>
      <c r="AZ129" s="742"/>
      <c r="BA129" s="742"/>
      <c r="BB129" s="742"/>
      <c r="BC129" s="742"/>
      <c r="BD129" s="742"/>
      <c r="BE129" s="742"/>
      <c r="BF129" s="742"/>
      <c r="BG129" s="742"/>
      <c r="BH129" s="742"/>
      <c r="BI129" s="742"/>
      <c r="BJ129" s="742"/>
      <c r="BK129" s="742"/>
    </row>
    <row r="130" spans="1:63" ht="3.75" customHeight="1">
      <c r="A130" s="614"/>
      <c r="B130" s="662"/>
      <c r="C130" s="749"/>
      <c r="D130" s="674"/>
      <c r="E130" s="526"/>
      <c r="F130" s="573"/>
      <c r="G130" s="674"/>
      <c r="H130" s="573"/>
      <c r="I130" s="574"/>
      <c r="J130" s="526"/>
      <c r="K130" s="675"/>
      <c r="L130" s="742"/>
      <c r="M130" s="742"/>
      <c r="N130" s="742"/>
      <c r="O130" s="742"/>
      <c r="P130" s="742"/>
      <c r="Q130" s="742"/>
      <c r="R130" s="742"/>
      <c r="S130" s="742"/>
      <c r="T130" s="742"/>
      <c r="U130" s="742"/>
      <c r="V130" s="742"/>
      <c r="W130" s="742"/>
      <c r="X130" s="742"/>
      <c r="Y130" s="742"/>
      <c r="Z130" s="742"/>
      <c r="AA130" s="742"/>
      <c r="AB130" s="742"/>
      <c r="AC130" s="742"/>
      <c r="AD130" s="742"/>
      <c r="AE130" s="742"/>
      <c r="AF130" s="742"/>
      <c r="AG130" s="742"/>
      <c r="AH130" s="742"/>
      <c r="AI130" s="742"/>
      <c r="AJ130" s="742"/>
      <c r="AK130" s="742"/>
      <c r="AL130" s="742"/>
      <c r="AM130" s="742"/>
      <c r="AN130" s="742"/>
      <c r="AO130" s="742"/>
      <c r="AP130" s="742"/>
      <c r="AQ130" s="742"/>
      <c r="AR130" s="742"/>
      <c r="AS130" s="742"/>
      <c r="AT130" s="742"/>
      <c r="AU130" s="742"/>
      <c r="AV130" s="742"/>
      <c r="AW130" s="742"/>
      <c r="AX130" s="742"/>
      <c r="AY130" s="742"/>
      <c r="AZ130" s="742"/>
      <c r="BA130" s="742"/>
      <c r="BB130" s="742"/>
      <c r="BC130" s="742"/>
      <c r="BD130" s="742"/>
      <c r="BE130" s="742"/>
      <c r="BF130" s="742"/>
      <c r="BG130" s="742"/>
      <c r="BH130" s="742"/>
      <c r="BI130" s="742"/>
      <c r="BJ130" s="742"/>
      <c r="BK130" s="742"/>
    </row>
    <row r="131" spans="1:63" ht="11.25" customHeight="1">
      <c r="A131" s="614" t="s">
        <v>46</v>
      </c>
      <c r="B131" s="662"/>
      <c r="C131" s="749" t="s">
        <v>258</v>
      </c>
      <c r="D131" s="1182">
        <v>12</v>
      </c>
      <c r="E131" s="1174">
        <v>12</v>
      </c>
      <c r="F131" s="1177">
        <v>0</v>
      </c>
      <c r="G131" s="1173">
        <v>12</v>
      </c>
      <c r="H131" s="1184">
        <v>0</v>
      </c>
      <c r="I131" s="1176">
        <v>0</v>
      </c>
      <c r="J131" s="1177">
        <v>0</v>
      </c>
      <c r="K131" s="1178">
        <v>0</v>
      </c>
      <c r="L131" s="742"/>
      <c r="M131" s="742"/>
      <c r="N131" s="742"/>
      <c r="O131" s="742"/>
      <c r="P131" s="742"/>
      <c r="Q131" s="742"/>
      <c r="R131" s="742"/>
      <c r="S131" s="742"/>
      <c r="T131" s="742"/>
      <c r="U131" s="742"/>
      <c r="V131" s="742"/>
      <c r="W131" s="742"/>
      <c r="X131" s="742"/>
      <c r="Y131" s="742"/>
      <c r="Z131" s="742"/>
      <c r="AA131" s="742"/>
      <c r="AB131" s="742"/>
      <c r="AC131" s="742"/>
      <c r="AD131" s="742"/>
      <c r="AE131" s="742"/>
      <c r="AF131" s="742"/>
      <c r="AG131" s="742"/>
      <c r="AH131" s="742"/>
      <c r="AI131" s="742"/>
      <c r="AJ131" s="742"/>
      <c r="AK131" s="742"/>
      <c r="AL131" s="742"/>
      <c r="AM131" s="742"/>
      <c r="AN131" s="742"/>
      <c r="AO131" s="742"/>
      <c r="AP131" s="742"/>
      <c r="AQ131" s="742"/>
      <c r="AR131" s="742"/>
      <c r="AS131" s="742"/>
      <c r="AT131" s="742"/>
      <c r="AU131" s="742"/>
      <c r="AV131" s="742"/>
      <c r="AW131" s="742"/>
      <c r="AX131" s="742"/>
      <c r="AY131" s="742"/>
      <c r="AZ131" s="742"/>
      <c r="BA131" s="742"/>
      <c r="BB131" s="742"/>
      <c r="BC131" s="742"/>
      <c r="BD131" s="742"/>
      <c r="BE131" s="742"/>
      <c r="BF131" s="742"/>
      <c r="BG131" s="742"/>
      <c r="BH131" s="742"/>
      <c r="BI131" s="742"/>
      <c r="BJ131" s="742"/>
      <c r="BK131" s="742"/>
    </row>
    <row r="132" spans="1:63" ht="11.25" customHeight="1">
      <c r="A132" s="614"/>
      <c r="B132" s="662"/>
      <c r="C132" s="749" t="s">
        <v>235</v>
      </c>
      <c r="D132" s="1182">
        <v>3</v>
      </c>
      <c r="E132" s="1174">
        <v>3</v>
      </c>
      <c r="F132" s="1177">
        <v>0</v>
      </c>
      <c r="G132" s="1173">
        <v>3</v>
      </c>
      <c r="H132" s="1184">
        <v>0</v>
      </c>
      <c r="I132" s="1176">
        <v>0</v>
      </c>
      <c r="J132" s="1177">
        <v>0</v>
      </c>
      <c r="K132" s="1178">
        <v>0</v>
      </c>
      <c r="L132" s="742"/>
      <c r="M132" s="742"/>
      <c r="N132" s="742"/>
      <c r="O132" s="742"/>
      <c r="P132" s="742"/>
      <c r="Q132" s="742"/>
      <c r="R132" s="742"/>
      <c r="S132" s="742"/>
      <c r="T132" s="742"/>
      <c r="U132" s="742"/>
      <c r="V132" s="742"/>
      <c r="W132" s="742"/>
      <c r="X132" s="742"/>
      <c r="Y132" s="742"/>
      <c r="Z132" s="742"/>
      <c r="AA132" s="742"/>
      <c r="AB132" s="742"/>
      <c r="AC132" s="742"/>
      <c r="AD132" s="742"/>
      <c r="AE132" s="742"/>
      <c r="AF132" s="742"/>
      <c r="AG132" s="742"/>
      <c r="AH132" s="742"/>
      <c r="AI132" s="742"/>
      <c r="AJ132" s="742"/>
      <c r="AK132" s="742"/>
      <c r="AL132" s="742"/>
      <c r="AM132" s="742"/>
      <c r="AN132" s="742"/>
      <c r="AO132" s="742"/>
      <c r="AP132" s="742"/>
      <c r="AQ132" s="742"/>
      <c r="AR132" s="742"/>
      <c r="AS132" s="742"/>
      <c r="AT132" s="742"/>
      <c r="AU132" s="742"/>
      <c r="AV132" s="742"/>
      <c r="AW132" s="742"/>
      <c r="AX132" s="742"/>
      <c r="AY132" s="742"/>
      <c r="AZ132" s="742"/>
      <c r="BA132" s="742"/>
      <c r="BB132" s="742"/>
      <c r="BC132" s="742"/>
      <c r="BD132" s="742"/>
      <c r="BE132" s="742"/>
      <c r="BF132" s="742"/>
      <c r="BG132" s="742"/>
      <c r="BH132" s="742"/>
      <c r="BI132" s="742"/>
      <c r="BJ132" s="742"/>
      <c r="BK132" s="742"/>
    </row>
    <row r="133" spans="1:63" ht="11.25" customHeight="1">
      <c r="A133" s="1234"/>
      <c r="B133" s="1245"/>
      <c r="C133" s="1236"/>
      <c r="D133" s="1237"/>
      <c r="E133" s="1238"/>
      <c r="F133" s="1243"/>
      <c r="G133" s="1240"/>
      <c r="H133" s="1241"/>
      <c r="I133" s="1242"/>
      <c r="J133" s="1243"/>
      <c r="K133" s="1244"/>
      <c r="L133" s="742"/>
      <c r="M133" s="742"/>
      <c r="N133" s="742"/>
      <c r="O133" s="742"/>
      <c r="P133" s="742"/>
      <c r="Q133" s="742"/>
      <c r="R133" s="742"/>
      <c r="S133" s="742"/>
      <c r="T133" s="742"/>
      <c r="U133" s="742"/>
      <c r="V133" s="742"/>
      <c r="W133" s="742"/>
      <c r="X133" s="742"/>
      <c r="Y133" s="742"/>
      <c r="Z133" s="742"/>
      <c r="AA133" s="742"/>
      <c r="AB133" s="742"/>
      <c r="AC133" s="742"/>
      <c r="AD133" s="742"/>
      <c r="AE133" s="742"/>
      <c r="AF133" s="742"/>
      <c r="AG133" s="742"/>
      <c r="AH133" s="742"/>
      <c r="AI133" s="742"/>
      <c r="AJ133" s="742"/>
      <c r="AK133" s="742"/>
      <c r="AL133" s="742"/>
      <c r="AM133" s="742"/>
      <c r="AN133" s="742"/>
      <c r="AO133" s="742"/>
      <c r="AP133" s="742"/>
      <c r="AQ133" s="742"/>
      <c r="AR133" s="742"/>
      <c r="AS133" s="742"/>
      <c r="AT133" s="742"/>
      <c r="AU133" s="742"/>
      <c r="AV133" s="742"/>
      <c r="AW133" s="742"/>
      <c r="AX133" s="742"/>
      <c r="AY133" s="742"/>
      <c r="AZ133" s="742"/>
      <c r="BA133" s="742"/>
      <c r="BB133" s="742"/>
      <c r="BC133" s="742"/>
      <c r="BD133" s="742"/>
      <c r="BE133" s="742"/>
      <c r="BF133" s="742"/>
      <c r="BG133" s="742"/>
      <c r="BH133" s="742"/>
      <c r="BI133" s="742"/>
      <c r="BJ133" s="742"/>
      <c r="BK133" s="742"/>
    </row>
    <row r="134" spans="1:63" ht="11.25" customHeight="1">
      <c r="A134" s="614" t="s">
        <v>47</v>
      </c>
      <c r="B134" s="662"/>
      <c r="C134" s="672" t="s">
        <v>229</v>
      </c>
      <c r="D134" s="1183">
        <v>57</v>
      </c>
      <c r="E134" s="1179">
        <v>48</v>
      </c>
      <c r="F134" s="1177">
        <v>9</v>
      </c>
      <c r="G134" s="1176">
        <v>39</v>
      </c>
      <c r="H134" s="1184">
        <v>12</v>
      </c>
      <c r="I134" s="1176">
        <v>12</v>
      </c>
      <c r="J134" s="1177">
        <v>0</v>
      </c>
      <c r="K134" s="1178">
        <v>3</v>
      </c>
      <c r="L134" s="742"/>
      <c r="M134" s="742"/>
      <c r="N134" s="742"/>
      <c r="O134" s="742"/>
      <c r="P134" s="742"/>
      <c r="Q134" s="742"/>
      <c r="R134" s="742"/>
      <c r="S134" s="742"/>
      <c r="T134" s="742"/>
      <c r="U134" s="742"/>
      <c r="V134" s="742"/>
      <c r="W134" s="742"/>
      <c r="X134" s="742"/>
      <c r="Y134" s="742"/>
      <c r="Z134" s="742"/>
      <c r="AA134" s="742"/>
      <c r="AB134" s="742"/>
      <c r="AC134" s="742"/>
      <c r="AD134" s="742"/>
      <c r="AE134" s="742"/>
      <c r="AF134" s="742"/>
      <c r="AG134" s="742"/>
      <c r="AH134" s="742"/>
      <c r="AI134" s="742"/>
      <c r="AJ134" s="742"/>
      <c r="AK134" s="742"/>
      <c r="AL134" s="742"/>
      <c r="AM134" s="742"/>
      <c r="AN134" s="742"/>
      <c r="AO134" s="742"/>
      <c r="AP134" s="742"/>
      <c r="AQ134" s="742"/>
      <c r="AR134" s="742"/>
      <c r="AS134" s="742"/>
      <c r="AT134" s="742"/>
      <c r="AU134" s="742"/>
      <c r="AV134" s="742"/>
      <c r="AW134" s="742"/>
      <c r="AX134" s="742"/>
      <c r="AY134" s="742"/>
      <c r="AZ134" s="742"/>
      <c r="BA134" s="742"/>
      <c r="BB134" s="742"/>
      <c r="BC134" s="742"/>
      <c r="BD134" s="742"/>
      <c r="BE134" s="742"/>
      <c r="BF134" s="742"/>
      <c r="BG134" s="742"/>
      <c r="BH134" s="742"/>
      <c r="BI134" s="742"/>
      <c r="BJ134" s="742"/>
      <c r="BK134" s="742"/>
    </row>
    <row r="135" spans="1:63" ht="11.25" customHeight="1">
      <c r="A135" s="614"/>
      <c r="B135" s="662"/>
      <c r="C135" s="673" t="s">
        <v>257</v>
      </c>
      <c r="D135" s="1182">
        <v>15</v>
      </c>
      <c r="E135" s="1174">
        <v>0</v>
      </c>
      <c r="F135" s="1175">
        <v>12</v>
      </c>
      <c r="G135" s="1173">
        <v>6</v>
      </c>
      <c r="H135" s="1184">
        <v>6</v>
      </c>
      <c r="I135" s="1176">
        <v>0</v>
      </c>
      <c r="J135" s="1177">
        <v>6</v>
      </c>
      <c r="K135" s="1178">
        <v>3</v>
      </c>
      <c r="L135" s="742"/>
      <c r="M135" s="742"/>
      <c r="N135" s="742"/>
      <c r="O135" s="742"/>
      <c r="P135" s="742"/>
      <c r="Q135" s="742"/>
      <c r="R135" s="742"/>
      <c r="S135" s="742"/>
      <c r="T135" s="742"/>
      <c r="U135" s="742"/>
      <c r="V135" s="742"/>
      <c r="W135" s="742"/>
      <c r="X135" s="742"/>
      <c r="Y135" s="742"/>
      <c r="Z135" s="742"/>
      <c r="AA135" s="742"/>
      <c r="AB135" s="742"/>
      <c r="AC135" s="742"/>
      <c r="AD135" s="742"/>
      <c r="AE135" s="742"/>
      <c r="AF135" s="742"/>
      <c r="AG135" s="742"/>
      <c r="AH135" s="742"/>
      <c r="AI135" s="742"/>
      <c r="AJ135" s="742"/>
      <c r="AK135" s="742"/>
      <c r="AL135" s="742"/>
      <c r="AM135" s="742"/>
      <c r="AN135" s="742"/>
      <c r="AO135" s="742"/>
      <c r="AP135" s="742"/>
      <c r="AQ135" s="742"/>
      <c r="AR135" s="742"/>
      <c r="AS135" s="742"/>
      <c r="AT135" s="742"/>
      <c r="AU135" s="742"/>
      <c r="AV135" s="742"/>
      <c r="AW135" s="742"/>
      <c r="AX135" s="742"/>
      <c r="AY135" s="742"/>
      <c r="AZ135" s="742"/>
      <c r="BA135" s="742"/>
      <c r="BB135" s="742"/>
      <c r="BC135" s="742"/>
      <c r="BD135" s="742"/>
      <c r="BE135" s="742"/>
      <c r="BF135" s="742"/>
      <c r="BG135" s="742"/>
      <c r="BH135" s="742"/>
      <c r="BI135" s="742"/>
      <c r="BJ135" s="742"/>
      <c r="BK135" s="742"/>
    </row>
    <row r="136" spans="1:63" ht="11.25" customHeight="1">
      <c r="A136" s="614"/>
      <c r="B136" s="662"/>
      <c r="C136" s="673" t="s">
        <v>288</v>
      </c>
      <c r="D136" s="1183">
        <v>0</v>
      </c>
      <c r="E136" s="1179">
        <v>0</v>
      </c>
      <c r="F136" s="1177">
        <v>0</v>
      </c>
      <c r="G136" s="1177">
        <v>0</v>
      </c>
      <c r="H136" s="1184">
        <v>0</v>
      </c>
      <c r="I136" s="1176">
        <v>0</v>
      </c>
      <c r="J136" s="1177">
        <v>0</v>
      </c>
      <c r="K136" s="1178">
        <v>0</v>
      </c>
      <c r="L136" s="742"/>
      <c r="M136" s="742"/>
      <c r="N136" s="742"/>
      <c r="O136" s="742"/>
      <c r="P136" s="742"/>
      <c r="Q136" s="742"/>
      <c r="R136" s="742"/>
      <c r="S136" s="742"/>
      <c r="T136" s="742"/>
      <c r="U136" s="742"/>
      <c r="V136" s="742"/>
      <c r="W136" s="742"/>
      <c r="X136" s="742"/>
      <c r="Y136" s="742"/>
      <c r="Z136" s="742"/>
      <c r="AA136" s="742"/>
      <c r="AB136" s="742"/>
      <c r="AC136" s="742"/>
      <c r="AD136" s="742"/>
      <c r="AE136" s="742"/>
      <c r="AF136" s="742"/>
      <c r="AG136" s="742"/>
      <c r="AH136" s="742"/>
      <c r="AI136" s="742"/>
      <c r="AJ136" s="742"/>
      <c r="AK136" s="742"/>
      <c r="AL136" s="742"/>
      <c r="AM136" s="742"/>
      <c r="AN136" s="742"/>
      <c r="AO136" s="742"/>
      <c r="AP136" s="742"/>
      <c r="AQ136" s="742"/>
      <c r="AR136" s="742"/>
      <c r="AS136" s="742"/>
      <c r="AT136" s="742"/>
      <c r="AU136" s="742"/>
      <c r="AV136" s="742"/>
      <c r="AW136" s="742"/>
      <c r="AX136" s="742"/>
      <c r="AY136" s="742"/>
      <c r="AZ136" s="742"/>
      <c r="BA136" s="742"/>
      <c r="BB136" s="742"/>
      <c r="BC136" s="742"/>
      <c r="BD136" s="742"/>
      <c r="BE136" s="742"/>
      <c r="BF136" s="742"/>
      <c r="BG136" s="742"/>
      <c r="BH136" s="742"/>
      <c r="BI136" s="742"/>
      <c r="BJ136" s="742"/>
      <c r="BK136" s="742"/>
    </row>
    <row r="137" spans="1:63" ht="11.25" customHeight="1">
      <c r="A137" s="614"/>
      <c r="B137" s="662"/>
      <c r="C137" s="749" t="s">
        <v>260</v>
      </c>
      <c r="D137" s="1182">
        <v>6</v>
      </c>
      <c r="E137" s="1174">
        <v>3</v>
      </c>
      <c r="F137" s="1177">
        <v>3</v>
      </c>
      <c r="G137" s="1173">
        <v>3</v>
      </c>
      <c r="H137" s="1184">
        <v>3</v>
      </c>
      <c r="I137" s="1176">
        <v>0</v>
      </c>
      <c r="J137" s="1177">
        <v>0</v>
      </c>
      <c r="K137" s="1178">
        <v>0</v>
      </c>
      <c r="L137" s="742"/>
      <c r="M137" s="742"/>
      <c r="N137" s="742"/>
      <c r="O137" s="742"/>
      <c r="P137" s="742"/>
      <c r="Q137" s="742"/>
      <c r="R137" s="742"/>
      <c r="S137" s="742"/>
      <c r="T137" s="742"/>
      <c r="U137" s="742"/>
      <c r="V137" s="742"/>
      <c r="W137" s="742"/>
      <c r="X137" s="742"/>
      <c r="Y137" s="742"/>
      <c r="Z137" s="742"/>
      <c r="AA137" s="742"/>
      <c r="AB137" s="742"/>
      <c r="AC137" s="742"/>
      <c r="AD137" s="742"/>
      <c r="AE137" s="742"/>
      <c r="AF137" s="742"/>
      <c r="AG137" s="742"/>
      <c r="AH137" s="742"/>
      <c r="AI137" s="742"/>
      <c r="AJ137" s="742"/>
      <c r="AK137" s="742"/>
      <c r="AL137" s="742"/>
      <c r="AM137" s="742"/>
      <c r="AN137" s="742"/>
      <c r="AO137" s="742"/>
      <c r="AP137" s="742"/>
      <c r="AQ137" s="742"/>
      <c r="AR137" s="742"/>
      <c r="AS137" s="742"/>
      <c r="AT137" s="742"/>
      <c r="AU137" s="742"/>
      <c r="AV137" s="742"/>
      <c r="AW137" s="742"/>
      <c r="AX137" s="742"/>
      <c r="AY137" s="742"/>
      <c r="AZ137" s="742"/>
      <c r="BA137" s="742"/>
      <c r="BB137" s="742"/>
      <c r="BC137" s="742"/>
      <c r="BD137" s="742"/>
      <c r="BE137" s="742"/>
      <c r="BF137" s="742"/>
      <c r="BG137" s="742"/>
      <c r="BH137" s="742"/>
      <c r="BI137" s="742"/>
      <c r="BJ137" s="742"/>
      <c r="BK137" s="742"/>
    </row>
    <row r="138" spans="1:63" ht="11.25" customHeight="1">
      <c r="A138" s="614"/>
      <c r="B138" s="662"/>
      <c r="C138" s="672" t="s">
        <v>258</v>
      </c>
      <c r="D138" s="1182">
        <v>3</v>
      </c>
      <c r="E138" s="1174">
        <v>3</v>
      </c>
      <c r="F138" s="1175">
        <v>0</v>
      </c>
      <c r="G138" s="1173">
        <v>3</v>
      </c>
      <c r="H138" s="1184">
        <v>0</v>
      </c>
      <c r="I138" s="1176">
        <v>0</v>
      </c>
      <c r="J138" s="1177">
        <v>0</v>
      </c>
      <c r="K138" s="1178">
        <v>0</v>
      </c>
      <c r="L138" s="742"/>
      <c r="M138" s="742"/>
      <c r="N138" s="742"/>
      <c r="O138" s="742"/>
      <c r="P138" s="742"/>
      <c r="Q138" s="742"/>
      <c r="R138" s="742"/>
      <c r="S138" s="742"/>
      <c r="T138" s="742"/>
      <c r="U138" s="742"/>
      <c r="V138" s="742"/>
      <c r="W138" s="742"/>
      <c r="X138" s="742"/>
      <c r="Y138" s="742"/>
      <c r="Z138" s="742"/>
      <c r="AA138" s="742"/>
      <c r="AB138" s="742"/>
      <c r="AC138" s="742"/>
      <c r="AD138" s="742"/>
      <c r="AE138" s="742"/>
      <c r="AF138" s="742"/>
      <c r="AG138" s="742"/>
      <c r="AH138" s="742"/>
      <c r="AI138" s="742"/>
      <c r="AJ138" s="742"/>
      <c r="AK138" s="742"/>
      <c r="AL138" s="742"/>
      <c r="AM138" s="742"/>
      <c r="AN138" s="742"/>
      <c r="AO138" s="742"/>
      <c r="AP138" s="742"/>
      <c r="AQ138" s="742"/>
      <c r="AR138" s="742"/>
      <c r="AS138" s="742"/>
      <c r="AT138" s="742"/>
      <c r="AU138" s="742"/>
      <c r="AV138" s="742"/>
      <c r="AW138" s="742"/>
      <c r="AX138" s="742"/>
      <c r="AY138" s="742"/>
      <c r="AZ138" s="742"/>
      <c r="BA138" s="742"/>
      <c r="BB138" s="742"/>
      <c r="BC138" s="742"/>
      <c r="BD138" s="742"/>
      <c r="BE138" s="742"/>
      <c r="BF138" s="742"/>
      <c r="BG138" s="742"/>
      <c r="BH138" s="742"/>
      <c r="BI138" s="742"/>
      <c r="BJ138" s="742"/>
      <c r="BK138" s="742"/>
    </row>
    <row r="139" spans="1:63" ht="11.25" customHeight="1">
      <c r="A139" s="614"/>
      <c r="B139" s="662"/>
      <c r="C139" s="1033" t="s">
        <v>231</v>
      </c>
      <c r="D139" s="1182">
        <v>0</v>
      </c>
      <c r="E139" s="1174">
        <v>0</v>
      </c>
      <c r="F139" s="1175">
        <v>0</v>
      </c>
      <c r="G139" s="1173">
        <v>0</v>
      </c>
      <c r="H139" s="1184">
        <v>0</v>
      </c>
      <c r="I139" s="1176">
        <v>0</v>
      </c>
      <c r="J139" s="1177">
        <v>0</v>
      </c>
      <c r="K139" s="1178">
        <v>0</v>
      </c>
      <c r="L139" s="742"/>
      <c r="M139" s="742"/>
      <c r="N139" s="742"/>
      <c r="O139" s="742"/>
      <c r="P139" s="742"/>
      <c r="Q139" s="742"/>
      <c r="R139" s="742"/>
      <c r="S139" s="742"/>
      <c r="T139" s="742"/>
      <c r="U139" s="742"/>
      <c r="V139" s="742"/>
      <c r="W139" s="742"/>
      <c r="X139" s="742"/>
      <c r="Y139" s="742"/>
      <c r="Z139" s="742"/>
      <c r="AA139" s="742"/>
      <c r="AB139" s="742"/>
      <c r="AC139" s="742"/>
      <c r="AD139" s="742"/>
      <c r="AE139" s="742"/>
      <c r="AF139" s="742"/>
      <c r="AG139" s="742"/>
      <c r="AH139" s="742"/>
      <c r="AI139" s="742"/>
      <c r="AJ139" s="742"/>
      <c r="AK139" s="742"/>
      <c r="AL139" s="742"/>
      <c r="AM139" s="742"/>
      <c r="AN139" s="742"/>
      <c r="AO139" s="742"/>
      <c r="AP139" s="742"/>
      <c r="AQ139" s="742"/>
      <c r="AR139" s="742"/>
      <c r="AS139" s="742"/>
      <c r="AT139" s="742"/>
      <c r="AU139" s="742"/>
      <c r="AV139" s="742"/>
      <c r="AW139" s="742"/>
      <c r="AX139" s="742"/>
      <c r="AY139" s="742"/>
      <c r="AZ139" s="742"/>
      <c r="BA139" s="742"/>
      <c r="BB139" s="742"/>
      <c r="BC139" s="742"/>
      <c r="BD139" s="742"/>
      <c r="BE139" s="742"/>
      <c r="BF139" s="742"/>
      <c r="BG139" s="742"/>
      <c r="BH139" s="742"/>
      <c r="BI139" s="742"/>
      <c r="BJ139" s="742"/>
      <c r="BK139" s="742"/>
    </row>
    <row r="140" spans="1:63" ht="11.25" customHeight="1">
      <c r="A140" s="614"/>
      <c r="B140" s="662"/>
      <c r="C140" s="749" t="s">
        <v>259</v>
      </c>
      <c r="D140" s="1182">
        <v>9</v>
      </c>
      <c r="E140" s="1174">
        <v>9</v>
      </c>
      <c r="F140" s="1175">
        <v>0</v>
      </c>
      <c r="G140" s="1173">
        <v>9</v>
      </c>
      <c r="H140" s="1184">
        <v>0</v>
      </c>
      <c r="I140" s="1176">
        <v>0</v>
      </c>
      <c r="J140" s="1177">
        <v>0</v>
      </c>
      <c r="K140" s="1178">
        <v>0</v>
      </c>
      <c r="L140" s="742"/>
      <c r="M140" s="742"/>
      <c r="N140" s="742"/>
      <c r="O140" s="742"/>
      <c r="P140" s="742"/>
      <c r="Q140" s="742"/>
      <c r="R140" s="742"/>
      <c r="S140" s="742"/>
      <c r="T140" s="742"/>
      <c r="U140" s="742"/>
      <c r="V140" s="742"/>
      <c r="W140" s="742"/>
      <c r="X140" s="742"/>
      <c r="Y140" s="742"/>
      <c r="Z140" s="742"/>
      <c r="AA140" s="742"/>
      <c r="AB140" s="742"/>
      <c r="AC140" s="742"/>
      <c r="AD140" s="742"/>
      <c r="AE140" s="742"/>
      <c r="AF140" s="742"/>
      <c r="AG140" s="742"/>
      <c r="AH140" s="742"/>
      <c r="AI140" s="742"/>
      <c r="AJ140" s="742"/>
      <c r="AK140" s="742"/>
      <c r="AL140" s="742"/>
      <c r="AM140" s="742"/>
      <c r="AN140" s="742"/>
      <c r="AO140" s="742"/>
      <c r="AP140" s="742"/>
      <c r="AQ140" s="742"/>
      <c r="AR140" s="742"/>
      <c r="AS140" s="742"/>
      <c r="AT140" s="742"/>
      <c r="AU140" s="742"/>
      <c r="AV140" s="742"/>
      <c r="AW140" s="742"/>
      <c r="AX140" s="742"/>
      <c r="AY140" s="742"/>
      <c r="AZ140" s="742"/>
      <c r="BA140" s="742"/>
      <c r="BB140" s="742"/>
      <c r="BC140" s="742"/>
      <c r="BD140" s="742"/>
      <c r="BE140" s="742"/>
      <c r="BF140" s="742"/>
      <c r="BG140" s="742"/>
      <c r="BH140" s="742"/>
      <c r="BI140" s="742"/>
      <c r="BJ140" s="742"/>
      <c r="BK140" s="742"/>
    </row>
    <row r="141" spans="1:63" ht="11.25" customHeight="1">
      <c r="A141" s="614"/>
      <c r="B141" s="662"/>
      <c r="C141" s="749" t="s">
        <v>245</v>
      </c>
      <c r="D141" s="1182">
        <v>18</v>
      </c>
      <c r="E141" s="1174">
        <v>15</v>
      </c>
      <c r="F141" s="1175">
        <v>3</v>
      </c>
      <c r="G141" s="1173">
        <v>15</v>
      </c>
      <c r="H141" s="1184">
        <v>3</v>
      </c>
      <c r="I141" s="1176">
        <v>0</v>
      </c>
      <c r="J141" s="1177">
        <v>0</v>
      </c>
      <c r="K141" s="1178">
        <v>3</v>
      </c>
      <c r="L141" s="742"/>
      <c r="M141" s="742"/>
      <c r="N141" s="742"/>
      <c r="O141" s="742"/>
      <c r="P141" s="742"/>
      <c r="Q141" s="742"/>
      <c r="R141" s="742"/>
      <c r="S141" s="742"/>
      <c r="T141" s="742"/>
      <c r="U141" s="742"/>
      <c r="V141" s="742"/>
      <c r="W141" s="742"/>
      <c r="X141" s="742"/>
      <c r="Y141" s="742"/>
      <c r="Z141" s="742"/>
      <c r="AA141" s="742"/>
      <c r="AB141" s="742"/>
      <c r="AC141" s="742"/>
      <c r="AD141" s="742"/>
      <c r="AE141" s="742"/>
      <c r="AF141" s="742"/>
      <c r="AG141" s="742"/>
      <c r="AH141" s="742"/>
      <c r="AI141" s="742"/>
      <c r="AJ141" s="742"/>
      <c r="AK141" s="742"/>
      <c r="AL141" s="742"/>
      <c r="AM141" s="742"/>
      <c r="AN141" s="742"/>
      <c r="AO141" s="742"/>
      <c r="AP141" s="742"/>
      <c r="AQ141" s="742"/>
      <c r="AR141" s="742"/>
      <c r="AS141" s="742"/>
      <c r="AT141" s="742"/>
      <c r="AU141" s="742"/>
      <c r="AV141" s="742"/>
      <c r="AW141" s="742"/>
      <c r="AX141" s="742"/>
      <c r="AY141" s="742"/>
      <c r="AZ141" s="742"/>
      <c r="BA141" s="742"/>
      <c r="BB141" s="742"/>
      <c r="BC141" s="742"/>
      <c r="BD141" s="742"/>
      <c r="BE141" s="742"/>
      <c r="BF141" s="742"/>
      <c r="BG141" s="742"/>
      <c r="BH141" s="742"/>
      <c r="BI141" s="742"/>
      <c r="BJ141" s="742"/>
      <c r="BK141" s="742"/>
    </row>
    <row r="142" spans="1:63" ht="11.25" customHeight="1">
      <c r="A142" s="614"/>
      <c r="B142" s="662"/>
      <c r="C142" s="749" t="s">
        <v>240</v>
      </c>
      <c r="D142" s="1182">
        <v>3</v>
      </c>
      <c r="E142" s="1174">
        <v>0</v>
      </c>
      <c r="F142" s="1175">
        <v>3</v>
      </c>
      <c r="G142" s="1173">
        <v>3</v>
      </c>
      <c r="H142" s="1184">
        <v>3</v>
      </c>
      <c r="I142" s="1176">
        <v>0</v>
      </c>
      <c r="J142" s="1177">
        <v>3</v>
      </c>
      <c r="K142" s="1178">
        <v>3</v>
      </c>
      <c r="L142" s="742"/>
      <c r="M142" s="742"/>
      <c r="N142" s="742"/>
      <c r="O142" s="742"/>
      <c r="P142" s="742"/>
      <c r="Q142" s="742"/>
      <c r="R142" s="742"/>
      <c r="S142" s="742"/>
      <c r="T142" s="742"/>
      <c r="U142" s="742"/>
      <c r="V142" s="742"/>
      <c r="W142" s="742"/>
      <c r="X142" s="742"/>
      <c r="Y142" s="742"/>
      <c r="Z142" s="742"/>
      <c r="AA142" s="742"/>
      <c r="AB142" s="742"/>
      <c r="AC142" s="742"/>
      <c r="AD142" s="742"/>
      <c r="AE142" s="742"/>
      <c r="AF142" s="742"/>
      <c r="AG142" s="742"/>
      <c r="AH142" s="742"/>
      <c r="AI142" s="742"/>
      <c r="AJ142" s="742"/>
      <c r="AK142" s="742"/>
      <c r="AL142" s="742"/>
      <c r="AM142" s="742"/>
      <c r="AN142" s="742"/>
      <c r="AO142" s="742"/>
      <c r="AP142" s="742"/>
      <c r="AQ142" s="742"/>
      <c r="AR142" s="742"/>
      <c r="AS142" s="742"/>
      <c r="AT142" s="742"/>
      <c r="AU142" s="742"/>
      <c r="AV142" s="742"/>
      <c r="AW142" s="742"/>
      <c r="AX142" s="742"/>
      <c r="AY142" s="742"/>
      <c r="AZ142" s="742"/>
      <c r="BA142" s="742"/>
      <c r="BB142" s="742"/>
      <c r="BC142" s="742"/>
      <c r="BD142" s="742"/>
      <c r="BE142" s="742"/>
      <c r="BF142" s="742"/>
      <c r="BG142" s="742"/>
      <c r="BH142" s="742"/>
      <c r="BI142" s="742"/>
      <c r="BJ142" s="742"/>
      <c r="BK142" s="742"/>
    </row>
    <row r="143" spans="1:63" ht="11.25" customHeight="1">
      <c r="A143" s="1234"/>
      <c r="B143" s="1245"/>
      <c r="C143" s="1236"/>
      <c r="D143" s="1237"/>
      <c r="E143" s="1242"/>
      <c r="F143" s="1239"/>
      <c r="G143" s="1240"/>
      <c r="H143" s="1241"/>
      <c r="I143" s="1242"/>
      <c r="J143" s="1243"/>
      <c r="K143" s="1244"/>
      <c r="L143" s="742"/>
      <c r="M143" s="742"/>
      <c r="N143" s="742"/>
      <c r="O143" s="742"/>
      <c r="P143" s="742"/>
      <c r="Q143" s="742"/>
      <c r="R143" s="742"/>
      <c r="S143" s="742"/>
      <c r="T143" s="742"/>
      <c r="U143" s="742"/>
      <c r="V143" s="742"/>
      <c r="W143" s="742"/>
      <c r="X143" s="742"/>
      <c r="Y143" s="742"/>
      <c r="Z143" s="742"/>
      <c r="AA143" s="742"/>
      <c r="AB143" s="742"/>
      <c r="AC143" s="742"/>
      <c r="AD143" s="742"/>
      <c r="AE143" s="742"/>
      <c r="AF143" s="742"/>
      <c r="AG143" s="742"/>
      <c r="AH143" s="742"/>
      <c r="AI143" s="742"/>
      <c r="AJ143" s="742"/>
      <c r="AK143" s="742"/>
      <c r="AL143" s="742"/>
      <c r="AM143" s="742"/>
      <c r="AN143" s="742"/>
      <c r="AO143" s="742"/>
      <c r="AP143" s="742"/>
      <c r="AQ143" s="742"/>
      <c r="AR143" s="742"/>
      <c r="AS143" s="742"/>
      <c r="AT143" s="742"/>
      <c r="AU143" s="742"/>
      <c r="AV143" s="742"/>
      <c r="AW143" s="742"/>
      <c r="AX143" s="742"/>
      <c r="AY143" s="742"/>
      <c r="AZ143" s="742"/>
      <c r="BA143" s="742"/>
      <c r="BB143" s="742"/>
      <c r="BC143" s="742"/>
      <c r="BD143" s="742"/>
      <c r="BE143" s="742"/>
      <c r="BF143" s="742"/>
      <c r="BG143" s="742"/>
      <c r="BH143" s="742"/>
      <c r="BI143" s="742"/>
      <c r="BJ143" s="742"/>
      <c r="BK143" s="742"/>
    </row>
    <row r="144" spans="1:63" ht="11.25" customHeight="1">
      <c r="A144" s="614" t="s">
        <v>51</v>
      </c>
      <c r="B144" s="662"/>
      <c r="C144" s="633" t="s">
        <v>229</v>
      </c>
      <c r="D144" s="1182">
        <v>9</v>
      </c>
      <c r="E144" s="1174">
        <v>6</v>
      </c>
      <c r="F144" s="1175">
        <v>0</v>
      </c>
      <c r="G144" s="1173">
        <v>6</v>
      </c>
      <c r="H144" s="1184">
        <v>0</v>
      </c>
      <c r="I144" s="1176">
        <v>0</v>
      </c>
      <c r="J144" s="1177">
        <v>0</v>
      </c>
      <c r="K144" s="1178">
        <v>0</v>
      </c>
      <c r="L144" s="742"/>
      <c r="M144" s="742"/>
      <c r="N144" s="742"/>
      <c r="O144" s="742"/>
      <c r="P144" s="742"/>
      <c r="Q144" s="742"/>
      <c r="R144" s="742"/>
      <c r="S144" s="742"/>
      <c r="T144" s="742"/>
      <c r="U144" s="742"/>
      <c r="V144" s="742"/>
      <c r="W144" s="742"/>
      <c r="X144" s="742"/>
      <c r="Y144" s="742"/>
      <c r="Z144" s="742"/>
      <c r="AA144" s="742"/>
      <c r="AB144" s="742"/>
      <c r="AC144" s="742"/>
      <c r="AD144" s="742"/>
      <c r="AE144" s="742"/>
      <c r="AF144" s="742"/>
      <c r="AG144" s="742"/>
      <c r="AH144" s="742"/>
      <c r="AI144" s="742"/>
      <c r="AJ144" s="742"/>
      <c r="AK144" s="742"/>
      <c r="AL144" s="742"/>
      <c r="AM144" s="742"/>
      <c r="AN144" s="742"/>
      <c r="AO144" s="742"/>
      <c r="AP144" s="742"/>
      <c r="AQ144" s="742"/>
      <c r="AR144" s="742"/>
      <c r="AS144" s="742"/>
      <c r="AT144" s="742"/>
      <c r="AU144" s="742"/>
      <c r="AV144" s="742"/>
      <c r="AW144" s="742"/>
      <c r="AX144" s="742"/>
      <c r="AY144" s="742"/>
      <c r="AZ144" s="742"/>
      <c r="BA144" s="742"/>
      <c r="BB144" s="742"/>
      <c r="BC144" s="742"/>
      <c r="BD144" s="742"/>
      <c r="BE144" s="742"/>
      <c r="BF144" s="742"/>
      <c r="BG144" s="742"/>
      <c r="BH144" s="742"/>
      <c r="BI144" s="742"/>
      <c r="BJ144" s="742"/>
      <c r="BK144" s="742"/>
    </row>
    <row r="145" spans="1:63" ht="11.25" customHeight="1">
      <c r="A145" s="614"/>
      <c r="B145" s="662"/>
      <c r="C145" s="653" t="s">
        <v>257</v>
      </c>
      <c r="D145" s="1182">
        <v>0</v>
      </c>
      <c r="E145" s="1174">
        <v>0</v>
      </c>
      <c r="F145" s="1177">
        <v>0</v>
      </c>
      <c r="G145" s="1173">
        <v>0</v>
      </c>
      <c r="H145" s="1184">
        <v>0</v>
      </c>
      <c r="I145" s="1176">
        <v>0</v>
      </c>
      <c r="J145" s="1177">
        <v>0</v>
      </c>
      <c r="K145" s="1178">
        <v>0</v>
      </c>
      <c r="L145" s="742"/>
      <c r="M145" s="742"/>
      <c r="N145" s="742"/>
      <c r="O145" s="742"/>
      <c r="P145" s="742"/>
      <c r="Q145" s="742"/>
      <c r="R145" s="742"/>
      <c r="S145" s="742"/>
      <c r="T145" s="742"/>
      <c r="U145" s="742"/>
      <c r="V145" s="742"/>
      <c r="W145" s="742"/>
      <c r="X145" s="742"/>
      <c r="Y145" s="742"/>
      <c r="Z145" s="742"/>
      <c r="AA145" s="742"/>
      <c r="AB145" s="742"/>
      <c r="AC145" s="742"/>
      <c r="AD145" s="742"/>
      <c r="AE145" s="742"/>
      <c r="AF145" s="742"/>
      <c r="AG145" s="742"/>
      <c r="AH145" s="742"/>
      <c r="AI145" s="742"/>
      <c r="AJ145" s="742"/>
      <c r="AK145" s="742"/>
      <c r="AL145" s="742"/>
      <c r="AM145" s="742"/>
      <c r="AN145" s="742"/>
      <c r="AO145" s="742"/>
      <c r="AP145" s="742"/>
      <c r="AQ145" s="742"/>
      <c r="AR145" s="742"/>
      <c r="AS145" s="742"/>
      <c r="AT145" s="742"/>
      <c r="AU145" s="742"/>
      <c r="AV145" s="742"/>
      <c r="AW145" s="742"/>
      <c r="AX145" s="742"/>
      <c r="AY145" s="742"/>
      <c r="AZ145" s="742"/>
      <c r="BA145" s="742"/>
      <c r="BB145" s="742"/>
      <c r="BC145" s="742"/>
      <c r="BD145" s="742"/>
      <c r="BE145" s="742"/>
      <c r="BF145" s="742"/>
      <c r="BG145" s="742"/>
      <c r="BH145" s="742"/>
      <c r="BI145" s="742"/>
      <c r="BJ145" s="742"/>
      <c r="BK145" s="742"/>
    </row>
    <row r="146" spans="1:63" ht="11.25" customHeight="1">
      <c r="A146" s="614"/>
      <c r="B146" s="662"/>
      <c r="C146" s="653" t="s">
        <v>258</v>
      </c>
      <c r="D146" s="1182">
        <v>12</v>
      </c>
      <c r="E146" s="1174">
        <v>12</v>
      </c>
      <c r="F146" s="1175">
        <v>0</v>
      </c>
      <c r="G146" s="1173">
        <v>12</v>
      </c>
      <c r="H146" s="1184">
        <v>0</v>
      </c>
      <c r="I146" s="1176">
        <v>0</v>
      </c>
      <c r="J146" s="1177">
        <v>0</v>
      </c>
      <c r="K146" s="1178">
        <v>0</v>
      </c>
      <c r="L146" s="742"/>
      <c r="M146" s="742"/>
      <c r="N146" s="742"/>
      <c r="O146" s="742"/>
      <c r="P146" s="742"/>
      <c r="Q146" s="742"/>
      <c r="R146" s="742"/>
      <c r="S146" s="742"/>
      <c r="T146" s="742"/>
      <c r="U146" s="742"/>
      <c r="V146" s="742"/>
      <c r="W146" s="742"/>
      <c r="X146" s="742"/>
      <c r="Y146" s="742"/>
      <c r="Z146" s="742"/>
      <c r="AA146" s="742"/>
      <c r="AB146" s="742"/>
      <c r="AC146" s="742"/>
      <c r="AD146" s="742"/>
      <c r="AE146" s="742"/>
      <c r="AF146" s="742"/>
      <c r="AG146" s="742"/>
      <c r="AH146" s="742"/>
      <c r="AI146" s="742"/>
      <c r="AJ146" s="742"/>
      <c r="AK146" s="742"/>
      <c r="AL146" s="742"/>
      <c r="AM146" s="742"/>
      <c r="AN146" s="742"/>
      <c r="AO146" s="742"/>
      <c r="AP146" s="742"/>
      <c r="AQ146" s="742"/>
      <c r="AR146" s="742"/>
      <c r="AS146" s="742"/>
      <c r="AT146" s="742"/>
      <c r="AU146" s="742"/>
      <c r="AV146" s="742"/>
      <c r="AW146" s="742"/>
      <c r="AX146" s="742"/>
      <c r="AY146" s="742"/>
      <c r="AZ146" s="742"/>
      <c r="BA146" s="742"/>
      <c r="BB146" s="742"/>
      <c r="BC146" s="742"/>
      <c r="BD146" s="742"/>
      <c r="BE146" s="742"/>
      <c r="BF146" s="742"/>
      <c r="BG146" s="742"/>
      <c r="BH146" s="742"/>
      <c r="BI146" s="742"/>
      <c r="BJ146" s="742"/>
      <c r="BK146" s="742"/>
    </row>
    <row r="147" spans="1:63" ht="11.25" customHeight="1">
      <c r="A147" s="614"/>
      <c r="B147" s="662"/>
      <c r="C147" s="672" t="s">
        <v>291</v>
      </c>
      <c r="D147" s="1182">
        <v>3</v>
      </c>
      <c r="E147" s="1174">
        <v>3</v>
      </c>
      <c r="F147" s="1175">
        <v>0</v>
      </c>
      <c r="G147" s="1173">
        <v>3</v>
      </c>
      <c r="H147" s="1184">
        <v>0</v>
      </c>
      <c r="I147" s="1176">
        <v>0</v>
      </c>
      <c r="J147" s="1177">
        <v>0</v>
      </c>
      <c r="K147" s="1178">
        <v>0</v>
      </c>
      <c r="L147" s="742"/>
      <c r="M147" s="742"/>
      <c r="N147" s="742"/>
      <c r="O147" s="742"/>
      <c r="P147" s="742"/>
      <c r="Q147" s="742"/>
      <c r="R147" s="742"/>
      <c r="S147" s="742"/>
      <c r="T147" s="742"/>
      <c r="U147" s="742"/>
      <c r="V147" s="742"/>
      <c r="W147" s="742"/>
      <c r="X147" s="742"/>
      <c r="Y147" s="742"/>
      <c r="Z147" s="742"/>
      <c r="AA147" s="742"/>
      <c r="AB147" s="742"/>
      <c r="AC147" s="742"/>
      <c r="AD147" s="742"/>
      <c r="AE147" s="742"/>
      <c r="AF147" s="742"/>
      <c r="AG147" s="742"/>
      <c r="AH147" s="742"/>
      <c r="AI147" s="742"/>
      <c r="AJ147" s="742"/>
      <c r="AK147" s="742"/>
      <c r="AL147" s="742"/>
      <c r="AM147" s="742"/>
      <c r="AN147" s="742"/>
      <c r="AO147" s="742"/>
      <c r="AP147" s="742"/>
      <c r="AQ147" s="742"/>
      <c r="AR147" s="742"/>
      <c r="AS147" s="742"/>
      <c r="AT147" s="742"/>
      <c r="AU147" s="742"/>
      <c r="AV147" s="742"/>
      <c r="AW147" s="742"/>
      <c r="AX147" s="742"/>
      <c r="AY147" s="742"/>
      <c r="AZ147" s="742"/>
      <c r="BA147" s="742"/>
      <c r="BB147" s="742"/>
      <c r="BC147" s="742"/>
      <c r="BD147" s="742"/>
      <c r="BE147" s="742"/>
      <c r="BF147" s="742"/>
      <c r="BG147" s="742"/>
      <c r="BH147" s="742"/>
      <c r="BI147" s="742"/>
      <c r="BJ147" s="742"/>
      <c r="BK147" s="742"/>
    </row>
    <row r="148" spans="1:63" ht="11.25" customHeight="1">
      <c r="A148" s="1234"/>
      <c r="B148" s="1245"/>
      <c r="C148" s="1246"/>
      <c r="D148" s="1247"/>
      <c r="E148" s="1248"/>
      <c r="F148" s="1249"/>
      <c r="G148" s="1250"/>
      <c r="H148" s="1247"/>
      <c r="I148" s="1248"/>
      <c r="J148" s="1249"/>
      <c r="K148" s="1251"/>
      <c r="L148" s="742"/>
      <c r="M148" s="742"/>
      <c r="N148" s="742"/>
      <c r="O148" s="742"/>
      <c r="P148" s="742"/>
      <c r="Q148" s="742"/>
      <c r="R148" s="742"/>
      <c r="S148" s="742"/>
      <c r="T148" s="742"/>
      <c r="U148" s="742"/>
      <c r="V148" s="742"/>
      <c r="W148" s="742"/>
      <c r="X148" s="742"/>
      <c r="Y148" s="742"/>
      <c r="Z148" s="742"/>
      <c r="AA148" s="742"/>
      <c r="AB148" s="742"/>
      <c r="AC148" s="742"/>
      <c r="AD148" s="742"/>
      <c r="AE148" s="742"/>
      <c r="AF148" s="742"/>
      <c r="AG148" s="742"/>
      <c r="AH148" s="742"/>
      <c r="AI148" s="742"/>
      <c r="AJ148" s="742"/>
      <c r="AK148" s="742"/>
      <c r="AL148" s="742"/>
      <c r="AM148" s="742"/>
      <c r="AN148" s="742"/>
      <c r="AO148" s="742"/>
      <c r="AP148" s="742"/>
      <c r="AQ148" s="742"/>
      <c r="AR148" s="742"/>
      <c r="AS148" s="742"/>
      <c r="AT148" s="742"/>
      <c r="AU148" s="742"/>
      <c r="AV148" s="742"/>
      <c r="AW148" s="742"/>
      <c r="AX148" s="742"/>
      <c r="AY148" s="742"/>
      <c r="AZ148" s="742"/>
      <c r="BA148" s="742"/>
      <c r="BB148" s="742"/>
      <c r="BC148" s="742"/>
      <c r="BD148" s="742"/>
      <c r="BE148" s="742"/>
      <c r="BF148" s="742"/>
      <c r="BG148" s="742"/>
      <c r="BH148" s="742"/>
      <c r="BI148" s="742"/>
      <c r="BJ148" s="742"/>
      <c r="BK148" s="742"/>
    </row>
    <row r="149" spans="1:63" s="388" customFormat="1" ht="11.25" customHeight="1">
      <c r="A149" s="614" t="s">
        <v>184</v>
      </c>
      <c r="B149" s="662"/>
      <c r="C149" s="673" t="s">
        <v>186</v>
      </c>
      <c r="D149" s="1182">
        <v>0</v>
      </c>
      <c r="E149" s="1174">
        <v>0</v>
      </c>
      <c r="F149" s="1175">
        <v>0</v>
      </c>
      <c r="G149" s="1173">
        <v>0</v>
      </c>
      <c r="H149" s="1184">
        <v>0</v>
      </c>
      <c r="I149" s="1176">
        <v>0</v>
      </c>
      <c r="J149" s="1177">
        <v>0</v>
      </c>
      <c r="K149" s="1178">
        <v>0</v>
      </c>
      <c r="L149" s="389"/>
      <c r="M149" s="389"/>
      <c r="N149" s="389"/>
      <c r="O149" s="389"/>
      <c r="P149" s="389"/>
      <c r="Q149" s="389"/>
      <c r="R149" s="389"/>
      <c r="S149" s="389"/>
      <c r="T149" s="389"/>
      <c r="U149" s="389"/>
      <c r="V149" s="389"/>
      <c r="W149" s="389"/>
      <c r="X149" s="389"/>
      <c r="Y149" s="389"/>
      <c r="Z149" s="389"/>
      <c r="AA149" s="389"/>
      <c r="AB149" s="389"/>
      <c r="AC149" s="389"/>
      <c r="AD149" s="389"/>
      <c r="AE149" s="389"/>
      <c r="AF149" s="389"/>
      <c r="AG149" s="389"/>
      <c r="AH149" s="389"/>
      <c r="AI149" s="389"/>
      <c r="AJ149" s="389"/>
      <c r="AK149" s="389"/>
      <c r="AL149" s="389"/>
      <c r="AM149" s="389"/>
      <c r="AN149" s="389"/>
      <c r="AO149" s="389"/>
      <c r="AP149" s="389"/>
      <c r="AQ149" s="389"/>
      <c r="AR149" s="389"/>
      <c r="AS149" s="389"/>
      <c r="AT149" s="389"/>
      <c r="AU149" s="389"/>
      <c r="AV149" s="389"/>
      <c r="AW149" s="389"/>
      <c r="AX149" s="389"/>
      <c r="AY149" s="389"/>
      <c r="AZ149" s="389"/>
      <c r="BA149" s="389"/>
      <c r="BB149" s="389"/>
      <c r="BC149" s="389"/>
      <c r="BD149" s="389"/>
      <c r="BE149" s="389"/>
      <c r="BF149" s="389"/>
      <c r="BG149" s="389"/>
      <c r="BH149" s="389"/>
      <c r="BI149" s="389"/>
      <c r="BJ149" s="389"/>
      <c r="BK149" s="389"/>
    </row>
    <row r="150" spans="1:63" s="388" customFormat="1" ht="11.25" customHeight="1">
      <c r="A150" s="1234"/>
      <c r="B150" s="1245"/>
      <c r="C150" s="1252"/>
      <c r="D150" s="1237"/>
      <c r="E150" s="1238"/>
      <c r="F150" s="1239"/>
      <c r="G150" s="1240"/>
      <c r="H150" s="1241"/>
      <c r="I150" s="1242"/>
      <c r="J150" s="1243"/>
      <c r="K150" s="1244"/>
      <c r="L150" s="389"/>
      <c r="M150" s="389"/>
      <c r="N150" s="389"/>
      <c r="O150" s="389"/>
      <c r="P150" s="389"/>
      <c r="Q150" s="389"/>
      <c r="R150" s="389"/>
      <c r="S150" s="389"/>
      <c r="T150" s="389"/>
      <c r="U150" s="389"/>
      <c r="V150" s="389"/>
      <c r="W150" s="389"/>
      <c r="X150" s="389"/>
      <c r="Y150" s="389"/>
      <c r="Z150" s="389"/>
      <c r="AA150" s="389"/>
      <c r="AB150" s="389"/>
      <c r="AC150" s="389"/>
      <c r="AD150" s="389"/>
      <c r="AE150" s="389"/>
      <c r="AF150" s="389"/>
      <c r="AG150" s="389"/>
      <c r="AH150" s="389"/>
      <c r="AI150" s="389"/>
      <c r="AJ150" s="389"/>
      <c r="AK150" s="389"/>
      <c r="AL150" s="389"/>
      <c r="AM150" s="389"/>
      <c r="AN150" s="389"/>
      <c r="AO150" s="389"/>
      <c r="AP150" s="389"/>
      <c r="AQ150" s="389"/>
      <c r="AR150" s="389"/>
      <c r="AS150" s="389"/>
      <c r="AT150" s="389"/>
      <c r="AU150" s="389"/>
      <c r="AV150" s="389"/>
      <c r="AW150" s="389"/>
      <c r="AX150" s="389"/>
      <c r="AY150" s="389"/>
      <c r="AZ150" s="389"/>
      <c r="BA150" s="389"/>
      <c r="BB150" s="389"/>
      <c r="BC150" s="389"/>
      <c r="BD150" s="389"/>
      <c r="BE150" s="389"/>
      <c r="BF150" s="389"/>
      <c r="BG150" s="389"/>
      <c r="BH150" s="389"/>
      <c r="BI150" s="389"/>
      <c r="BJ150" s="389"/>
      <c r="BK150" s="389"/>
    </row>
    <row r="151" spans="1:63" ht="11.25" customHeight="1">
      <c r="A151" s="614" t="s">
        <v>57</v>
      </c>
      <c r="B151" s="662"/>
      <c r="C151" s="749" t="s">
        <v>229</v>
      </c>
      <c r="D151" s="1182">
        <v>6</v>
      </c>
      <c r="E151" s="1176">
        <v>6</v>
      </c>
      <c r="F151" s="1175">
        <v>0</v>
      </c>
      <c r="G151" s="1173">
        <v>6</v>
      </c>
      <c r="H151" s="1184">
        <v>0</v>
      </c>
      <c r="I151" s="1176">
        <v>0</v>
      </c>
      <c r="J151" s="1177">
        <v>0</v>
      </c>
      <c r="K151" s="1178">
        <v>0</v>
      </c>
      <c r="L151" s="742"/>
      <c r="M151" s="742"/>
      <c r="N151" s="742"/>
      <c r="O151" s="742"/>
      <c r="P151" s="742"/>
      <c r="Q151" s="742"/>
      <c r="R151" s="742"/>
      <c r="S151" s="742"/>
      <c r="T151" s="742"/>
      <c r="U151" s="742"/>
      <c r="V151" s="742"/>
      <c r="W151" s="742"/>
      <c r="X151" s="742"/>
      <c r="Y151" s="742"/>
      <c r="Z151" s="742"/>
      <c r="AA151" s="742"/>
      <c r="AB151" s="742"/>
      <c r="AC151" s="742"/>
      <c r="AD151" s="742"/>
      <c r="AE151" s="742"/>
      <c r="AF151" s="742"/>
      <c r="AG151" s="742"/>
      <c r="AH151" s="742"/>
      <c r="AI151" s="742"/>
      <c r="AJ151" s="742"/>
      <c r="AK151" s="742"/>
      <c r="AL151" s="742"/>
      <c r="AM151" s="742"/>
      <c r="AN151" s="742"/>
      <c r="AO151" s="742"/>
      <c r="AP151" s="742"/>
      <c r="AQ151" s="742"/>
      <c r="AR151" s="742"/>
      <c r="AS151" s="742"/>
      <c r="AT151" s="742"/>
      <c r="AU151" s="742"/>
      <c r="AV151" s="742"/>
      <c r="AW151" s="742"/>
      <c r="AX151" s="742"/>
      <c r="AY151" s="742"/>
      <c r="AZ151" s="742"/>
      <c r="BA151" s="742"/>
      <c r="BB151" s="742"/>
      <c r="BC151" s="742"/>
      <c r="BD151" s="742"/>
      <c r="BE151" s="742"/>
      <c r="BF151" s="742"/>
      <c r="BG151" s="742"/>
      <c r="BH151" s="742"/>
      <c r="BI151" s="742"/>
      <c r="BJ151" s="742"/>
      <c r="BK151" s="742"/>
    </row>
    <row r="152" spans="1:63" ht="11.25" customHeight="1">
      <c r="A152" s="614"/>
      <c r="B152" s="662"/>
      <c r="C152" s="749" t="s">
        <v>231</v>
      </c>
      <c r="D152" s="1182">
        <v>0</v>
      </c>
      <c r="E152" s="1174">
        <v>0</v>
      </c>
      <c r="F152" s="1175">
        <v>0</v>
      </c>
      <c r="G152" s="1173">
        <v>0</v>
      </c>
      <c r="H152" s="1184">
        <v>0</v>
      </c>
      <c r="I152" s="1176">
        <v>0</v>
      </c>
      <c r="J152" s="1177">
        <v>0</v>
      </c>
      <c r="K152" s="1178">
        <v>0</v>
      </c>
      <c r="L152" s="742"/>
      <c r="M152" s="742"/>
      <c r="N152" s="742"/>
      <c r="O152" s="742"/>
      <c r="P152" s="742"/>
      <c r="Q152" s="742"/>
      <c r="R152" s="742"/>
      <c r="S152" s="742"/>
      <c r="T152" s="742"/>
      <c r="U152" s="742"/>
      <c r="V152" s="742"/>
      <c r="W152" s="742"/>
      <c r="X152" s="742"/>
      <c r="Y152" s="742"/>
      <c r="Z152" s="742"/>
      <c r="AA152" s="742"/>
      <c r="AB152" s="742"/>
      <c r="AC152" s="742"/>
      <c r="AD152" s="742"/>
      <c r="AE152" s="742"/>
      <c r="AF152" s="742"/>
      <c r="AG152" s="742"/>
      <c r="AH152" s="742"/>
      <c r="AI152" s="742"/>
      <c r="AJ152" s="742"/>
      <c r="AK152" s="742"/>
      <c r="AL152" s="742"/>
      <c r="AM152" s="742"/>
      <c r="AN152" s="742"/>
      <c r="AO152" s="742"/>
      <c r="AP152" s="742"/>
      <c r="AQ152" s="742"/>
      <c r="AR152" s="742"/>
      <c r="AS152" s="742"/>
      <c r="AT152" s="742"/>
      <c r="AU152" s="742"/>
      <c r="AV152" s="742"/>
      <c r="AW152" s="742"/>
      <c r="AX152" s="742"/>
      <c r="AY152" s="742"/>
      <c r="AZ152" s="742"/>
      <c r="BA152" s="742"/>
      <c r="BB152" s="742"/>
      <c r="BC152" s="742"/>
      <c r="BD152" s="742"/>
      <c r="BE152" s="742"/>
      <c r="BF152" s="742"/>
      <c r="BG152" s="742"/>
      <c r="BH152" s="742"/>
      <c r="BI152" s="742"/>
      <c r="BJ152" s="742"/>
      <c r="BK152" s="742"/>
    </row>
    <row r="153" spans="1:63" s="388" customFormat="1" ht="11.25" customHeight="1">
      <c r="A153" s="614"/>
      <c r="B153" s="662"/>
      <c r="C153" s="672" t="s">
        <v>258</v>
      </c>
      <c r="D153" s="1182">
        <v>3</v>
      </c>
      <c r="E153" s="1174">
        <v>3</v>
      </c>
      <c r="F153" s="1177">
        <v>0</v>
      </c>
      <c r="G153" s="1173">
        <v>0</v>
      </c>
      <c r="H153" s="1184">
        <v>3</v>
      </c>
      <c r="I153" s="1176">
        <v>3</v>
      </c>
      <c r="J153" s="1177">
        <v>0</v>
      </c>
      <c r="K153" s="1178">
        <v>0</v>
      </c>
      <c r="L153" s="389"/>
      <c r="M153" s="389"/>
      <c r="N153" s="389"/>
      <c r="O153" s="389"/>
      <c r="P153" s="389"/>
      <c r="Q153" s="389"/>
      <c r="R153" s="389"/>
      <c r="S153" s="389"/>
      <c r="T153" s="389"/>
      <c r="U153" s="389"/>
      <c r="V153" s="389"/>
      <c r="W153" s="389"/>
      <c r="X153" s="389"/>
      <c r="Y153" s="389"/>
      <c r="Z153" s="389"/>
      <c r="AA153" s="389"/>
      <c r="AB153" s="389"/>
      <c r="AC153" s="389"/>
      <c r="AD153" s="389"/>
      <c r="AE153" s="389"/>
      <c r="AF153" s="389"/>
      <c r="AG153" s="389"/>
      <c r="AH153" s="389"/>
      <c r="AI153" s="389"/>
      <c r="AJ153" s="389"/>
      <c r="AK153" s="389"/>
      <c r="AL153" s="389"/>
      <c r="AM153" s="389"/>
      <c r="AN153" s="389"/>
      <c r="AO153" s="389"/>
      <c r="AP153" s="389"/>
      <c r="AQ153" s="389"/>
      <c r="AR153" s="389"/>
      <c r="AS153" s="389"/>
      <c r="AT153" s="389"/>
      <c r="AU153" s="389"/>
      <c r="AV153" s="389"/>
      <c r="AW153" s="389"/>
      <c r="AX153" s="389"/>
      <c r="AY153" s="389"/>
      <c r="AZ153" s="389"/>
      <c r="BA153" s="389"/>
      <c r="BB153" s="389"/>
      <c r="BC153" s="389"/>
      <c r="BD153" s="389"/>
      <c r="BE153" s="389"/>
      <c r="BF153" s="389"/>
      <c r="BG153" s="389"/>
      <c r="BH153" s="389"/>
      <c r="BI153" s="389"/>
      <c r="BJ153" s="389"/>
      <c r="BK153" s="389"/>
    </row>
    <row r="154" spans="1:63" s="388" customFormat="1" ht="11.25" customHeight="1">
      <c r="A154" s="1234"/>
      <c r="B154" s="1245"/>
      <c r="C154" s="1253"/>
      <c r="D154" s="1237"/>
      <c r="E154" s="1238"/>
      <c r="F154" s="1239"/>
      <c r="G154" s="1240"/>
      <c r="H154" s="1241"/>
      <c r="I154" s="1242"/>
      <c r="J154" s="1243"/>
      <c r="K154" s="1244"/>
      <c r="L154" s="389"/>
      <c r="M154" s="389"/>
      <c r="N154" s="389"/>
      <c r="O154" s="389"/>
      <c r="P154" s="389"/>
      <c r="Q154" s="389"/>
      <c r="R154" s="389"/>
      <c r="S154" s="389"/>
      <c r="T154" s="389"/>
      <c r="U154" s="389"/>
      <c r="V154" s="389"/>
      <c r="W154" s="389"/>
      <c r="X154" s="389"/>
      <c r="Y154" s="389"/>
      <c r="Z154" s="389"/>
      <c r="AA154" s="389"/>
      <c r="AB154" s="389"/>
      <c r="AC154" s="389"/>
      <c r="AD154" s="389"/>
      <c r="AE154" s="389"/>
      <c r="AF154" s="389"/>
      <c r="AG154" s="389"/>
      <c r="AH154" s="389"/>
      <c r="AI154" s="389"/>
      <c r="AJ154" s="389"/>
      <c r="AK154" s="389"/>
      <c r="AL154" s="389"/>
      <c r="AM154" s="389"/>
      <c r="AN154" s="389"/>
      <c r="AO154" s="389"/>
      <c r="AP154" s="389"/>
      <c r="AQ154" s="389"/>
      <c r="AR154" s="389"/>
      <c r="AS154" s="389"/>
      <c r="AT154" s="389"/>
      <c r="AU154" s="389"/>
      <c r="AV154" s="389"/>
      <c r="AW154" s="389"/>
      <c r="AX154" s="389"/>
      <c r="AY154" s="389"/>
      <c r="AZ154" s="389"/>
      <c r="BA154" s="389"/>
      <c r="BB154" s="389"/>
      <c r="BC154" s="389"/>
      <c r="BD154" s="389"/>
      <c r="BE154" s="389"/>
      <c r="BF154" s="389"/>
      <c r="BG154" s="389"/>
      <c r="BH154" s="389"/>
      <c r="BI154" s="389"/>
      <c r="BJ154" s="389"/>
      <c r="BK154" s="389"/>
    </row>
    <row r="155" spans="1:63" ht="11.25" customHeight="1">
      <c r="A155" s="614" t="s">
        <v>59</v>
      </c>
      <c r="B155" s="662"/>
      <c r="C155" s="749" t="s">
        <v>245</v>
      </c>
      <c r="D155" s="1182">
        <v>0</v>
      </c>
      <c r="E155" s="1174">
        <v>0</v>
      </c>
      <c r="F155" s="1175">
        <v>0</v>
      </c>
      <c r="G155" s="1173">
        <v>0</v>
      </c>
      <c r="H155" s="1184">
        <v>0</v>
      </c>
      <c r="I155" s="1176">
        <v>0</v>
      </c>
      <c r="J155" s="1177">
        <v>0</v>
      </c>
      <c r="K155" s="1178">
        <v>0</v>
      </c>
      <c r="L155" s="742"/>
      <c r="M155" s="742"/>
      <c r="N155" s="742"/>
      <c r="O155" s="742"/>
      <c r="P155" s="742"/>
      <c r="Q155" s="742"/>
      <c r="R155" s="742"/>
      <c r="S155" s="742"/>
      <c r="T155" s="742"/>
      <c r="U155" s="742"/>
      <c r="V155" s="742"/>
      <c r="W155" s="742"/>
      <c r="X155" s="742"/>
      <c r="Y155" s="742"/>
      <c r="Z155" s="742"/>
      <c r="AA155" s="742"/>
      <c r="AB155" s="742"/>
      <c r="AC155" s="742"/>
      <c r="AD155" s="742"/>
      <c r="AE155" s="742"/>
      <c r="AF155" s="742"/>
      <c r="AG155" s="742"/>
      <c r="AH155" s="742"/>
      <c r="AI155" s="742"/>
      <c r="AJ155" s="742"/>
      <c r="AK155" s="742"/>
      <c r="AL155" s="742"/>
      <c r="AM155" s="742"/>
      <c r="AN155" s="742"/>
      <c r="AO155" s="742"/>
      <c r="AP155" s="742"/>
      <c r="AQ155" s="742"/>
      <c r="AR155" s="742"/>
      <c r="AS155" s="742"/>
      <c r="AT155" s="742"/>
      <c r="AU155" s="742"/>
      <c r="AV155" s="742"/>
      <c r="AW155" s="742"/>
      <c r="AX155" s="742"/>
      <c r="AY155" s="742"/>
      <c r="AZ155" s="742"/>
      <c r="BA155" s="742"/>
      <c r="BB155" s="742"/>
      <c r="BC155" s="742"/>
      <c r="BD155" s="742"/>
      <c r="BE155" s="742"/>
      <c r="BF155" s="742"/>
      <c r="BG155" s="742"/>
      <c r="BH155" s="742"/>
      <c r="BI155" s="742"/>
      <c r="BJ155" s="742"/>
      <c r="BK155" s="742"/>
    </row>
    <row r="156" spans="1:63" ht="11.25" customHeight="1">
      <c r="A156" s="614"/>
      <c r="B156" s="662"/>
      <c r="C156" s="749" t="s">
        <v>229</v>
      </c>
      <c r="D156" s="1182">
        <v>33</v>
      </c>
      <c r="E156" s="1176">
        <v>27</v>
      </c>
      <c r="F156" s="1175">
        <v>6</v>
      </c>
      <c r="G156" s="1173">
        <v>24</v>
      </c>
      <c r="H156" s="1184">
        <v>3</v>
      </c>
      <c r="I156" s="1176">
        <v>3</v>
      </c>
      <c r="J156" s="1177">
        <v>0</v>
      </c>
      <c r="K156" s="1178">
        <v>3</v>
      </c>
      <c r="L156" s="742"/>
      <c r="M156" s="742"/>
      <c r="N156" s="742"/>
      <c r="O156" s="742"/>
      <c r="P156" s="742"/>
      <c r="Q156" s="742"/>
      <c r="R156" s="742"/>
      <c r="S156" s="742"/>
      <c r="T156" s="742"/>
      <c r="U156" s="742"/>
      <c r="V156" s="742"/>
      <c r="W156" s="742"/>
      <c r="X156" s="742"/>
      <c r="Y156" s="742"/>
      <c r="Z156" s="742"/>
      <c r="AA156" s="742"/>
      <c r="AB156" s="742"/>
      <c r="AC156" s="742"/>
      <c r="AD156" s="742"/>
      <c r="AE156" s="742"/>
      <c r="AF156" s="742"/>
      <c r="AG156" s="742"/>
      <c r="AH156" s="742"/>
      <c r="AI156" s="742"/>
      <c r="AJ156" s="742"/>
      <c r="AK156" s="742"/>
      <c r="AL156" s="742"/>
      <c r="AM156" s="742"/>
      <c r="AN156" s="742"/>
      <c r="AO156" s="742"/>
      <c r="AP156" s="742"/>
      <c r="AQ156" s="742"/>
      <c r="AR156" s="742"/>
      <c r="AS156" s="742"/>
      <c r="AT156" s="742"/>
      <c r="AU156" s="742"/>
      <c r="AV156" s="742"/>
      <c r="AW156" s="742"/>
      <c r="AX156" s="742"/>
      <c r="AY156" s="742"/>
      <c r="AZ156" s="742"/>
      <c r="BA156" s="742"/>
      <c r="BB156" s="742"/>
      <c r="BC156" s="742"/>
      <c r="BD156" s="742"/>
      <c r="BE156" s="742"/>
      <c r="BF156" s="742"/>
      <c r="BG156" s="742"/>
      <c r="BH156" s="742"/>
      <c r="BI156" s="742"/>
      <c r="BJ156" s="742"/>
      <c r="BK156" s="742"/>
    </row>
    <row r="157" spans="1:63" ht="11.25" customHeight="1">
      <c r="A157" s="614"/>
      <c r="B157" s="662"/>
      <c r="C157" s="672" t="s">
        <v>291</v>
      </c>
      <c r="D157" s="1182">
        <v>0</v>
      </c>
      <c r="E157" s="1174">
        <v>0</v>
      </c>
      <c r="F157" s="1175">
        <v>0</v>
      </c>
      <c r="G157" s="1173">
        <v>0</v>
      </c>
      <c r="H157" s="1184">
        <v>0</v>
      </c>
      <c r="I157" s="1176">
        <v>0</v>
      </c>
      <c r="J157" s="1177">
        <v>0</v>
      </c>
      <c r="K157" s="1178">
        <v>0</v>
      </c>
      <c r="L157" s="742"/>
      <c r="M157" s="742"/>
      <c r="N157" s="742"/>
      <c r="O157" s="742"/>
      <c r="P157" s="742"/>
      <c r="Q157" s="742"/>
      <c r="R157" s="742"/>
      <c r="S157" s="742"/>
      <c r="T157" s="742"/>
      <c r="U157" s="742"/>
      <c r="V157" s="742"/>
      <c r="W157" s="742"/>
      <c r="X157" s="742"/>
      <c r="Y157" s="742"/>
      <c r="Z157" s="742"/>
      <c r="AA157" s="742"/>
      <c r="AB157" s="742"/>
      <c r="AC157" s="742"/>
      <c r="AD157" s="742"/>
      <c r="AE157" s="742"/>
      <c r="AF157" s="742"/>
      <c r="AG157" s="742"/>
      <c r="AH157" s="742"/>
      <c r="AI157" s="742"/>
      <c r="AJ157" s="742"/>
      <c r="AK157" s="742"/>
      <c r="AL157" s="742"/>
      <c r="AM157" s="742"/>
      <c r="AN157" s="742"/>
      <c r="AO157" s="742"/>
      <c r="AP157" s="742"/>
      <c r="AQ157" s="742"/>
      <c r="AR157" s="742"/>
      <c r="AS157" s="742"/>
      <c r="AT157" s="742"/>
      <c r="AU157" s="742"/>
      <c r="AV157" s="742"/>
      <c r="AW157" s="742"/>
      <c r="AX157" s="742"/>
      <c r="AY157" s="742"/>
      <c r="AZ157" s="742"/>
      <c r="BA157" s="742"/>
      <c r="BB157" s="742"/>
      <c r="BC157" s="742"/>
      <c r="BD157" s="742"/>
      <c r="BE157" s="742"/>
      <c r="BF157" s="742"/>
      <c r="BG157" s="742"/>
      <c r="BH157" s="742"/>
      <c r="BI157" s="742"/>
      <c r="BJ157" s="742"/>
      <c r="BK157" s="742"/>
    </row>
    <row r="158" spans="1:63" ht="11.25" customHeight="1">
      <c r="A158" s="614"/>
      <c r="B158" s="662"/>
      <c r="C158" s="672" t="s">
        <v>292</v>
      </c>
      <c r="D158" s="1182">
        <v>0</v>
      </c>
      <c r="E158" s="1174">
        <v>0</v>
      </c>
      <c r="F158" s="1177">
        <v>0</v>
      </c>
      <c r="G158" s="1173">
        <v>0</v>
      </c>
      <c r="H158" s="1184">
        <v>0</v>
      </c>
      <c r="I158" s="1176">
        <v>0</v>
      </c>
      <c r="J158" s="1177">
        <v>0</v>
      </c>
      <c r="K158" s="1178">
        <v>0</v>
      </c>
      <c r="L158" s="742"/>
      <c r="M158" s="742"/>
      <c r="N158" s="742"/>
      <c r="O158" s="742"/>
      <c r="P158" s="742"/>
      <c r="Q158" s="742"/>
      <c r="R158" s="742"/>
      <c r="S158" s="742"/>
      <c r="T158" s="742"/>
      <c r="U158" s="742"/>
      <c r="V158" s="742"/>
      <c r="W158" s="742"/>
      <c r="X158" s="742"/>
      <c r="Y158" s="742"/>
      <c r="Z158" s="742"/>
      <c r="AA158" s="742"/>
      <c r="AB158" s="742"/>
      <c r="AC158" s="742"/>
      <c r="AD158" s="742"/>
      <c r="AE158" s="742"/>
      <c r="AF158" s="742"/>
      <c r="AG158" s="742"/>
      <c r="AH158" s="742"/>
      <c r="AI158" s="742"/>
      <c r="AJ158" s="742"/>
      <c r="AK158" s="742"/>
      <c r="AL158" s="742"/>
      <c r="AM158" s="742"/>
      <c r="AN158" s="742"/>
      <c r="AO158" s="742"/>
      <c r="AP158" s="742"/>
      <c r="AQ158" s="742"/>
      <c r="AR158" s="742"/>
      <c r="AS158" s="742"/>
      <c r="AT158" s="742"/>
      <c r="AU158" s="742"/>
      <c r="AV158" s="742"/>
      <c r="AW158" s="742"/>
      <c r="AX158" s="742"/>
      <c r="AY158" s="742"/>
      <c r="AZ158" s="742"/>
      <c r="BA158" s="742"/>
      <c r="BB158" s="742"/>
      <c r="BC158" s="742"/>
      <c r="BD158" s="742"/>
      <c r="BE158" s="742"/>
      <c r="BF158" s="742"/>
      <c r="BG158" s="742"/>
      <c r="BH158" s="742"/>
      <c r="BI158" s="742"/>
      <c r="BJ158" s="742"/>
      <c r="BK158" s="742"/>
    </row>
    <row r="159" spans="1:63" ht="11.25" customHeight="1">
      <c r="A159" s="614"/>
      <c r="B159" s="662"/>
      <c r="C159" s="749" t="s">
        <v>230</v>
      </c>
      <c r="D159" s="1182">
        <v>0</v>
      </c>
      <c r="E159" s="1174">
        <v>0</v>
      </c>
      <c r="F159" s="1175">
        <v>0</v>
      </c>
      <c r="G159" s="1173">
        <v>0</v>
      </c>
      <c r="H159" s="1184">
        <v>0</v>
      </c>
      <c r="I159" s="1176">
        <v>0</v>
      </c>
      <c r="J159" s="1177">
        <v>0</v>
      </c>
      <c r="K159" s="1178">
        <v>0</v>
      </c>
      <c r="L159" s="742"/>
      <c r="M159" s="742"/>
      <c r="N159" s="742"/>
      <c r="O159" s="742"/>
      <c r="P159" s="742"/>
      <c r="Q159" s="742"/>
      <c r="R159" s="742"/>
      <c r="S159" s="742"/>
      <c r="T159" s="742"/>
      <c r="U159" s="742"/>
      <c r="V159" s="742"/>
      <c r="W159" s="742"/>
      <c r="X159" s="742"/>
      <c r="Y159" s="742"/>
      <c r="Z159" s="742"/>
      <c r="AA159" s="742"/>
      <c r="AB159" s="742"/>
      <c r="AC159" s="742"/>
      <c r="AD159" s="742"/>
      <c r="AE159" s="742"/>
      <c r="AF159" s="742"/>
      <c r="AG159" s="742"/>
      <c r="AH159" s="742"/>
      <c r="AI159" s="742"/>
      <c r="AJ159" s="742"/>
      <c r="AK159" s="742"/>
      <c r="AL159" s="742"/>
      <c r="AM159" s="742"/>
      <c r="AN159" s="742"/>
      <c r="AO159" s="742"/>
      <c r="AP159" s="742"/>
      <c r="AQ159" s="742"/>
      <c r="AR159" s="742"/>
      <c r="AS159" s="742"/>
      <c r="AT159" s="742"/>
      <c r="AU159" s="742"/>
      <c r="AV159" s="742"/>
      <c r="AW159" s="742"/>
      <c r="AX159" s="742"/>
      <c r="AY159" s="742"/>
      <c r="AZ159" s="742"/>
      <c r="BA159" s="742"/>
      <c r="BB159" s="742"/>
      <c r="BC159" s="742"/>
      <c r="BD159" s="742"/>
      <c r="BE159" s="742"/>
      <c r="BF159" s="742"/>
      <c r="BG159" s="742"/>
      <c r="BH159" s="742"/>
      <c r="BI159" s="742"/>
      <c r="BJ159" s="742"/>
      <c r="BK159" s="742"/>
    </row>
    <row r="160" spans="1:63" ht="11.25" customHeight="1">
      <c r="A160" s="614"/>
      <c r="B160" s="662"/>
      <c r="C160" s="672" t="s">
        <v>258</v>
      </c>
      <c r="D160" s="1182">
        <v>18</v>
      </c>
      <c r="E160" s="1174">
        <v>18</v>
      </c>
      <c r="F160" s="1175">
        <v>3</v>
      </c>
      <c r="G160" s="1173">
        <v>18</v>
      </c>
      <c r="H160" s="1184">
        <v>0</v>
      </c>
      <c r="I160" s="1176">
        <v>0</v>
      </c>
      <c r="J160" s="1177">
        <v>0</v>
      </c>
      <c r="K160" s="1178">
        <v>0</v>
      </c>
      <c r="L160" s="742"/>
      <c r="M160" s="742"/>
      <c r="N160" s="742"/>
      <c r="O160" s="742"/>
      <c r="P160" s="742"/>
      <c r="Q160" s="742"/>
      <c r="R160" s="742"/>
      <c r="S160" s="742"/>
      <c r="T160" s="742"/>
      <c r="U160" s="742"/>
      <c r="V160" s="742"/>
      <c r="W160" s="742"/>
      <c r="X160" s="742"/>
      <c r="Y160" s="742"/>
      <c r="Z160" s="742"/>
      <c r="AA160" s="742"/>
      <c r="AB160" s="742"/>
      <c r="AC160" s="742"/>
      <c r="AD160" s="742"/>
      <c r="AE160" s="742"/>
      <c r="AF160" s="742"/>
      <c r="AG160" s="742"/>
      <c r="AH160" s="742"/>
      <c r="AI160" s="742"/>
      <c r="AJ160" s="742"/>
      <c r="AK160" s="742"/>
      <c r="AL160" s="742"/>
      <c r="AM160" s="742"/>
      <c r="AN160" s="742"/>
      <c r="AO160" s="742"/>
      <c r="AP160" s="742"/>
      <c r="AQ160" s="742"/>
      <c r="AR160" s="742"/>
      <c r="AS160" s="742"/>
      <c r="AT160" s="742"/>
      <c r="AU160" s="742"/>
      <c r="AV160" s="742"/>
      <c r="AW160" s="742"/>
      <c r="AX160" s="742"/>
      <c r="AY160" s="742"/>
      <c r="AZ160" s="742"/>
      <c r="BA160" s="742"/>
      <c r="BB160" s="742"/>
      <c r="BC160" s="742"/>
      <c r="BD160" s="742"/>
      <c r="BE160" s="742"/>
      <c r="BF160" s="742"/>
      <c r="BG160" s="742"/>
      <c r="BH160" s="742"/>
      <c r="BI160" s="742"/>
      <c r="BJ160" s="742"/>
      <c r="BK160" s="742"/>
    </row>
    <row r="161" spans="1:63" s="388" customFormat="1" ht="3" customHeight="1">
      <c r="A161" s="751"/>
      <c r="B161" s="752"/>
      <c r="C161" s="661" t="s">
        <v>258</v>
      </c>
      <c r="D161" s="1182"/>
      <c r="E161" s="1176"/>
      <c r="F161" s="1175"/>
      <c r="G161" s="1173"/>
      <c r="H161" s="1176"/>
      <c r="I161" s="1176"/>
      <c r="J161" s="1177"/>
      <c r="K161" s="1178"/>
      <c r="L161" s="389"/>
      <c r="M161" s="389"/>
      <c r="N161" s="389"/>
      <c r="O161" s="389"/>
      <c r="P161" s="389"/>
      <c r="Q161" s="389"/>
      <c r="R161" s="389"/>
      <c r="S161" s="389"/>
      <c r="T161" s="389"/>
      <c r="U161" s="389"/>
      <c r="V161" s="389"/>
      <c r="W161" s="389"/>
      <c r="X161" s="389"/>
      <c r="Y161" s="389"/>
      <c r="Z161" s="389"/>
      <c r="AA161" s="389"/>
      <c r="AB161" s="389"/>
      <c r="AC161" s="389"/>
      <c r="AD161" s="389"/>
      <c r="AE161" s="389"/>
      <c r="AF161" s="389"/>
      <c r="AG161" s="389"/>
      <c r="AH161" s="389"/>
      <c r="AI161" s="389"/>
      <c r="AJ161" s="389"/>
      <c r="AK161" s="389"/>
      <c r="AL161" s="389"/>
      <c r="AM161" s="389"/>
      <c r="AN161" s="389"/>
      <c r="AO161" s="389"/>
      <c r="AP161" s="389"/>
      <c r="AQ161" s="389"/>
      <c r="AR161" s="389"/>
      <c r="AS161" s="389"/>
      <c r="AT161" s="389"/>
      <c r="AU161" s="389"/>
      <c r="AV161" s="389"/>
      <c r="AW161" s="389"/>
      <c r="AX161" s="389"/>
      <c r="AY161" s="389"/>
      <c r="AZ161" s="389"/>
      <c r="BA161" s="389"/>
      <c r="BB161" s="389"/>
      <c r="BC161" s="389"/>
      <c r="BD161" s="389"/>
      <c r="BE161" s="389"/>
      <c r="BF161" s="389"/>
      <c r="BG161" s="389"/>
      <c r="BH161" s="389"/>
      <c r="BI161" s="389"/>
      <c r="BJ161" s="389"/>
      <c r="BK161" s="389"/>
    </row>
    <row r="162" spans="1:63" s="388" customFormat="1" ht="18" customHeight="1" thickBot="1">
      <c r="A162" s="1160"/>
      <c r="B162" s="1161"/>
      <c r="C162" s="1277" t="s">
        <v>340</v>
      </c>
      <c r="D162" s="1278">
        <f t="shared" ref="D162:K162" si="0">SUM(D15:D64,D78:D117,D131:D160)</f>
        <v>2307</v>
      </c>
      <c r="E162" s="1279">
        <f t="shared" si="0"/>
        <v>1917</v>
      </c>
      <c r="F162" s="1280">
        <f t="shared" si="0"/>
        <v>396</v>
      </c>
      <c r="G162" s="1278">
        <f t="shared" si="0"/>
        <v>1884</v>
      </c>
      <c r="H162" s="1281">
        <f t="shared" si="0"/>
        <v>207</v>
      </c>
      <c r="I162" s="1281">
        <f t="shared" si="0"/>
        <v>165</v>
      </c>
      <c r="J162" s="1282">
        <f t="shared" si="0"/>
        <v>39</v>
      </c>
      <c r="K162" s="1283">
        <f t="shared" si="0"/>
        <v>120</v>
      </c>
      <c r="L162" s="389"/>
      <c r="M162" s="389"/>
      <c r="N162" s="389"/>
      <c r="O162" s="389"/>
      <c r="P162" s="389"/>
      <c r="Q162" s="389"/>
      <c r="R162" s="389"/>
      <c r="S162" s="389"/>
      <c r="T162" s="389"/>
      <c r="U162" s="389"/>
      <c r="V162" s="389"/>
      <c r="W162" s="389"/>
      <c r="X162" s="389"/>
      <c r="Y162" s="389"/>
      <c r="Z162" s="389"/>
      <c r="AA162" s="389"/>
      <c r="AB162" s="389"/>
      <c r="AC162" s="389"/>
      <c r="AD162" s="389"/>
      <c r="AE162" s="389"/>
      <c r="AF162" s="389"/>
      <c r="AG162" s="389"/>
      <c r="AH162" s="389"/>
      <c r="AI162" s="389"/>
      <c r="AJ162" s="389"/>
      <c r="AK162" s="389"/>
      <c r="AL162" s="389"/>
      <c r="AM162" s="389"/>
      <c r="AN162" s="389"/>
      <c r="AO162" s="389"/>
      <c r="AP162" s="389"/>
      <c r="AQ162" s="389"/>
      <c r="AR162" s="389"/>
      <c r="AS162" s="389"/>
      <c r="AT162" s="389"/>
      <c r="AU162" s="389"/>
      <c r="AV162" s="389"/>
      <c r="AW162" s="389"/>
      <c r="AX162" s="389"/>
      <c r="AY162" s="389"/>
      <c r="AZ162" s="389"/>
      <c r="BA162" s="389"/>
      <c r="BB162" s="389"/>
      <c r="BC162" s="389"/>
      <c r="BD162" s="389"/>
      <c r="BE162" s="389"/>
      <c r="BF162" s="389"/>
      <c r="BG162" s="389"/>
      <c r="BH162" s="389"/>
      <c r="BI162" s="389"/>
      <c r="BJ162" s="389"/>
      <c r="BK162" s="389"/>
    </row>
    <row r="163" spans="1:63" s="388" customFormat="1" ht="3.75" customHeight="1"/>
    <row r="164" spans="1:63" s="388" customFormat="1" ht="11.9" customHeight="1">
      <c r="A164" s="70" t="s">
        <v>342</v>
      </c>
      <c r="B164" s="70"/>
    </row>
    <row r="165" spans="1:63" ht="11.9" customHeight="1">
      <c r="A165" s="8" t="s">
        <v>249</v>
      </c>
      <c r="B165" s="8"/>
    </row>
    <row r="166" spans="1:63" ht="12" customHeight="1">
      <c r="A166" s="1021"/>
    </row>
    <row r="167" spans="1:63" ht="12" customHeight="1">
      <c r="A167" s="753"/>
      <c r="B167" s="753"/>
      <c r="K167" s="754"/>
    </row>
    <row r="168" spans="1:63" ht="12" customHeight="1">
      <c r="A168" s="753"/>
      <c r="B168" s="753"/>
      <c r="K168" s="754"/>
    </row>
    <row r="169" spans="1:63" ht="12" customHeight="1">
      <c r="A169" s="753"/>
      <c r="B169" s="753"/>
      <c r="K169" s="754"/>
    </row>
    <row r="170" spans="1:63" ht="12" customHeight="1">
      <c r="A170" s="753"/>
      <c r="B170" s="753"/>
      <c r="K170" s="754"/>
    </row>
    <row r="171" spans="1:63" ht="12" customHeight="1">
      <c r="A171" s="753"/>
      <c r="B171" s="753"/>
      <c r="K171" s="754"/>
    </row>
    <row r="172" spans="1:63" ht="12" customHeight="1">
      <c r="A172" s="753"/>
      <c r="B172" s="753"/>
      <c r="K172" s="754"/>
    </row>
    <row r="173" spans="1:63" ht="12" customHeight="1">
      <c r="A173" s="753"/>
      <c r="B173" s="753"/>
      <c r="K173" s="754"/>
    </row>
    <row r="174" spans="1:63" ht="12" customHeight="1">
      <c r="A174" s="753"/>
      <c r="B174" s="753"/>
      <c r="K174" s="754"/>
    </row>
    <row r="175" spans="1:63" ht="12" customHeight="1">
      <c r="A175" s="753"/>
      <c r="B175" s="753"/>
      <c r="K175" s="754"/>
    </row>
    <row r="176" spans="1:63">
      <c r="C176" s="742"/>
      <c r="D176" s="750"/>
      <c r="E176" s="742"/>
    </row>
    <row r="177" spans="3:11">
      <c r="C177" s="742"/>
      <c r="D177" s="742"/>
      <c r="E177" s="742"/>
    </row>
    <row r="178" spans="3:11">
      <c r="C178" s="387"/>
      <c r="D178" s="742"/>
      <c r="E178" s="750"/>
      <c r="F178" s="738"/>
      <c r="G178" s="738"/>
      <c r="H178" s="738"/>
      <c r="I178" s="738"/>
      <c r="J178" s="738"/>
      <c r="K178" s="738"/>
    </row>
    <row r="179" spans="3:11">
      <c r="C179" s="742"/>
      <c r="D179" s="742"/>
      <c r="E179" s="742"/>
    </row>
    <row r="180" spans="3:11">
      <c r="C180" s="742"/>
      <c r="D180" s="742"/>
      <c r="E180" s="742"/>
    </row>
    <row r="181" spans="3:11">
      <c r="C181" s="386"/>
      <c r="D181" s="742"/>
      <c r="E181" s="742"/>
    </row>
    <row r="182" spans="3:11">
      <c r="C182" s="386"/>
      <c r="D182" s="742"/>
      <c r="E182" s="742"/>
    </row>
    <row r="183" spans="3:11">
      <c r="C183" s="385"/>
      <c r="D183" s="742"/>
      <c r="E183" s="742"/>
    </row>
    <row r="184" spans="3:11">
      <c r="C184" s="742"/>
      <c r="D184" s="742"/>
      <c r="E184" s="742"/>
    </row>
    <row r="185" spans="3:11">
      <c r="C185" s="742"/>
      <c r="D185" s="750"/>
      <c r="E185" s="742"/>
    </row>
    <row r="186" spans="3:11">
      <c r="C186" s="742"/>
      <c r="D186" s="750"/>
      <c r="E186" s="742"/>
    </row>
    <row r="187" spans="3:11">
      <c r="C187" s="742"/>
      <c r="D187" s="750"/>
      <c r="E187" s="742"/>
    </row>
    <row r="188" spans="3:11">
      <c r="C188" s="742"/>
      <c r="D188" s="750"/>
      <c r="E188" s="742"/>
    </row>
    <row r="189" spans="3:11">
      <c r="C189" s="742"/>
      <c r="D189" s="750"/>
      <c r="E189" s="742"/>
    </row>
    <row r="190" spans="3:11">
      <c r="C190" s="742"/>
      <c r="D190" s="750"/>
      <c r="E190" s="742"/>
    </row>
    <row r="191" spans="3:11">
      <c r="C191" s="755"/>
      <c r="D191" s="750"/>
      <c r="E191" s="750"/>
    </row>
    <row r="192" spans="3:11">
      <c r="C192" s="742"/>
      <c r="D192" s="750"/>
      <c r="E192" s="742"/>
    </row>
    <row r="193" spans="3:5">
      <c r="C193" s="742"/>
      <c r="D193" s="750"/>
      <c r="E193" s="742"/>
    </row>
    <row r="194" spans="3:5">
      <c r="C194" s="755"/>
      <c r="D194" s="750"/>
      <c r="E194" s="750"/>
    </row>
    <row r="195" spans="3:5">
      <c r="C195" s="742"/>
      <c r="D195" s="750"/>
      <c r="E195" s="742"/>
    </row>
    <row r="196" spans="3:5">
      <c r="C196" s="755"/>
      <c r="D196" s="750"/>
      <c r="E196" s="750"/>
    </row>
    <row r="197" spans="3:5">
      <c r="C197" s="742"/>
      <c r="D197" s="750"/>
      <c r="E197" s="742"/>
    </row>
    <row r="198" spans="3:5">
      <c r="C198" s="755"/>
      <c r="D198" s="756"/>
      <c r="E198" s="756"/>
    </row>
    <row r="199" spans="3:5">
      <c r="C199" s="742"/>
      <c r="D199" s="756"/>
      <c r="E199" s="742"/>
    </row>
    <row r="200" spans="3:5">
      <c r="C200" s="742"/>
      <c r="D200" s="756"/>
      <c r="E200" s="742"/>
    </row>
    <row r="201" spans="3:5">
      <c r="C201" s="385"/>
      <c r="D201" s="756"/>
      <c r="E201" s="756"/>
    </row>
    <row r="202" spans="3:5">
      <c r="C202" s="742"/>
      <c r="D202" s="756"/>
      <c r="E202" s="742"/>
    </row>
  </sheetData>
  <mergeCells count="22">
    <mergeCell ref="A124:B129"/>
    <mergeCell ref="D124:K124"/>
    <mergeCell ref="H125:K125"/>
    <mergeCell ref="H126:K126"/>
    <mergeCell ref="A120:D120"/>
    <mergeCell ref="A122:K122"/>
    <mergeCell ref="A3:D3"/>
    <mergeCell ref="H9:K9"/>
    <mergeCell ref="H10:K10"/>
    <mergeCell ref="D8:K8"/>
    <mergeCell ref="A5:K5"/>
    <mergeCell ref="A8:B13"/>
    <mergeCell ref="C10:C11"/>
    <mergeCell ref="C12:C13"/>
    <mergeCell ref="A67:D67"/>
    <mergeCell ref="A69:K69"/>
    <mergeCell ref="A71:B76"/>
    <mergeCell ref="D71:K71"/>
    <mergeCell ref="H72:K72"/>
    <mergeCell ref="H73:K73"/>
    <mergeCell ref="C73:C74"/>
    <mergeCell ref="C75:C76"/>
  </mergeCells>
  <printOptions horizontalCentered="1"/>
  <pageMargins left="0.23622047244094491" right="0.19685039370078741" top="0.70866141732283472" bottom="0.27559055118110237" header="0.51181102362204722" footer="0.15748031496062992"/>
  <pageSetup paperSize="9" scale="77" fitToHeight="2" orientation="landscape" r:id="rId1"/>
  <headerFooter alignWithMargins="0">
    <oddHeader>&amp;C&amp;"Arial,Standard"&amp;8
&amp;R&amp;8&amp;D</oddHeader>
    <oddFooter>&amp;R
&amp;12...</oddFooter>
  </headerFooter>
  <rowBreaks count="2" manualBreakCount="2">
    <brk id="65" max="16383" man="1"/>
    <brk id="11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51">
    <tabColor rgb="FFC00000"/>
  </sheetPr>
  <dimension ref="A2:AG36"/>
  <sheetViews>
    <sheetView zoomScaleNormal="100" zoomScaleSheetLayoutView="100" workbookViewId="0">
      <selection activeCell="C12" sqref="C12"/>
    </sheetView>
  </sheetViews>
  <sheetFormatPr baseColWidth="10" defaultColWidth="11.3828125" defaultRowHeight="14.15"/>
  <cols>
    <col min="1" max="1" width="5.3046875" style="772" customWidth="1"/>
    <col min="2" max="2" width="1.15234375" style="772" customWidth="1"/>
    <col min="3" max="4" width="9.3828125" style="772" customWidth="1"/>
    <col min="5" max="5" width="9.3828125" style="840" customWidth="1"/>
    <col min="6" max="8" width="9.3828125" style="772" customWidth="1"/>
    <col min="9" max="10" width="11.3046875" style="772" customWidth="1"/>
    <col min="11" max="12" width="9.3828125" style="772" customWidth="1"/>
    <col min="13" max="13" width="9.3828125" style="840" customWidth="1"/>
    <col min="14" max="16" width="9.3828125" style="772" customWidth="1"/>
    <col min="17" max="16384" width="11.3828125" style="772"/>
  </cols>
  <sheetData>
    <row r="2" spans="1:23">
      <c r="A2" s="1708" t="s">
        <v>385</v>
      </c>
      <c r="B2" s="1708"/>
      <c r="C2" s="1708"/>
      <c r="D2" s="1708"/>
      <c r="E2" s="769"/>
      <c r="F2" s="769"/>
      <c r="G2" s="769"/>
      <c r="H2" s="769"/>
      <c r="I2" s="770"/>
      <c r="J2" s="771"/>
      <c r="K2" s="771"/>
      <c r="L2" s="771"/>
      <c r="M2" s="771"/>
      <c r="N2" s="648"/>
    </row>
    <row r="3" spans="1:23" ht="12" customHeight="1">
      <c r="A3" s="773"/>
      <c r="B3" s="773"/>
      <c r="C3" s="774"/>
      <c r="D3" s="774"/>
      <c r="E3" s="775"/>
      <c r="F3" s="774"/>
      <c r="G3" s="774"/>
      <c r="H3" s="774"/>
      <c r="I3" s="774"/>
      <c r="J3" s="776"/>
      <c r="K3" s="774"/>
      <c r="L3" s="774"/>
      <c r="M3" s="775"/>
      <c r="N3" s="774"/>
    </row>
    <row r="4" spans="1:23" ht="18" customHeight="1">
      <c r="A4" s="1729" t="s">
        <v>382</v>
      </c>
      <c r="B4" s="1729"/>
      <c r="C4" s="1730"/>
      <c r="D4" s="1730"/>
      <c r="E4" s="1730"/>
      <c r="F4" s="1730"/>
      <c r="G4" s="1730"/>
      <c r="H4" s="1730"/>
      <c r="I4" s="1730"/>
      <c r="J4" s="1730"/>
      <c r="K4" s="1730"/>
      <c r="L4" s="1730"/>
      <c r="M4" s="1730"/>
      <c r="N4" s="1730"/>
      <c r="O4" s="1731"/>
      <c r="P4" s="1731"/>
    </row>
    <row r="5" spans="1:23" ht="18" customHeight="1" thickBot="1">
      <c r="A5" s="777"/>
      <c r="B5" s="777"/>
      <c r="C5" s="778"/>
      <c r="D5" s="778"/>
      <c r="E5" s="779"/>
      <c r="F5" s="778"/>
      <c r="G5" s="778"/>
      <c r="H5" s="778"/>
      <c r="I5" s="777"/>
      <c r="J5" s="777"/>
      <c r="K5" s="776"/>
      <c r="L5" s="776"/>
      <c r="M5" s="780"/>
      <c r="N5" s="776"/>
    </row>
    <row r="6" spans="1:23" s="753" customFormat="1" ht="15.75" customHeight="1">
      <c r="A6" s="1590" t="s">
        <v>43</v>
      </c>
      <c r="B6" s="1732"/>
      <c r="C6" s="1585" t="s">
        <v>386</v>
      </c>
      <c r="D6" s="1585"/>
      <c r="E6" s="1585"/>
      <c r="F6" s="1585"/>
      <c r="G6" s="1585"/>
      <c r="H6" s="1586"/>
      <c r="I6" s="781" t="s">
        <v>0</v>
      </c>
      <c r="J6" s="782" t="s">
        <v>1</v>
      </c>
      <c r="K6" s="1587" t="s">
        <v>252</v>
      </c>
      <c r="L6" s="1588"/>
      <c r="M6" s="1588"/>
      <c r="N6" s="1588"/>
      <c r="O6" s="1588"/>
      <c r="P6" s="1589"/>
    </row>
    <row r="7" spans="1:23" s="753" customFormat="1" ht="13.5" customHeight="1">
      <c r="A7" s="1733"/>
      <c r="B7" s="1734"/>
      <c r="C7" s="783"/>
      <c r="D7" s="784"/>
      <c r="E7" s="784"/>
      <c r="F7" s="638" t="s">
        <v>251</v>
      </c>
      <c r="G7" s="785"/>
      <c r="H7" s="785"/>
      <c r="I7" s="781" t="s">
        <v>3</v>
      </c>
      <c r="J7" s="782" t="s">
        <v>4</v>
      </c>
      <c r="K7" s="786"/>
      <c r="L7" s="784"/>
      <c r="M7" s="784"/>
      <c r="N7" s="1737" t="s">
        <v>312</v>
      </c>
      <c r="O7" s="1738"/>
      <c r="P7" s="1739"/>
    </row>
    <row r="8" spans="1:23" s="753" customFormat="1" ht="13.5" customHeight="1">
      <c r="A8" s="1733"/>
      <c r="B8" s="1734"/>
      <c r="C8" s="788"/>
      <c r="D8" s="789"/>
      <c r="E8" s="789"/>
      <c r="F8" s="636" t="s">
        <v>300</v>
      </c>
      <c r="G8" s="635"/>
      <c r="H8" s="635"/>
      <c r="I8" s="781" t="s">
        <v>8</v>
      </c>
      <c r="J8" s="782" t="s">
        <v>8</v>
      </c>
      <c r="K8" s="790"/>
      <c r="L8" s="789"/>
      <c r="M8" s="789"/>
      <c r="N8" s="1740" t="s">
        <v>341</v>
      </c>
      <c r="O8" s="1741"/>
      <c r="P8" s="1742"/>
      <c r="Q8" s="791"/>
      <c r="R8" s="791"/>
      <c r="S8" s="791"/>
      <c r="T8" s="792"/>
      <c r="U8" s="791"/>
      <c r="V8" s="791"/>
      <c r="W8" s="793"/>
    </row>
    <row r="9" spans="1:23" s="753" customFormat="1" ht="13.5" customHeight="1">
      <c r="A9" s="1733"/>
      <c r="B9" s="1734"/>
      <c r="C9" s="794" t="s">
        <v>19</v>
      </c>
      <c r="D9" s="795" t="s">
        <v>17</v>
      </c>
      <c r="E9" s="796" t="s">
        <v>18</v>
      </c>
      <c r="F9" s="784"/>
      <c r="G9" s="787"/>
      <c r="H9" s="787"/>
      <c r="I9" s="781" t="s">
        <v>20</v>
      </c>
      <c r="J9" s="782" t="s">
        <v>20</v>
      </c>
      <c r="K9" s="797" t="s">
        <v>19</v>
      </c>
      <c r="L9" s="795" t="s">
        <v>17</v>
      </c>
      <c r="M9" s="796" t="s">
        <v>18</v>
      </c>
      <c r="N9" s="797" t="s">
        <v>19</v>
      </c>
      <c r="O9" s="798" t="s">
        <v>17</v>
      </c>
      <c r="P9" s="799" t="s">
        <v>18</v>
      </c>
    </row>
    <row r="10" spans="1:23" s="753" customFormat="1" ht="13.5" customHeight="1">
      <c r="A10" s="1733"/>
      <c r="B10" s="1734"/>
      <c r="C10" s="794" t="s">
        <v>29</v>
      </c>
      <c r="D10" s="795" t="s">
        <v>28</v>
      </c>
      <c r="E10" s="796" t="s">
        <v>28</v>
      </c>
      <c r="F10" s="795" t="s">
        <v>30</v>
      </c>
      <c r="G10" s="798" t="s">
        <v>31</v>
      </c>
      <c r="H10" s="798" t="s">
        <v>32</v>
      </c>
      <c r="I10" s="781" t="s">
        <v>33</v>
      </c>
      <c r="J10" s="782" t="s">
        <v>33</v>
      </c>
      <c r="K10" s="797" t="s">
        <v>29</v>
      </c>
      <c r="L10" s="795" t="s">
        <v>28</v>
      </c>
      <c r="M10" s="796" t="s">
        <v>34</v>
      </c>
      <c r="N10" s="797" t="s">
        <v>29</v>
      </c>
      <c r="O10" s="798" t="s">
        <v>28</v>
      </c>
      <c r="P10" s="799" t="s">
        <v>34</v>
      </c>
    </row>
    <row r="11" spans="1:23" s="753" customFormat="1" ht="13.5" customHeight="1">
      <c r="A11" s="1735"/>
      <c r="B11" s="1736"/>
      <c r="C11" s="800"/>
      <c r="D11" s="801"/>
      <c r="E11" s="802"/>
      <c r="F11" s="803"/>
      <c r="G11" s="804"/>
      <c r="H11" s="804"/>
      <c r="I11" s="805" t="s">
        <v>39</v>
      </c>
      <c r="J11" s="806" t="s">
        <v>39</v>
      </c>
      <c r="K11" s="807"/>
      <c r="L11" s="803"/>
      <c r="M11" s="808"/>
      <c r="N11" s="790"/>
      <c r="O11" s="804"/>
      <c r="P11" s="809"/>
    </row>
    <row r="12" spans="1:23" ht="15" customHeight="1">
      <c r="A12" s="592" t="s">
        <v>58</v>
      </c>
      <c r="B12" s="794"/>
      <c r="C12" s="1185" t="e">
        <f>'A. Ausbildungsverh. Landwirt'!C16+'Fachkraft Agrarservice'!C13+Winzer!C13+'LW-Fachwerker'!C13+Tierwirt!C14+Fischwirt!C13+Pferdewirt!C13+'Pferdewirt (2)'!C13+Gärtner!C14+'Gaba-Fachwerker'!C13+Revierjäger!C13+Forstwirt!C13+#REF!+'Milchtechnologe-technologin'!C13+Milchw.Laborant!C13+Hauswirtschaft!C13</f>
        <v>#REF!</v>
      </c>
      <c r="D12" s="1054" t="e">
        <f>'A. Ausbildungsverh. Landwirt'!D16+'Fachkraft Agrarservice'!D13+Winzer!D13+'LW-Fachwerker'!D13+Tierwirt!D14+Fischwirt!D13+Pferdewirt!D13+'Pferdewirt (2)'!D13+Gärtner!D14+'Gaba-Fachwerker'!D13+Revierjäger!D13+Forstwirt!D13+#REF!+'Milchtechnologe-technologin'!D13+Milchw.Laborant!D13+Hauswirtschaft!D13</f>
        <v>#REF!</v>
      </c>
      <c r="E12" s="1054" t="e">
        <f>'A. Ausbildungsverh. Landwirt'!E16+'Fachkraft Agrarservice'!E13+Winzer!E13+'LW-Fachwerker'!E13+Tierwirt!E14+Fischwirt!E13+Pferdewirt!E13+'Pferdewirt (2)'!E13+Gärtner!E14+'Gaba-Fachwerker'!E13+Revierjäger!E13+Forstwirt!E13+#REF!+'Milchtechnologe-technologin'!E13+Milchw.Laborant!E13+Hauswirtschaft!E13</f>
        <v>#REF!</v>
      </c>
      <c r="F12" s="1054" t="e">
        <f>'A. Ausbildungsverh. Landwirt'!F16+'Fachkraft Agrarservice'!F13+Winzer!F13+'LW-Fachwerker'!F13+Tierwirt!F14+Fischwirt!F13+Pferdewirt!F13+'Pferdewirt (2)'!F13+Gärtner!F14+'Gaba-Fachwerker'!F13+Revierjäger!F13+Forstwirt!F13+#REF!+'Milchtechnologe-technologin'!F13+Milchw.Laborant!F13+Hauswirtschaft!F13</f>
        <v>#REF!</v>
      </c>
      <c r="G12" s="1054" t="e">
        <f>'A. Ausbildungsverh. Landwirt'!G16+'Fachkraft Agrarservice'!G13+Winzer!G13+'LW-Fachwerker'!G13+Tierwirt!G14+Fischwirt!G13+Pferdewirt!G13+'Pferdewirt (2)'!G13+Gärtner!G14+'Gaba-Fachwerker'!G13+Revierjäger!G13+Forstwirt!G13+#REF!+'Milchtechnologe-technologin'!G13+Milchw.Laborant!G13+Hauswirtschaft!G13</f>
        <v>#REF!</v>
      </c>
      <c r="H12" s="1054" t="e">
        <f>'A. Ausbildungsverh. Landwirt'!H16+'Fachkraft Agrarservice'!H13+Winzer!H13+'LW-Fachwerker'!H13+Tierwirt!H14+Fischwirt!H13+Pferdewirt!H13+'Pferdewirt (2)'!H13+Gärtner!H14+'Gaba-Fachwerker'!H13+Revierjäger!H13+Forstwirt!H13+#REF!+'Milchtechnologe-technologin'!H13+Milchw.Laborant!H13+Hauswirtschaft!H13</f>
        <v>#REF!</v>
      </c>
      <c r="I12" s="1054" t="e">
        <f>'A. Ausbildungsverh. Landwirt'!I16+'Fachkraft Agrarservice'!I13+Winzer!I13+'LW-Fachwerker'!I13+Tierwirt!I14+Fischwirt!I13+Pferdewirt!I13+'Pferdewirt (2)'!I13+Gärtner!I14+'Gaba-Fachwerker'!I13+Revierjäger!I13+Forstwirt!I13+#REF!+'Milchtechnologe-technologin'!I13+Milchw.Laborant!I13+Hauswirtschaft!I13</f>
        <v>#REF!</v>
      </c>
      <c r="J12" s="1054" t="e">
        <f>'A. Ausbildungsverh. Landwirt'!J16+'Fachkraft Agrarservice'!J13+Winzer!J13+'LW-Fachwerker'!J13+Tierwirt!J14+Fischwirt!J13+Pferdewirt!J13+'Pferdewirt (2)'!J13+Gärtner!J14+'Gaba-Fachwerker'!J13+Revierjäger!J13+Forstwirt!J13+#REF!+'Milchtechnologe-technologin'!J13+Milchw.Laborant!J13+Hauswirtschaft!J13</f>
        <v>#REF!</v>
      </c>
      <c r="K12" s="1185" t="e">
        <f>'A. Ausbildungsverh. Landwirt'!K16+'Fachkraft Agrarservice'!K13+Winzer!K13+'LW-Fachwerker'!K13+Tierwirt!K14+Fischwirt!K13+Pferdewirt!K13+'Pferdewirt (2)'!K13+Gärtner!K14+'Gaba-Fachwerker'!K13+Revierjäger!K13+Forstwirt!K13+#REF!+'Milchtechnologe-technologin'!K13+Milchw.Laborant!K13+Hauswirtschaft!K13</f>
        <v>#REF!</v>
      </c>
      <c r="L12" s="1054" t="e">
        <f>'A. Ausbildungsverh. Landwirt'!L16+'Fachkraft Agrarservice'!L13+Winzer!L13+'LW-Fachwerker'!L13+Tierwirt!L14+Fischwirt!L13+Pferdewirt!L13+'Pferdewirt (2)'!L13+Gärtner!L14+'Gaba-Fachwerker'!L13+Revierjäger!L13+Forstwirt!L13+#REF!+'Milchtechnologe-technologin'!L13+Milchw.Laborant!L13+Hauswirtschaft!L13</f>
        <v>#REF!</v>
      </c>
      <c r="M12" s="1054" t="e">
        <f>'A. Ausbildungsverh. Landwirt'!M16+'Fachkraft Agrarservice'!M13+Winzer!M13+'LW-Fachwerker'!M13+Tierwirt!M14+Fischwirt!M13+Pferdewirt!M13+'Pferdewirt (2)'!M13+Gärtner!M14+'Gaba-Fachwerker'!M13+Revierjäger!M13+Forstwirt!M13+#REF!+'Milchtechnologe-technologin'!M13+Milchw.Laborant!M13+Hauswirtschaft!M13</f>
        <v>#REF!</v>
      </c>
      <c r="N12" s="1185" t="e">
        <f>'A. Ausbildungsverh. Landwirt'!N16+'Fachkraft Agrarservice'!N13+Winzer!N13+'LW-Fachwerker'!N13+Tierwirt!N14+Fischwirt!N13+Pferdewirt!N13+'Pferdewirt (2)'!N13+Gärtner!N14+'Gaba-Fachwerker'!N13+Revierjäger!N13+Forstwirt!N13+#REF!+'Milchtechnologe-technologin'!N13+Milchw.Laborant!N13+Hauswirtschaft!N13</f>
        <v>#REF!</v>
      </c>
      <c r="O12" s="1054" t="e">
        <f>'A. Ausbildungsverh. Landwirt'!O16+'Fachkraft Agrarservice'!O13+Winzer!O13+'LW-Fachwerker'!O13+Tierwirt!O14+Fischwirt!O13+Pferdewirt!O13+'Pferdewirt (2)'!O13+Gärtner!O14+'Gaba-Fachwerker'!O13+Revierjäger!O13+Forstwirt!O13+#REF!+'Milchtechnologe-technologin'!O13+Milchw.Laborant!O13+Hauswirtschaft!O13</f>
        <v>#REF!</v>
      </c>
      <c r="P12" s="1055" t="e">
        <f>'A. Ausbildungsverh. Landwirt'!P16+'Fachkraft Agrarservice'!P13+Winzer!P13+'LW-Fachwerker'!P13+Tierwirt!P14+Fischwirt!P13+Pferdewirt!P13+'Pferdewirt (2)'!P13+Gärtner!P14+'Gaba-Fachwerker'!P13+Revierjäger!P13+Forstwirt!P13+#REF!+'Milchtechnologe-technologin'!P13+Milchw.Laborant!P13+Hauswirtschaft!P13</f>
        <v>#REF!</v>
      </c>
    </row>
    <row r="13" spans="1:23" ht="15" customHeight="1">
      <c r="A13" s="592" t="s">
        <v>49</v>
      </c>
      <c r="B13" s="794"/>
      <c r="C13" s="1186" t="e">
        <f>'A. Ausbildungsverh. Landwirt'!C17+'Fachkraft Agrarservice'!C14+Winzer!C14+'LW-Fachwerker'!C14+Tierwirt!C22+Fischwirt!C14+Pferdewirt!C14+'Pferdewirt (2)'!C14+Gärtner!C23+'Gaba-Fachwerker'!C14+Revierjäger!C14+Forstwirt!C14+#REF!+'Milchtechnologe-technologin'!C14+Milchw.Laborant!C14+Hauswirtschaft!C14</f>
        <v>#REF!</v>
      </c>
      <c r="D13" s="1056" t="e">
        <f>'A. Ausbildungsverh. Landwirt'!D17+'Fachkraft Agrarservice'!D14+Winzer!D14+'LW-Fachwerker'!D14+Tierwirt!D22+Fischwirt!D14+Pferdewirt!D14+'Pferdewirt (2)'!D14+Gärtner!D23+'Gaba-Fachwerker'!D14+Revierjäger!D14+Forstwirt!D14+#REF!+'Milchtechnologe-technologin'!D14+Milchw.Laborant!D14+Hauswirtschaft!D14</f>
        <v>#REF!</v>
      </c>
      <c r="E13" s="1056" t="e">
        <f>'A. Ausbildungsverh. Landwirt'!E17+'Fachkraft Agrarservice'!E14+Winzer!E14+'LW-Fachwerker'!E14+Tierwirt!E22+Fischwirt!E14+Pferdewirt!E14+'Pferdewirt (2)'!E14+Gärtner!E23+'Gaba-Fachwerker'!E14+Revierjäger!E14+Forstwirt!E14+#REF!+'Milchtechnologe-technologin'!E14+Milchw.Laborant!E14+Hauswirtschaft!E14</f>
        <v>#REF!</v>
      </c>
      <c r="F13" s="1056" t="e">
        <f>'A. Ausbildungsverh. Landwirt'!F17+'Fachkraft Agrarservice'!F14+Winzer!F14+'LW-Fachwerker'!F14+Tierwirt!F22+Fischwirt!F14+Pferdewirt!F14+'Pferdewirt (2)'!F14+Gärtner!F23+'Gaba-Fachwerker'!F14+Revierjäger!F14+Forstwirt!F14+#REF!+'Milchtechnologe-technologin'!F14+Milchw.Laborant!F14+Hauswirtschaft!F14</f>
        <v>#REF!</v>
      </c>
      <c r="G13" s="1056" t="e">
        <f>'A. Ausbildungsverh. Landwirt'!G17+'Fachkraft Agrarservice'!G14+Winzer!G14+'LW-Fachwerker'!G14+Tierwirt!G22+Fischwirt!G14+Pferdewirt!G14+'Pferdewirt (2)'!G14+Gärtner!G23+'Gaba-Fachwerker'!G14+Revierjäger!G14+Forstwirt!G14+#REF!+'Milchtechnologe-technologin'!G14+Milchw.Laborant!G14+Hauswirtschaft!G14</f>
        <v>#REF!</v>
      </c>
      <c r="H13" s="1056" t="e">
        <f>'A. Ausbildungsverh. Landwirt'!H17+'Fachkraft Agrarservice'!H14+Winzer!H14+'LW-Fachwerker'!H14+Tierwirt!H22+Fischwirt!H14+Pferdewirt!H14+'Pferdewirt (2)'!H14+Gärtner!H23+'Gaba-Fachwerker'!H14+Revierjäger!H14+Forstwirt!H14+#REF!+'Milchtechnologe-technologin'!H14+Milchw.Laborant!H14+Hauswirtschaft!H14</f>
        <v>#REF!</v>
      </c>
      <c r="I13" s="1056" t="e">
        <f>'A. Ausbildungsverh. Landwirt'!I17+'Fachkraft Agrarservice'!I14+Winzer!I14+'LW-Fachwerker'!I14+Tierwirt!I22+Fischwirt!I14+Pferdewirt!I14+'Pferdewirt (2)'!I14+Gärtner!I23+'Gaba-Fachwerker'!I14+Revierjäger!I14+Forstwirt!I14+#REF!+'Milchtechnologe-technologin'!I14+Milchw.Laborant!I14+Hauswirtschaft!I14</f>
        <v>#REF!</v>
      </c>
      <c r="J13" s="1056" t="e">
        <f>'A. Ausbildungsverh. Landwirt'!J17+'Fachkraft Agrarservice'!J14+Winzer!J14+'LW-Fachwerker'!J14+Tierwirt!J22+Fischwirt!J14+Pferdewirt!J14+'Pferdewirt (2)'!J14+Gärtner!J23+'Gaba-Fachwerker'!J14+Revierjäger!J14+Forstwirt!J14+#REF!+'Milchtechnologe-technologin'!J14+Milchw.Laborant!J14+Hauswirtschaft!J14</f>
        <v>#REF!</v>
      </c>
      <c r="K13" s="1186" t="e">
        <f>'A. Ausbildungsverh. Landwirt'!K17+'Fachkraft Agrarservice'!K14+Winzer!K14+'LW-Fachwerker'!K14+Tierwirt!K22+Fischwirt!K14+Pferdewirt!K14+'Pferdewirt (2)'!K14+Gärtner!K23+'Gaba-Fachwerker'!K14+Revierjäger!K14+Forstwirt!K14+#REF!+'Milchtechnologe-technologin'!K14+Milchw.Laborant!K14+Hauswirtschaft!K14</f>
        <v>#REF!</v>
      </c>
      <c r="L13" s="1056" t="e">
        <f>'A. Ausbildungsverh. Landwirt'!L17+'Fachkraft Agrarservice'!L14+Winzer!L14+'LW-Fachwerker'!L14+Tierwirt!L22+Fischwirt!L14+Pferdewirt!L14+'Pferdewirt (2)'!L14+Gärtner!L23+'Gaba-Fachwerker'!L14+Revierjäger!L14+Forstwirt!L14+#REF!+'Milchtechnologe-technologin'!L14+Milchw.Laborant!L14+Hauswirtschaft!L14</f>
        <v>#REF!</v>
      </c>
      <c r="M13" s="1056" t="e">
        <f>'A. Ausbildungsverh. Landwirt'!M17+'Fachkraft Agrarservice'!M14+Winzer!M14+'LW-Fachwerker'!M14+Tierwirt!M22+Fischwirt!M14+Pferdewirt!M14+'Pferdewirt (2)'!M14+Gärtner!M23+'Gaba-Fachwerker'!M14+Revierjäger!M14+Forstwirt!M14+#REF!+'Milchtechnologe-technologin'!M14+Milchw.Laborant!M14+Hauswirtschaft!M14</f>
        <v>#REF!</v>
      </c>
      <c r="N13" s="1187" t="e">
        <f>'A. Ausbildungsverh. Landwirt'!N17+'Fachkraft Agrarservice'!N14+Winzer!N14+'LW-Fachwerker'!N14+Tierwirt!N22+Fischwirt!N14+Pferdewirt!N14+'Pferdewirt (2)'!N14+Gärtner!N23+'Gaba-Fachwerker'!N14+Revierjäger!N14+Forstwirt!N14+#REF!+'Milchtechnologe-technologin'!N14+Milchw.Laborant!N14+Hauswirtschaft!N14</f>
        <v>#REF!</v>
      </c>
      <c r="O13" s="1056" t="e">
        <f>'A. Ausbildungsverh. Landwirt'!O17+'Fachkraft Agrarservice'!O14+Winzer!O14+'LW-Fachwerker'!O14+Tierwirt!O22+Fischwirt!O14+Pferdewirt!O14+'Pferdewirt (2)'!O14+Gärtner!O23+'Gaba-Fachwerker'!O14+Revierjäger!O14+Forstwirt!O14+#REF!+'Milchtechnologe-technologin'!O14+Milchw.Laborant!O14+Hauswirtschaft!O14</f>
        <v>#REF!</v>
      </c>
      <c r="P13" s="1057" t="e">
        <f>'A. Ausbildungsverh. Landwirt'!P17+'Fachkraft Agrarservice'!P14+Winzer!P14+'LW-Fachwerker'!P14+Tierwirt!P22+Fischwirt!P14+Pferdewirt!P14+'Pferdewirt (2)'!P14+Gärtner!P23+'Gaba-Fachwerker'!P14+Revierjäger!P14+Forstwirt!P14+#REF!+'Milchtechnologe-technologin'!P14+Milchw.Laborant!P14+Hauswirtschaft!P14</f>
        <v>#REF!</v>
      </c>
    </row>
    <row r="14" spans="1:23" ht="15" customHeight="1">
      <c r="A14" s="592" t="s">
        <v>52</v>
      </c>
      <c r="B14" s="794"/>
      <c r="C14" s="1186" t="e">
        <f>'A. Ausbildungsverh. Landwirt'!C18+'Fachkraft Agrarservice'!C15+Winzer!C15+'LW-Fachwerker'!C15+Tierwirt!C30+Fischwirt!C15+Pferdewirt!C15+'Pferdewirt (2)'!C15+Gärtner!C32+'Gaba-Fachwerker'!C15+Revierjäger!C15+Forstwirt!C15+#REF!+'Milchtechnologe-technologin'!C15+Milchw.Laborant!C15+Hauswirtschaft!C15</f>
        <v>#REF!</v>
      </c>
      <c r="D14" s="1056" t="e">
        <f>'A. Ausbildungsverh. Landwirt'!D18+'Fachkraft Agrarservice'!D15+Winzer!D15+'LW-Fachwerker'!D15+Tierwirt!D30+Fischwirt!D15+Pferdewirt!D15+'Pferdewirt (2)'!D15+Gärtner!D32+'Gaba-Fachwerker'!D15+Revierjäger!D15+Forstwirt!D15+#REF!+'Milchtechnologe-technologin'!D15+Milchw.Laborant!D15+Hauswirtschaft!D15</f>
        <v>#REF!</v>
      </c>
      <c r="E14" s="1056" t="e">
        <f>'A. Ausbildungsverh. Landwirt'!E18+'Fachkraft Agrarservice'!E15+Winzer!E15+'LW-Fachwerker'!E15+Tierwirt!E30+Fischwirt!E15+Pferdewirt!E15+'Pferdewirt (2)'!E15+Gärtner!E32+'Gaba-Fachwerker'!E15+Revierjäger!E15+Forstwirt!E15+#REF!+'Milchtechnologe-technologin'!E15+Milchw.Laborant!E15+Hauswirtschaft!E15</f>
        <v>#REF!</v>
      </c>
      <c r="F14" s="1056" t="e">
        <f>'A. Ausbildungsverh. Landwirt'!F18+'Fachkraft Agrarservice'!F15+Winzer!F15+'LW-Fachwerker'!F15+Tierwirt!F30+Fischwirt!F15+Pferdewirt!F15+'Pferdewirt (2)'!F15+Gärtner!F32+'Gaba-Fachwerker'!F15+Revierjäger!F15+Forstwirt!F15+#REF!+'Milchtechnologe-technologin'!F15+Milchw.Laborant!F15+Hauswirtschaft!F15</f>
        <v>#REF!</v>
      </c>
      <c r="G14" s="1056" t="e">
        <f>'A. Ausbildungsverh. Landwirt'!G18+'Fachkraft Agrarservice'!G15+Winzer!G15+'LW-Fachwerker'!G15+Tierwirt!G30+Fischwirt!G15+Pferdewirt!G15+'Pferdewirt (2)'!G15+Gärtner!G32+'Gaba-Fachwerker'!G15+Revierjäger!G15+Forstwirt!G15+#REF!+'Milchtechnologe-technologin'!G15+Milchw.Laborant!G15+Hauswirtschaft!G15</f>
        <v>#REF!</v>
      </c>
      <c r="H14" s="1056" t="e">
        <f>'A. Ausbildungsverh. Landwirt'!H18+'Fachkraft Agrarservice'!H15+Winzer!H15+'LW-Fachwerker'!H15+Tierwirt!H30+Fischwirt!H15+Pferdewirt!H15+'Pferdewirt (2)'!H15+Gärtner!H32+'Gaba-Fachwerker'!H15+Revierjäger!H15+Forstwirt!H15+#REF!+'Milchtechnologe-technologin'!H15+Milchw.Laborant!H15+Hauswirtschaft!H15</f>
        <v>#REF!</v>
      </c>
      <c r="I14" s="1056" t="e">
        <f>'A. Ausbildungsverh. Landwirt'!I18+'Fachkraft Agrarservice'!I15+Winzer!I15+'LW-Fachwerker'!I15+Tierwirt!I30+Fischwirt!I15+Pferdewirt!I15+'Pferdewirt (2)'!I15+Gärtner!I32+'Gaba-Fachwerker'!I15+Revierjäger!I15+Forstwirt!I15+#REF!+'Milchtechnologe-technologin'!I15+Milchw.Laborant!I15+Hauswirtschaft!I15</f>
        <v>#REF!</v>
      </c>
      <c r="J14" s="1056" t="e">
        <f>'A. Ausbildungsverh. Landwirt'!J18+'Fachkraft Agrarservice'!J15+Winzer!J15+'LW-Fachwerker'!J15+Tierwirt!J30+Fischwirt!J15+Pferdewirt!J15+'Pferdewirt (2)'!J15+Gärtner!J32+'Gaba-Fachwerker'!J15+Revierjäger!J15+Forstwirt!J15+#REF!+'Milchtechnologe-technologin'!J15+Milchw.Laborant!J15+Hauswirtschaft!J15</f>
        <v>#REF!</v>
      </c>
      <c r="K14" s="1186" t="e">
        <f>'A. Ausbildungsverh. Landwirt'!K18+'Fachkraft Agrarservice'!K15+Winzer!K15+'LW-Fachwerker'!K15+Tierwirt!K30+Fischwirt!K15+Pferdewirt!K15+'Pferdewirt (2)'!K15+Gärtner!K32+'Gaba-Fachwerker'!K15+Revierjäger!K15+Forstwirt!K15+#REF!+'Milchtechnologe-technologin'!K15+Milchw.Laborant!K15+Hauswirtschaft!K15</f>
        <v>#REF!</v>
      </c>
      <c r="L14" s="1056" t="e">
        <f>'A. Ausbildungsverh. Landwirt'!L18+'Fachkraft Agrarservice'!L15+Winzer!L15+'LW-Fachwerker'!L15+Tierwirt!L30+Fischwirt!L15+Pferdewirt!L15+'Pferdewirt (2)'!L15+Gärtner!L32+'Gaba-Fachwerker'!L15+Revierjäger!L15+Forstwirt!L15+#REF!+'Milchtechnologe-technologin'!L15+Milchw.Laborant!L15+Hauswirtschaft!L15</f>
        <v>#REF!</v>
      </c>
      <c r="M14" s="1056" t="e">
        <f>'A. Ausbildungsverh. Landwirt'!M18+'Fachkraft Agrarservice'!M15+Winzer!M15+'LW-Fachwerker'!M15+Tierwirt!M30+Fischwirt!M15+Pferdewirt!M15+'Pferdewirt (2)'!M15+Gärtner!M32+'Gaba-Fachwerker'!M15+Revierjäger!M15+Forstwirt!M15+#REF!+'Milchtechnologe-technologin'!M15+Milchw.Laborant!M15+Hauswirtschaft!M15</f>
        <v>#REF!</v>
      </c>
      <c r="N14" s="1186" t="e">
        <f>'A. Ausbildungsverh. Landwirt'!N18+'Fachkraft Agrarservice'!N15+Winzer!N15+'LW-Fachwerker'!N15+Tierwirt!N30+Fischwirt!N15+Pferdewirt!N15+'Pferdewirt (2)'!N15+Gärtner!N32+'Gaba-Fachwerker'!N15+Revierjäger!N15+Forstwirt!N15+#REF!+'Milchtechnologe-technologin'!N15+Milchw.Laborant!N15+Hauswirtschaft!N15</f>
        <v>#REF!</v>
      </c>
      <c r="O14" s="1056" t="e">
        <f>'A. Ausbildungsverh. Landwirt'!O18+'Fachkraft Agrarservice'!O15+Winzer!O15+'LW-Fachwerker'!O15+Tierwirt!O30+Fischwirt!O15+Pferdewirt!O15+'Pferdewirt (2)'!O15+Gärtner!O32+'Gaba-Fachwerker'!O15+Revierjäger!O15+Forstwirt!O15+#REF!+'Milchtechnologe-technologin'!O15+Milchw.Laborant!O15+Hauswirtschaft!O15</f>
        <v>#REF!</v>
      </c>
      <c r="P14" s="1057" t="e">
        <f>'A. Ausbildungsverh. Landwirt'!P18+'Fachkraft Agrarservice'!P15+Winzer!P15+'LW-Fachwerker'!P15+Tierwirt!P30+Fischwirt!P15+Pferdewirt!P15+'Pferdewirt (2)'!P15+Gärtner!P32+'Gaba-Fachwerker'!P15+Revierjäger!P15+Forstwirt!P15+#REF!+'Milchtechnologe-technologin'!P15+Milchw.Laborant!P15+Hauswirtschaft!P15</f>
        <v>#REF!</v>
      </c>
    </row>
    <row r="15" spans="1:23" ht="15" customHeight="1">
      <c r="A15" s="592" t="s">
        <v>48</v>
      </c>
      <c r="B15" s="810"/>
      <c r="C15" s="1186" t="e">
        <f>'A. Ausbildungsverh. Landwirt'!C19+'Fachkraft Agrarservice'!C16+Winzer!C16+'LW-Fachwerker'!C16+Tierwirt!C38+Fischwirt!C16+Pferdewirt!C16+'Pferdewirt (2)'!C16+Gärtner!C41+'Gaba-Fachwerker'!C16+Revierjäger!C16+Forstwirt!C16+#REF!+'Milchtechnologe-technologin'!C16+Milchw.Laborant!C16+Hauswirtschaft!C16</f>
        <v>#REF!</v>
      </c>
      <c r="D15" s="1056" t="e">
        <f>'A. Ausbildungsverh. Landwirt'!D19+'Fachkraft Agrarservice'!D16+Winzer!D16+'LW-Fachwerker'!D16+Tierwirt!D38+Fischwirt!D16+Pferdewirt!D16+'Pferdewirt (2)'!D16+Gärtner!D41+'Gaba-Fachwerker'!D16+Revierjäger!D16+Forstwirt!D16+#REF!+'Milchtechnologe-technologin'!D16+Milchw.Laborant!D16+Hauswirtschaft!D16</f>
        <v>#REF!</v>
      </c>
      <c r="E15" s="1056" t="e">
        <f>'A. Ausbildungsverh. Landwirt'!E19+'Fachkraft Agrarservice'!E16+Winzer!E16+'LW-Fachwerker'!E16+Tierwirt!E38+Fischwirt!E16+Pferdewirt!E16+'Pferdewirt (2)'!E16+Gärtner!E41+'Gaba-Fachwerker'!E16+Revierjäger!E16+Forstwirt!E16+#REF!+'Milchtechnologe-technologin'!E16+Milchw.Laborant!E16+Hauswirtschaft!E16</f>
        <v>#REF!</v>
      </c>
      <c r="F15" s="1056" t="e">
        <f>'A. Ausbildungsverh. Landwirt'!F19+'Fachkraft Agrarservice'!F16+Winzer!F16+'LW-Fachwerker'!F16+Tierwirt!F38+Fischwirt!F16+Pferdewirt!F16+'Pferdewirt (2)'!F16+Gärtner!F41+'Gaba-Fachwerker'!F16+Revierjäger!F16+Forstwirt!F16+#REF!+'Milchtechnologe-technologin'!F16+Milchw.Laborant!F16+Hauswirtschaft!F16</f>
        <v>#REF!</v>
      </c>
      <c r="G15" s="1056" t="e">
        <f>'A. Ausbildungsverh. Landwirt'!G19+'Fachkraft Agrarservice'!G16+Winzer!G16+'LW-Fachwerker'!G16+Tierwirt!G38+Fischwirt!G16+Pferdewirt!G16+'Pferdewirt (2)'!G16+Gärtner!G41+'Gaba-Fachwerker'!G16+Revierjäger!G16+Forstwirt!G16+#REF!+'Milchtechnologe-technologin'!G16+Milchw.Laborant!G16+Hauswirtschaft!G16</f>
        <v>#REF!</v>
      </c>
      <c r="H15" s="1056" t="e">
        <f>'A. Ausbildungsverh. Landwirt'!H19+'Fachkraft Agrarservice'!H16+Winzer!H16+'LW-Fachwerker'!H16+Tierwirt!H38+Fischwirt!H16+Pferdewirt!H16+'Pferdewirt (2)'!H16+Gärtner!H41+'Gaba-Fachwerker'!H16+Revierjäger!H16+Forstwirt!H16+#REF!+'Milchtechnologe-technologin'!H16+Milchw.Laborant!H16+Hauswirtschaft!H16</f>
        <v>#REF!</v>
      </c>
      <c r="I15" s="1056" t="e">
        <f>'A. Ausbildungsverh. Landwirt'!I19+'Fachkraft Agrarservice'!I16+Winzer!I16+'LW-Fachwerker'!I16+Tierwirt!I38+Fischwirt!I16+Pferdewirt!I16+'Pferdewirt (2)'!I16+Gärtner!I41+'Gaba-Fachwerker'!I16+Revierjäger!I16+Forstwirt!I16+#REF!+'Milchtechnologe-technologin'!I16+Milchw.Laborant!I16+Hauswirtschaft!I16</f>
        <v>#REF!</v>
      </c>
      <c r="J15" s="1056" t="e">
        <f>'A. Ausbildungsverh. Landwirt'!J19+'Fachkraft Agrarservice'!J16+Winzer!J16+'LW-Fachwerker'!J16+Tierwirt!J38+Fischwirt!J16+Pferdewirt!J16+'Pferdewirt (2)'!J16+Gärtner!J41+'Gaba-Fachwerker'!J16+Revierjäger!J16+Forstwirt!J16+#REF!+'Milchtechnologe-technologin'!J16+Milchw.Laborant!J16+Hauswirtschaft!J16</f>
        <v>#REF!</v>
      </c>
      <c r="K15" s="1186" t="e">
        <f>'A. Ausbildungsverh. Landwirt'!K19+'Fachkraft Agrarservice'!K16+Winzer!K16+'LW-Fachwerker'!K16+Tierwirt!K38+Fischwirt!K16+Pferdewirt!K16+'Pferdewirt (2)'!K16+Gärtner!K41+'Gaba-Fachwerker'!K16+Revierjäger!K16+Forstwirt!K16+#REF!+'Milchtechnologe-technologin'!K16+Milchw.Laborant!K16+Hauswirtschaft!K16</f>
        <v>#REF!</v>
      </c>
      <c r="L15" s="1056" t="e">
        <f>'A. Ausbildungsverh. Landwirt'!L19+'Fachkraft Agrarservice'!L16+Winzer!L16+'LW-Fachwerker'!L16+Tierwirt!L38+Fischwirt!L16+Pferdewirt!L16+'Pferdewirt (2)'!L16+Gärtner!L41+'Gaba-Fachwerker'!L16+Revierjäger!L16+Forstwirt!L16+#REF!+'Milchtechnologe-technologin'!L16+Milchw.Laborant!L16+Hauswirtschaft!L16</f>
        <v>#REF!</v>
      </c>
      <c r="M15" s="1056" t="e">
        <f>'A. Ausbildungsverh. Landwirt'!M19+'Fachkraft Agrarservice'!M16+Winzer!M16+'LW-Fachwerker'!M16+Tierwirt!M38+Fischwirt!M16+Pferdewirt!M16+'Pferdewirt (2)'!M16+Gärtner!M41+'Gaba-Fachwerker'!M16+Revierjäger!M16+Forstwirt!M16+#REF!+'Milchtechnologe-technologin'!M16+Milchw.Laborant!M16+Hauswirtschaft!M16</f>
        <v>#REF!</v>
      </c>
      <c r="N15" s="1187" t="e">
        <f>'A. Ausbildungsverh. Landwirt'!N19+'Fachkraft Agrarservice'!N16+Winzer!N16+'LW-Fachwerker'!N16+Tierwirt!N38+Fischwirt!N16+Pferdewirt!N16+'Pferdewirt (2)'!N16+Gärtner!N41+'Gaba-Fachwerker'!N16+Revierjäger!N16+Forstwirt!N16+#REF!+'Milchtechnologe-technologin'!N16+Milchw.Laborant!N16+Hauswirtschaft!N16</f>
        <v>#REF!</v>
      </c>
      <c r="O15" s="1056" t="e">
        <f>'A. Ausbildungsverh. Landwirt'!O19+'Fachkraft Agrarservice'!O16+Winzer!O16+'LW-Fachwerker'!O16+Tierwirt!O38+Fischwirt!O16+Pferdewirt!O16+'Pferdewirt (2)'!O16+Gärtner!O41+'Gaba-Fachwerker'!O16+Revierjäger!O16+Forstwirt!O16+#REF!+'Milchtechnologe-technologin'!O16+Milchw.Laborant!O16+Hauswirtschaft!O16</f>
        <v>#REF!</v>
      </c>
      <c r="P15" s="1057" t="e">
        <f>'A. Ausbildungsverh. Landwirt'!P19+'Fachkraft Agrarservice'!P16+Winzer!P16+'LW-Fachwerker'!P16+Tierwirt!P38+Fischwirt!P16+Pferdewirt!P16+'Pferdewirt (2)'!P16+Gärtner!P41+'Gaba-Fachwerker'!P16+Revierjäger!P16+Forstwirt!P16+#REF!+'Milchtechnologe-technologin'!P16+Milchw.Laborant!P16+Hauswirtschaft!P16</f>
        <v>#REF!</v>
      </c>
    </row>
    <row r="16" spans="1:23" ht="15" customHeight="1">
      <c r="A16" s="592" t="s">
        <v>53</v>
      </c>
      <c r="B16" s="810"/>
      <c r="C16" s="1186" t="e">
        <f>'A. Ausbildungsverh. Landwirt'!C20+'Fachkraft Agrarservice'!C17+Winzer!C17+'LW-Fachwerker'!C17+Tierwirt!C46+Fischwirt!C17+Pferdewirt!C17+'Pferdewirt (2)'!C17+Gärtner!C61+'Gaba-Fachwerker'!C17+Revierjäger!C17+Forstwirt!C17+#REF!+'Milchtechnologe-technologin'!C17+Milchw.Laborant!C17+Hauswirtschaft!C17</f>
        <v>#REF!</v>
      </c>
      <c r="D16" s="1056" t="e">
        <f>'A. Ausbildungsverh. Landwirt'!D20+'Fachkraft Agrarservice'!D17+Winzer!D17+'LW-Fachwerker'!D17+Tierwirt!D46+Fischwirt!D17+Pferdewirt!D17+'Pferdewirt (2)'!D17+Gärtner!D61+'Gaba-Fachwerker'!D17+Revierjäger!D17+Forstwirt!D17+#REF!+'Milchtechnologe-technologin'!D17+Milchw.Laborant!D17+Hauswirtschaft!D17</f>
        <v>#REF!</v>
      </c>
      <c r="E16" s="1056" t="e">
        <f>'A. Ausbildungsverh. Landwirt'!E20+'Fachkraft Agrarservice'!E17+Winzer!E17+'LW-Fachwerker'!E17+Tierwirt!E46+Fischwirt!E17+Pferdewirt!E17+'Pferdewirt (2)'!E17+Gärtner!E61+'Gaba-Fachwerker'!E17+Revierjäger!E17+Forstwirt!E17+#REF!+'Milchtechnologe-technologin'!E17+Milchw.Laborant!E17+Hauswirtschaft!E17</f>
        <v>#REF!</v>
      </c>
      <c r="F16" s="1056" t="e">
        <f>'A. Ausbildungsverh. Landwirt'!F20+'Fachkraft Agrarservice'!F17+Winzer!F17+'LW-Fachwerker'!F17+Tierwirt!F46+Fischwirt!F17+Pferdewirt!F17+'Pferdewirt (2)'!F17+Gärtner!F61+'Gaba-Fachwerker'!F17+Revierjäger!F17+Forstwirt!F17+#REF!+'Milchtechnologe-technologin'!F17+Milchw.Laborant!F17+Hauswirtschaft!F17</f>
        <v>#REF!</v>
      </c>
      <c r="G16" s="1056" t="e">
        <f>'A. Ausbildungsverh. Landwirt'!G20+'Fachkraft Agrarservice'!G17+Winzer!G17+'LW-Fachwerker'!G17+Tierwirt!G46+Fischwirt!G17+Pferdewirt!G17+'Pferdewirt (2)'!G17+Gärtner!G61+'Gaba-Fachwerker'!G17+Revierjäger!G17+Forstwirt!G17+#REF!+'Milchtechnologe-technologin'!G17+Milchw.Laborant!G17+Hauswirtschaft!G17</f>
        <v>#REF!</v>
      </c>
      <c r="H16" s="1056" t="e">
        <f>'A. Ausbildungsverh. Landwirt'!H20+'Fachkraft Agrarservice'!H17+Winzer!H17+'LW-Fachwerker'!H17+Tierwirt!H46+Fischwirt!H17+Pferdewirt!H17+'Pferdewirt (2)'!H17+Gärtner!H61+'Gaba-Fachwerker'!H17+Revierjäger!H17+Forstwirt!H17+#REF!+'Milchtechnologe-technologin'!H17+Milchw.Laborant!H17+Hauswirtschaft!H17</f>
        <v>#REF!</v>
      </c>
      <c r="I16" s="1056" t="e">
        <f>'A. Ausbildungsverh. Landwirt'!I20+'Fachkraft Agrarservice'!I17+Winzer!I17+'LW-Fachwerker'!I17+Tierwirt!I46+Fischwirt!I17+Pferdewirt!I17+'Pferdewirt (2)'!I17+Gärtner!I61+'Gaba-Fachwerker'!I17+Revierjäger!I17+Forstwirt!I17+#REF!+'Milchtechnologe-technologin'!I17+Milchw.Laborant!I17+Hauswirtschaft!I17</f>
        <v>#REF!</v>
      </c>
      <c r="J16" s="1056" t="e">
        <f>'A. Ausbildungsverh. Landwirt'!J20+'Fachkraft Agrarservice'!J17+Winzer!J17+'LW-Fachwerker'!J17+Tierwirt!J46+Fischwirt!J17+Pferdewirt!J17+'Pferdewirt (2)'!J17+Gärtner!J61+'Gaba-Fachwerker'!J17+Revierjäger!J17+Forstwirt!J17+#REF!+'Milchtechnologe-technologin'!J17+Milchw.Laborant!J17+Hauswirtschaft!J17</f>
        <v>#REF!</v>
      </c>
      <c r="K16" s="1186" t="e">
        <f>'A. Ausbildungsverh. Landwirt'!K20+'Fachkraft Agrarservice'!K17+Winzer!K17+'LW-Fachwerker'!K17+Tierwirt!K46+Fischwirt!K17+Pferdewirt!K17+'Pferdewirt (2)'!K17+Gärtner!K61+'Gaba-Fachwerker'!K17+Revierjäger!K17+Forstwirt!K17+#REF!+'Milchtechnologe-technologin'!K17+Milchw.Laborant!K17+Hauswirtschaft!K17</f>
        <v>#REF!</v>
      </c>
      <c r="L16" s="1056" t="e">
        <f>'A. Ausbildungsverh. Landwirt'!L20+'Fachkraft Agrarservice'!L17+Winzer!L17+'LW-Fachwerker'!L17+Tierwirt!L46+Fischwirt!L17+Pferdewirt!L17+'Pferdewirt (2)'!L17+Gärtner!L61+'Gaba-Fachwerker'!L17+Revierjäger!L17+Forstwirt!L17+#REF!+'Milchtechnologe-technologin'!L17+Milchw.Laborant!L17+Hauswirtschaft!L17</f>
        <v>#REF!</v>
      </c>
      <c r="M16" s="1056" t="e">
        <f>'A. Ausbildungsverh. Landwirt'!M20+'Fachkraft Agrarservice'!M17+Winzer!M17+'LW-Fachwerker'!M17+Tierwirt!M46+Fischwirt!M17+Pferdewirt!M17+'Pferdewirt (2)'!M17+Gärtner!M61+'Gaba-Fachwerker'!M17+Revierjäger!M17+Forstwirt!M17+#REF!+'Milchtechnologe-technologin'!M17+Milchw.Laborant!M17+Hauswirtschaft!M17</f>
        <v>#REF!</v>
      </c>
      <c r="N16" s="1187" t="e">
        <f>'A. Ausbildungsverh. Landwirt'!N20+'Fachkraft Agrarservice'!N17+Winzer!N17+'LW-Fachwerker'!N17+Tierwirt!N46+Fischwirt!N17+Pferdewirt!N17+'Pferdewirt (2)'!N17+Gärtner!N61+'Gaba-Fachwerker'!N17+Revierjäger!N17+Forstwirt!N17+#REF!+'Milchtechnologe-technologin'!N17+Milchw.Laborant!N17+Hauswirtschaft!N17</f>
        <v>#REF!</v>
      </c>
      <c r="O16" s="1056" t="e">
        <f>'A. Ausbildungsverh. Landwirt'!O20+'Fachkraft Agrarservice'!O17+Winzer!O17+'LW-Fachwerker'!O17+Tierwirt!O46+Fischwirt!O17+Pferdewirt!O17+'Pferdewirt (2)'!O17+Gärtner!O61+'Gaba-Fachwerker'!O17+Revierjäger!O17+Forstwirt!O17+#REF!+'Milchtechnologe-technologin'!O17+Milchw.Laborant!O17+Hauswirtschaft!O17</f>
        <v>#REF!</v>
      </c>
      <c r="P16" s="1057" t="e">
        <f>'A. Ausbildungsverh. Landwirt'!P20+'Fachkraft Agrarservice'!P17+Winzer!P17+'LW-Fachwerker'!P17+Tierwirt!P46+Fischwirt!P17+Pferdewirt!P17+'Pferdewirt (2)'!P17+Gärtner!P61+'Gaba-Fachwerker'!P17+Revierjäger!P17+Forstwirt!P17+#REF!+'Milchtechnologe-technologin'!P17+Milchw.Laborant!P17+Hauswirtschaft!P17</f>
        <v>#REF!</v>
      </c>
    </row>
    <row r="17" spans="1:33" ht="15" customHeight="1">
      <c r="A17" s="592" t="s">
        <v>50</v>
      </c>
      <c r="B17" s="794"/>
      <c r="C17" s="1186" t="e">
        <f>'A. Ausbildungsverh. Landwirt'!C21+'Fachkraft Agrarservice'!C18+Winzer!C18+'LW-Fachwerker'!C18+Tierwirt!C66+Fischwirt!C18+Pferdewirt!C18+'Pferdewirt (2)'!C18+Gärtner!C70+'Gaba-Fachwerker'!C18+Revierjäger!C18+Forstwirt!C18+#REF!+'Milchtechnologe-technologin'!C18+Milchw.Laborant!C18+Hauswirtschaft!C18</f>
        <v>#REF!</v>
      </c>
      <c r="D17" s="1056" t="e">
        <f>'A. Ausbildungsverh. Landwirt'!D21+'Fachkraft Agrarservice'!D18+Winzer!D18+'LW-Fachwerker'!D18+Tierwirt!D66+Fischwirt!D18+Pferdewirt!D18+'Pferdewirt (2)'!D18+Gärtner!D70+'Gaba-Fachwerker'!D18+Revierjäger!D18+Forstwirt!D18+#REF!+'Milchtechnologe-technologin'!D18+Milchw.Laborant!D18+Hauswirtschaft!D18</f>
        <v>#REF!</v>
      </c>
      <c r="E17" s="1056" t="e">
        <f>'A. Ausbildungsverh. Landwirt'!E21+'Fachkraft Agrarservice'!E18+Winzer!E18+'LW-Fachwerker'!E18+Tierwirt!E66+Fischwirt!E18+Pferdewirt!E18+'Pferdewirt (2)'!E18+Gärtner!E70+'Gaba-Fachwerker'!E18+Revierjäger!E18+Forstwirt!E18+#REF!+'Milchtechnologe-technologin'!E18+Milchw.Laborant!E18+Hauswirtschaft!E18</f>
        <v>#REF!</v>
      </c>
      <c r="F17" s="1056" t="e">
        <f>'A. Ausbildungsverh. Landwirt'!F21+'Fachkraft Agrarservice'!F18+Winzer!F18+'LW-Fachwerker'!F18+Tierwirt!F66+Fischwirt!F18+Pferdewirt!F18+'Pferdewirt (2)'!F18+Gärtner!F70+'Gaba-Fachwerker'!F18+Revierjäger!F18+Forstwirt!F18+#REF!+'Milchtechnologe-technologin'!F18+Milchw.Laborant!F18+Hauswirtschaft!F18</f>
        <v>#REF!</v>
      </c>
      <c r="G17" s="1056" t="e">
        <f>'A. Ausbildungsverh. Landwirt'!G21+'Fachkraft Agrarservice'!G18+Winzer!G18+'LW-Fachwerker'!G18+Tierwirt!G66+Fischwirt!G18+Pferdewirt!G18+'Pferdewirt (2)'!G18+Gärtner!G70+'Gaba-Fachwerker'!G18+Revierjäger!G18+Forstwirt!G18+#REF!+'Milchtechnologe-technologin'!G18+Milchw.Laborant!G18+Hauswirtschaft!G18</f>
        <v>#REF!</v>
      </c>
      <c r="H17" s="1056" t="e">
        <f>'A. Ausbildungsverh. Landwirt'!H21+'Fachkraft Agrarservice'!H18+Winzer!H18+'LW-Fachwerker'!H18+Tierwirt!H66+Fischwirt!H18+Pferdewirt!H18+'Pferdewirt (2)'!H18+Gärtner!H70+'Gaba-Fachwerker'!H18+Revierjäger!H18+Forstwirt!H18+#REF!+'Milchtechnologe-technologin'!H18+Milchw.Laborant!H18+Hauswirtschaft!H18</f>
        <v>#REF!</v>
      </c>
      <c r="I17" s="1056" t="e">
        <f>'A. Ausbildungsverh. Landwirt'!I21+'Fachkraft Agrarservice'!I18+Winzer!I18+'LW-Fachwerker'!I18+Tierwirt!I66+Fischwirt!I18+Pferdewirt!I18+'Pferdewirt (2)'!I18+Gärtner!I70+'Gaba-Fachwerker'!I18+Revierjäger!I18+Forstwirt!I18+#REF!+'Milchtechnologe-technologin'!I18+Milchw.Laborant!I18+Hauswirtschaft!I18</f>
        <v>#REF!</v>
      </c>
      <c r="J17" s="1056" t="e">
        <f>'A. Ausbildungsverh. Landwirt'!J21+'Fachkraft Agrarservice'!J18+Winzer!J18+'LW-Fachwerker'!J18+Tierwirt!J66+Fischwirt!J18+Pferdewirt!J18+'Pferdewirt (2)'!J18+Gärtner!J70+'Gaba-Fachwerker'!J18+Revierjäger!J18+Forstwirt!J18+#REF!+'Milchtechnologe-technologin'!J18+Milchw.Laborant!J18+Hauswirtschaft!J18</f>
        <v>#REF!</v>
      </c>
      <c r="K17" s="1186" t="e">
        <f>'A. Ausbildungsverh. Landwirt'!K21+'Fachkraft Agrarservice'!K18+Winzer!K18+'LW-Fachwerker'!K18+Tierwirt!K66+Fischwirt!K18+Pferdewirt!K18+'Pferdewirt (2)'!K18+Gärtner!K70+'Gaba-Fachwerker'!K18+Revierjäger!K18+Forstwirt!K18+#REF!+'Milchtechnologe-technologin'!K18+Milchw.Laborant!K18+Hauswirtschaft!K18</f>
        <v>#REF!</v>
      </c>
      <c r="L17" s="1056" t="e">
        <f>'A. Ausbildungsverh. Landwirt'!L21+'Fachkraft Agrarservice'!L18+Winzer!L18+'LW-Fachwerker'!L18+Tierwirt!L66+Fischwirt!L18+Pferdewirt!L18+'Pferdewirt (2)'!L18+Gärtner!L70+'Gaba-Fachwerker'!L18+Revierjäger!L18+Forstwirt!L18+#REF!+'Milchtechnologe-technologin'!L18+Milchw.Laborant!L18+Hauswirtschaft!L18</f>
        <v>#REF!</v>
      </c>
      <c r="M17" s="1056" t="e">
        <f>'A. Ausbildungsverh. Landwirt'!M21+'Fachkraft Agrarservice'!M18+Winzer!M18+'LW-Fachwerker'!M18+Tierwirt!M66+Fischwirt!M18+Pferdewirt!M18+'Pferdewirt (2)'!M18+Gärtner!M70+'Gaba-Fachwerker'!M18+Revierjäger!M18+Forstwirt!M18+#REF!+'Milchtechnologe-technologin'!M18+Milchw.Laborant!M18+Hauswirtschaft!M18</f>
        <v>#REF!</v>
      </c>
      <c r="N17" s="1187" t="e">
        <f>'A. Ausbildungsverh. Landwirt'!N21+'Fachkraft Agrarservice'!N18+Winzer!N18+'LW-Fachwerker'!N18+Tierwirt!N66+Fischwirt!N18+Pferdewirt!N18+'Pferdewirt (2)'!N18+Gärtner!N70+'Gaba-Fachwerker'!N18+Revierjäger!N18+Forstwirt!N18+#REF!+'Milchtechnologe-technologin'!N18+Milchw.Laborant!N18+Hauswirtschaft!N18</f>
        <v>#REF!</v>
      </c>
      <c r="O17" s="1056" t="e">
        <f>'A. Ausbildungsverh. Landwirt'!O21+'Fachkraft Agrarservice'!O18+Winzer!O18+'LW-Fachwerker'!O18+Tierwirt!O66+Fischwirt!O18+Pferdewirt!O18+'Pferdewirt (2)'!O18+Gärtner!O70+'Gaba-Fachwerker'!O18+Revierjäger!O18+Forstwirt!O18+#REF!+'Milchtechnologe-technologin'!O18+Milchw.Laborant!O18+Hauswirtschaft!O18</f>
        <v>#REF!</v>
      </c>
      <c r="P17" s="1057" t="e">
        <f>'A. Ausbildungsverh. Landwirt'!P21+'Fachkraft Agrarservice'!P18+Winzer!P18+'LW-Fachwerker'!P18+Tierwirt!P66+Fischwirt!P18+Pferdewirt!P18+'Pferdewirt (2)'!P18+Gärtner!P70+'Gaba-Fachwerker'!P18+Revierjäger!P18+Forstwirt!P18+#REF!+'Milchtechnologe-technologin'!P18+Milchw.Laborant!P18+Hauswirtschaft!P18</f>
        <v>#REF!</v>
      </c>
      <c r="Q17" s="811"/>
      <c r="R17" s="812"/>
      <c r="S17" s="812"/>
      <c r="T17" s="813"/>
      <c r="U17" s="774"/>
      <c r="V17" s="775"/>
      <c r="W17" s="774"/>
      <c r="X17" s="774"/>
      <c r="Y17" s="775"/>
      <c r="Z17" s="813"/>
      <c r="AA17" s="775"/>
      <c r="AB17" s="775"/>
      <c r="AC17" s="775"/>
      <c r="AD17" s="775"/>
      <c r="AE17" s="775"/>
      <c r="AF17" s="775"/>
      <c r="AG17" s="775"/>
    </row>
    <row r="18" spans="1:33" ht="15" customHeight="1">
      <c r="A18" s="592" t="s">
        <v>54</v>
      </c>
      <c r="B18" s="794"/>
      <c r="C18" s="1186" t="e">
        <f>'A. Ausbildungsverh. Landwirt'!C22+'Fachkraft Agrarservice'!C19+Winzer!C19+'LW-Fachwerker'!C19+Tierwirt!C74+Fischwirt!C19+Pferdewirt!C19+'Pferdewirt (2)'!C19+Gärtner!C80+'Gaba-Fachwerker'!C19+Revierjäger!C19+Forstwirt!C19+#REF!+'Milchtechnologe-technologin'!C19+Milchw.Laborant!C19+Hauswirtschaft!C19</f>
        <v>#REF!</v>
      </c>
      <c r="D18" s="1056" t="e">
        <f>'A. Ausbildungsverh. Landwirt'!D22+'Fachkraft Agrarservice'!D19+Winzer!D19+'LW-Fachwerker'!D19+Tierwirt!D74+Fischwirt!D19+Pferdewirt!D19+'Pferdewirt (2)'!D19+Gärtner!D80+'Gaba-Fachwerker'!D19+Revierjäger!D19+Forstwirt!D19+#REF!+'Milchtechnologe-technologin'!D19+Milchw.Laborant!D19+Hauswirtschaft!D19</f>
        <v>#REF!</v>
      </c>
      <c r="E18" s="1056" t="e">
        <f>'A. Ausbildungsverh. Landwirt'!E22+'Fachkraft Agrarservice'!E19+Winzer!E19+'LW-Fachwerker'!E19+Tierwirt!E74+Fischwirt!E19+Pferdewirt!E19+'Pferdewirt (2)'!E19+Gärtner!E80+'Gaba-Fachwerker'!E19+Revierjäger!E19+Forstwirt!E19+#REF!+'Milchtechnologe-technologin'!E19+Milchw.Laborant!E19+Hauswirtschaft!E19</f>
        <v>#REF!</v>
      </c>
      <c r="F18" s="1056" t="e">
        <f>'A. Ausbildungsverh. Landwirt'!F22+'Fachkraft Agrarservice'!F19+Winzer!F19+'LW-Fachwerker'!F19+Tierwirt!F74+Fischwirt!F19+Pferdewirt!F19+'Pferdewirt (2)'!F19+Gärtner!F80+'Gaba-Fachwerker'!F19+Revierjäger!F19+Forstwirt!F19+#REF!+'Milchtechnologe-technologin'!F19+Milchw.Laborant!F19+Hauswirtschaft!F19</f>
        <v>#REF!</v>
      </c>
      <c r="G18" s="1056" t="e">
        <f>'A. Ausbildungsverh. Landwirt'!G22+'Fachkraft Agrarservice'!G19+Winzer!G19+'LW-Fachwerker'!G19+Tierwirt!G74+Fischwirt!G19+Pferdewirt!G19+'Pferdewirt (2)'!G19+Gärtner!G80+'Gaba-Fachwerker'!G19+Revierjäger!G19+Forstwirt!G19+#REF!+'Milchtechnologe-technologin'!G19+Milchw.Laborant!G19+Hauswirtschaft!G19</f>
        <v>#REF!</v>
      </c>
      <c r="H18" s="1056" t="e">
        <f>'A. Ausbildungsverh. Landwirt'!H22+'Fachkraft Agrarservice'!H19+Winzer!H19+'LW-Fachwerker'!H19+Tierwirt!H74+Fischwirt!H19+Pferdewirt!H19+'Pferdewirt (2)'!H19+Gärtner!H80+'Gaba-Fachwerker'!H19+Revierjäger!H19+Forstwirt!H19+#REF!+'Milchtechnologe-technologin'!H19+Milchw.Laborant!H19+Hauswirtschaft!H19</f>
        <v>#REF!</v>
      </c>
      <c r="I18" s="1056" t="e">
        <f>'A. Ausbildungsverh. Landwirt'!I22+'Fachkraft Agrarservice'!I19+Winzer!I19+'LW-Fachwerker'!I19+Tierwirt!I74+Fischwirt!I19+Pferdewirt!I19+'Pferdewirt (2)'!I19+Gärtner!I80+'Gaba-Fachwerker'!I19+Revierjäger!I19+Forstwirt!I19+#REF!+'Milchtechnologe-technologin'!I19+Milchw.Laborant!I19+Hauswirtschaft!I19</f>
        <v>#REF!</v>
      </c>
      <c r="J18" s="1056" t="e">
        <f>'A. Ausbildungsverh. Landwirt'!J22+'Fachkraft Agrarservice'!J19+Winzer!J19+'LW-Fachwerker'!J19+Tierwirt!J74+Fischwirt!J19+Pferdewirt!J19+'Pferdewirt (2)'!J19+Gärtner!J80+'Gaba-Fachwerker'!J19+Revierjäger!J19+Forstwirt!J19+#REF!+'Milchtechnologe-technologin'!J19+Milchw.Laborant!J19+Hauswirtschaft!J19</f>
        <v>#REF!</v>
      </c>
      <c r="K18" s="1186" t="e">
        <f>'A. Ausbildungsverh. Landwirt'!K22+'Fachkraft Agrarservice'!K19+Winzer!K19+'LW-Fachwerker'!K19+Tierwirt!K74+Fischwirt!K19+Pferdewirt!K19+'Pferdewirt (2)'!K19+Gärtner!K80+'Gaba-Fachwerker'!K19+Revierjäger!K19+Forstwirt!K19+#REF!+'Milchtechnologe-technologin'!K19+Milchw.Laborant!K19+Hauswirtschaft!K19</f>
        <v>#REF!</v>
      </c>
      <c r="L18" s="1056" t="e">
        <f>'A. Ausbildungsverh. Landwirt'!L22+'Fachkraft Agrarservice'!L19+Winzer!L19+'LW-Fachwerker'!L19+Tierwirt!L74+Fischwirt!L19+Pferdewirt!L19+'Pferdewirt (2)'!L19+Gärtner!L80+'Gaba-Fachwerker'!L19+Revierjäger!L19+Forstwirt!L19+#REF!+'Milchtechnologe-technologin'!L19+Milchw.Laborant!L19+Hauswirtschaft!L19</f>
        <v>#REF!</v>
      </c>
      <c r="M18" s="1056" t="e">
        <f>'A. Ausbildungsverh. Landwirt'!M22+'Fachkraft Agrarservice'!M19+Winzer!M19+'LW-Fachwerker'!M19+Tierwirt!M74+Fischwirt!M19+Pferdewirt!M19+'Pferdewirt (2)'!M19+Gärtner!M80+'Gaba-Fachwerker'!M19+Revierjäger!M19+Forstwirt!M19+#REF!+'Milchtechnologe-technologin'!M19+Milchw.Laborant!M19+Hauswirtschaft!M19</f>
        <v>#REF!</v>
      </c>
      <c r="N18" s="1187" t="e">
        <f>'A. Ausbildungsverh. Landwirt'!N22+'Fachkraft Agrarservice'!N19+Winzer!N19+'LW-Fachwerker'!N19+Tierwirt!N74+Fischwirt!N19+Pferdewirt!N19+'Pferdewirt (2)'!N19+Gärtner!N80+'Gaba-Fachwerker'!N19+Revierjäger!N19+Forstwirt!N19+#REF!+'Milchtechnologe-technologin'!N19+Milchw.Laborant!N19+Hauswirtschaft!N19</f>
        <v>#REF!</v>
      </c>
      <c r="O18" s="1056" t="e">
        <f>'A. Ausbildungsverh. Landwirt'!O22+'Fachkraft Agrarservice'!O19+Winzer!O19+'LW-Fachwerker'!O19+Tierwirt!O74+Fischwirt!O19+Pferdewirt!O19+'Pferdewirt (2)'!O19+Gärtner!O80+'Gaba-Fachwerker'!O19+Revierjäger!O19+Forstwirt!O19+#REF!+'Milchtechnologe-technologin'!O19+Milchw.Laborant!O19+Hauswirtschaft!O19</f>
        <v>#REF!</v>
      </c>
      <c r="P18" s="1057" t="e">
        <f>'A. Ausbildungsverh. Landwirt'!P22+'Fachkraft Agrarservice'!P19+Winzer!P19+'LW-Fachwerker'!P19+Tierwirt!P74+Fischwirt!P19+Pferdewirt!P19+'Pferdewirt (2)'!P19+Gärtner!P80+'Gaba-Fachwerker'!P19+Revierjäger!P19+Forstwirt!P19+#REF!+'Milchtechnologe-technologin'!P19+Milchw.Laborant!P19+Hauswirtschaft!P19</f>
        <v>#REF!</v>
      </c>
      <c r="Q18" s="776"/>
      <c r="R18" s="814"/>
      <c r="S18" s="814"/>
      <c r="T18" s="776"/>
      <c r="U18" s="774"/>
      <c r="V18" s="775"/>
      <c r="W18" s="815"/>
      <c r="X18" s="816"/>
      <c r="Y18" s="813"/>
      <c r="Z18" s="776"/>
      <c r="AA18" s="774"/>
      <c r="AB18" s="775"/>
      <c r="AC18" s="817"/>
      <c r="AD18" s="815"/>
      <c r="AE18" s="816"/>
      <c r="AF18" s="769"/>
      <c r="AG18" s="816"/>
    </row>
    <row r="19" spans="1:33" ht="15" customHeight="1">
      <c r="A19" s="592" t="s">
        <v>44</v>
      </c>
      <c r="B19" s="794"/>
      <c r="C19" s="1186" t="e">
        <f>'A. Ausbildungsverh. Landwirt'!C23+'Fachkraft Agrarservice'!C20+Winzer!C20+'LW-Fachwerker'!C20+Tierwirt!C82+Fischwirt!C20+Pferdewirt!C20+'Pferdewirt (2)'!C20+Gärtner!C89+'Gaba-Fachwerker'!C20+Revierjäger!C20+Forstwirt!C20+#REF!+'Milchtechnologe-technologin'!C20+Milchw.Laborant!C20+Hauswirtschaft!C20</f>
        <v>#REF!</v>
      </c>
      <c r="D19" s="1056" t="e">
        <f>'A. Ausbildungsverh. Landwirt'!D23+'Fachkraft Agrarservice'!D20+Winzer!D20+'LW-Fachwerker'!D20+Tierwirt!D82+Fischwirt!D20+Pferdewirt!D20+'Pferdewirt (2)'!D20+Gärtner!D89+'Gaba-Fachwerker'!D20+Revierjäger!D20+Forstwirt!D20+#REF!+'Milchtechnologe-technologin'!D20+Milchw.Laborant!D20+Hauswirtschaft!D20</f>
        <v>#REF!</v>
      </c>
      <c r="E19" s="1056" t="e">
        <f>'A. Ausbildungsverh. Landwirt'!E23+'Fachkraft Agrarservice'!E20+Winzer!E20+'LW-Fachwerker'!E20+Tierwirt!E82+Fischwirt!E20+Pferdewirt!E20+'Pferdewirt (2)'!E20+Gärtner!E89+'Gaba-Fachwerker'!E20+Revierjäger!E20+Forstwirt!E20+#REF!+'Milchtechnologe-technologin'!E20+Milchw.Laborant!E20+Hauswirtschaft!E20</f>
        <v>#REF!</v>
      </c>
      <c r="F19" s="1056" t="e">
        <f>'A. Ausbildungsverh. Landwirt'!F23+'Fachkraft Agrarservice'!F20+Winzer!F20+'LW-Fachwerker'!F20+Tierwirt!F82+Fischwirt!F20+Pferdewirt!F20+'Pferdewirt (2)'!F20+Gärtner!F89+'Gaba-Fachwerker'!F20+Revierjäger!F20+Forstwirt!F20+#REF!+'Milchtechnologe-technologin'!F20+Milchw.Laborant!F20+Hauswirtschaft!F20</f>
        <v>#REF!</v>
      </c>
      <c r="G19" s="1056" t="e">
        <f>'A. Ausbildungsverh. Landwirt'!G23+'Fachkraft Agrarservice'!G20+Winzer!G20+'LW-Fachwerker'!G20+Tierwirt!G82+Fischwirt!G20+Pferdewirt!G20+'Pferdewirt (2)'!G20+Gärtner!G89+'Gaba-Fachwerker'!G20+Revierjäger!G20+Forstwirt!G20+#REF!+'Milchtechnologe-technologin'!G20+Milchw.Laborant!G20+Hauswirtschaft!G20</f>
        <v>#REF!</v>
      </c>
      <c r="H19" s="1056" t="e">
        <f>'A. Ausbildungsverh. Landwirt'!H23+'Fachkraft Agrarservice'!H20+Winzer!H20+'LW-Fachwerker'!H20+Tierwirt!H82+Fischwirt!H20+Pferdewirt!H20+'Pferdewirt (2)'!H20+Gärtner!H89+'Gaba-Fachwerker'!H20+Revierjäger!H20+Forstwirt!H20+#REF!+'Milchtechnologe-technologin'!H20+Milchw.Laborant!H20+Hauswirtschaft!H20</f>
        <v>#REF!</v>
      </c>
      <c r="I19" s="1056" t="e">
        <f>'A. Ausbildungsverh. Landwirt'!I23+'Fachkraft Agrarservice'!I20+Winzer!I20+'LW-Fachwerker'!I20+Tierwirt!I82+Fischwirt!I20+Pferdewirt!I20+'Pferdewirt (2)'!I20+Gärtner!I89+'Gaba-Fachwerker'!I20+Revierjäger!I20+Forstwirt!I20+#REF!+'Milchtechnologe-technologin'!I20+Milchw.Laborant!I20+Hauswirtschaft!I20</f>
        <v>#REF!</v>
      </c>
      <c r="J19" s="1056" t="e">
        <f>'A. Ausbildungsverh. Landwirt'!J23+'Fachkraft Agrarservice'!J20+Winzer!J20+'LW-Fachwerker'!J20+Tierwirt!J82+Fischwirt!J20+Pferdewirt!J20+'Pferdewirt (2)'!J20+Gärtner!J89+'Gaba-Fachwerker'!J20+Revierjäger!J20+Forstwirt!J20+#REF!+'Milchtechnologe-technologin'!J20+Milchw.Laborant!J20+Hauswirtschaft!J20</f>
        <v>#REF!</v>
      </c>
      <c r="K19" s="1186" t="e">
        <f>'A. Ausbildungsverh. Landwirt'!K23+'Fachkraft Agrarservice'!K20+Winzer!K20+'LW-Fachwerker'!K20+Tierwirt!K82+Fischwirt!K20+Pferdewirt!K20+'Pferdewirt (2)'!K20+Gärtner!K89+'Gaba-Fachwerker'!K20+Revierjäger!K20+Forstwirt!K20+#REF!+'Milchtechnologe-technologin'!K20+Milchw.Laborant!K20+Hauswirtschaft!K20</f>
        <v>#REF!</v>
      </c>
      <c r="L19" s="1056" t="e">
        <f>'A. Ausbildungsverh. Landwirt'!L23+'Fachkraft Agrarservice'!L20+Winzer!L20+'LW-Fachwerker'!L20+Tierwirt!L82+Fischwirt!L20+Pferdewirt!L20+'Pferdewirt (2)'!L20+Gärtner!L89+'Gaba-Fachwerker'!L20+Revierjäger!L20+Forstwirt!L20+#REF!+'Milchtechnologe-technologin'!L20+Milchw.Laborant!L20+Hauswirtschaft!L20</f>
        <v>#REF!</v>
      </c>
      <c r="M19" s="1056" t="e">
        <f>'A. Ausbildungsverh. Landwirt'!M23+'Fachkraft Agrarservice'!M20+Winzer!M20+'LW-Fachwerker'!M20+Tierwirt!M82+Fischwirt!M20+Pferdewirt!M20+'Pferdewirt (2)'!M20+Gärtner!M89+'Gaba-Fachwerker'!M20+Revierjäger!M20+Forstwirt!M20+#REF!+'Milchtechnologe-technologin'!M20+Milchw.Laborant!M20+Hauswirtschaft!M20</f>
        <v>#REF!</v>
      </c>
      <c r="N19" s="1187" t="e">
        <f>'A. Ausbildungsverh. Landwirt'!N23+'Fachkraft Agrarservice'!N20+Winzer!N20+'LW-Fachwerker'!N20+Tierwirt!N82+Fischwirt!N20+Pferdewirt!N20+'Pferdewirt (2)'!N20+Gärtner!N89+'Gaba-Fachwerker'!N20+Revierjäger!N20+Forstwirt!N20+#REF!+'Milchtechnologe-technologin'!N20+Milchw.Laborant!N20+Hauswirtschaft!N20</f>
        <v>#REF!</v>
      </c>
      <c r="O19" s="1056" t="e">
        <f>'A. Ausbildungsverh. Landwirt'!O23+'Fachkraft Agrarservice'!O20+Winzer!O20+'LW-Fachwerker'!O20+Tierwirt!O82+Fischwirt!O20+Pferdewirt!O20+'Pferdewirt (2)'!O20+Gärtner!O89+'Gaba-Fachwerker'!O20+Revierjäger!O20+Forstwirt!O20+#REF!+'Milchtechnologe-technologin'!O20+Milchw.Laborant!O20+Hauswirtschaft!O20</f>
        <v>#REF!</v>
      </c>
      <c r="P19" s="1057" t="e">
        <f>'A. Ausbildungsverh. Landwirt'!P23+'Fachkraft Agrarservice'!P20+Winzer!P20+'LW-Fachwerker'!P20+Tierwirt!P82+Fischwirt!P20+Pferdewirt!P20+'Pferdewirt (2)'!P20+Gärtner!P89+'Gaba-Fachwerker'!P20+Revierjäger!P20+Forstwirt!P20+#REF!+'Milchtechnologe-technologin'!P20+Milchw.Laborant!P20+Hauswirtschaft!P20</f>
        <v>#REF!</v>
      </c>
      <c r="Q19" s="842"/>
      <c r="R19" s="814"/>
      <c r="S19" s="814"/>
      <c r="T19" s="818"/>
      <c r="U19" s="818"/>
      <c r="V19" s="819"/>
      <c r="W19" s="815"/>
      <c r="X19" s="815"/>
      <c r="Y19" s="775"/>
      <c r="Z19" s="818"/>
      <c r="AA19" s="818"/>
      <c r="AB19" s="819"/>
      <c r="AC19" s="812"/>
      <c r="AD19" s="815"/>
      <c r="AE19" s="816"/>
      <c r="AF19" s="769"/>
      <c r="AG19" s="816"/>
    </row>
    <row r="20" spans="1:33" ht="15" customHeight="1">
      <c r="A20" s="592" t="s">
        <v>45</v>
      </c>
      <c r="B20" s="794"/>
      <c r="C20" s="1186" t="e">
        <f>'A. Ausbildungsverh. Landwirt'!C24+'Fachkraft Agrarservice'!C21+Winzer!C21+'LW-Fachwerker'!C21+Tierwirt!C90+Fischwirt!C21+Pferdewirt!C21+'Pferdewirt (2)'!C21+Gärtner!C108+'Gaba-Fachwerker'!C21+Revierjäger!C21+Forstwirt!C21+#REF!+'Milchtechnologe-technologin'!C21+Milchw.Laborant!C21+Hauswirtschaft!C21</f>
        <v>#REF!</v>
      </c>
      <c r="D20" s="1056" t="e">
        <f>'A. Ausbildungsverh. Landwirt'!D24+'Fachkraft Agrarservice'!D21+Winzer!D21+'LW-Fachwerker'!D21+Tierwirt!D90+Fischwirt!D21+Pferdewirt!D21+'Pferdewirt (2)'!D21+Gärtner!D108+'Gaba-Fachwerker'!D21+Revierjäger!D21+Forstwirt!D21+#REF!+'Milchtechnologe-technologin'!D21+Milchw.Laborant!D21+Hauswirtschaft!D21</f>
        <v>#REF!</v>
      </c>
      <c r="E20" s="1056" t="e">
        <f>'A. Ausbildungsverh. Landwirt'!E24+'Fachkraft Agrarservice'!E21+Winzer!E21+'LW-Fachwerker'!E21+Tierwirt!E90+Fischwirt!E21+Pferdewirt!E21+'Pferdewirt (2)'!E21+Gärtner!E108+'Gaba-Fachwerker'!E21+Revierjäger!E21+Forstwirt!E21+#REF!+'Milchtechnologe-technologin'!E21+Milchw.Laborant!E21+Hauswirtschaft!E21</f>
        <v>#REF!</v>
      </c>
      <c r="F20" s="1056" t="e">
        <f>'A. Ausbildungsverh. Landwirt'!F24+'Fachkraft Agrarservice'!F21+Winzer!F21+'LW-Fachwerker'!F21+Tierwirt!F90+Fischwirt!F21+Pferdewirt!F21+'Pferdewirt (2)'!F21+Gärtner!F108+'Gaba-Fachwerker'!F21+Revierjäger!F21+Forstwirt!F21+#REF!+'Milchtechnologe-technologin'!F21+Milchw.Laborant!F21+Hauswirtschaft!F21</f>
        <v>#REF!</v>
      </c>
      <c r="G20" s="1056" t="e">
        <f>'A. Ausbildungsverh. Landwirt'!G24+'Fachkraft Agrarservice'!G21+Winzer!G21+'LW-Fachwerker'!G21+Tierwirt!G90+Fischwirt!G21+Pferdewirt!G21+'Pferdewirt (2)'!G21+Gärtner!G108+'Gaba-Fachwerker'!G21+Revierjäger!G21+Forstwirt!G21+#REF!+'Milchtechnologe-technologin'!G21+Milchw.Laborant!G21+Hauswirtschaft!G21</f>
        <v>#REF!</v>
      </c>
      <c r="H20" s="1056" t="e">
        <f>'A. Ausbildungsverh. Landwirt'!H24+'Fachkraft Agrarservice'!H21+Winzer!H21+'LW-Fachwerker'!H21+Tierwirt!H90+Fischwirt!H21+Pferdewirt!H21+'Pferdewirt (2)'!H21+Gärtner!H108+'Gaba-Fachwerker'!H21+Revierjäger!H21+Forstwirt!H21+#REF!+'Milchtechnologe-technologin'!H21+Milchw.Laborant!H21+Hauswirtschaft!H21</f>
        <v>#REF!</v>
      </c>
      <c r="I20" s="1056" t="e">
        <f>'A. Ausbildungsverh. Landwirt'!I24+'Fachkraft Agrarservice'!I21+Winzer!I21+'LW-Fachwerker'!I21+Tierwirt!I90+Fischwirt!I21+Pferdewirt!I21+'Pferdewirt (2)'!I21+Gärtner!I108+'Gaba-Fachwerker'!I21+Revierjäger!I21+Forstwirt!I21+#REF!+'Milchtechnologe-technologin'!I21+Milchw.Laborant!I21+Hauswirtschaft!I21</f>
        <v>#REF!</v>
      </c>
      <c r="J20" s="1056" t="e">
        <f>'A. Ausbildungsverh. Landwirt'!J24+'Fachkraft Agrarservice'!J21+Winzer!J21+'LW-Fachwerker'!J21+Tierwirt!J90+Fischwirt!J21+Pferdewirt!J21+'Pferdewirt (2)'!J21+Gärtner!J108+'Gaba-Fachwerker'!J21+Revierjäger!J21+Forstwirt!J21+#REF!+'Milchtechnologe-technologin'!J21+Milchw.Laborant!J21+Hauswirtschaft!J21</f>
        <v>#REF!</v>
      </c>
      <c r="K20" s="1186" t="e">
        <f>'A. Ausbildungsverh. Landwirt'!K24+'Fachkraft Agrarservice'!K21+Winzer!K21+'LW-Fachwerker'!K21+Tierwirt!K90+Fischwirt!K21+Pferdewirt!K21+'Pferdewirt (2)'!K21+Gärtner!K108+'Gaba-Fachwerker'!K21+Revierjäger!K21+Forstwirt!K21+#REF!+'Milchtechnologe-technologin'!K21+Milchw.Laborant!K21+Hauswirtschaft!K21</f>
        <v>#REF!</v>
      </c>
      <c r="L20" s="1056" t="e">
        <f>'A. Ausbildungsverh. Landwirt'!L24+'Fachkraft Agrarservice'!L21+Winzer!L21+'LW-Fachwerker'!L21+Tierwirt!L90+Fischwirt!L21+Pferdewirt!L21+'Pferdewirt (2)'!L21+Gärtner!L108+'Gaba-Fachwerker'!L21+Revierjäger!L21+Forstwirt!L21+#REF!+'Milchtechnologe-technologin'!L21+Milchw.Laborant!L21+Hauswirtschaft!L21</f>
        <v>#REF!</v>
      </c>
      <c r="M20" s="1056" t="e">
        <f>'A. Ausbildungsverh. Landwirt'!M24+'Fachkraft Agrarservice'!M21+Winzer!M21+'LW-Fachwerker'!M21+Tierwirt!M90+Fischwirt!M21+Pferdewirt!M21+'Pferdewirt (2)'!M21+Gärtner!M108+'Gaba-Fachwerker'!M21+Revierjäger!M21+Forstwirt!M21+#REF!+'Milchtechnologe-technologin'!M21+Milchw.Laborant!M21+Hauswirtschaft!M21</f>
        <v>#REF!</v>
      </c>
      <c r="N20" s="1187" t="e">
        <f>'A. Ausbildungsverh. Landwirt'!N24+'Fachkraft Agrarservice'!N21+Winzer!N21+'LW-Fachwerker'!N21+Tierwirt!N90+Fischwirt!N21+Pferdewirt!N21+'Pferdewirt (2)'!N21+Gärtner!N108+'Gaba-Fachwerker'!N21+Revierjäger!N21+Forstwirt!N21+#REF!+'Milchtechnologe-technologin'!N21+Milchw.Laborant!N21+Hauswirtschaft!N21</f>
        <v>#REF!</v>
      </c>
      <c r="O20" s="1056" t="e">
        <f>'A. Ausbildungsverh. Landwirt'!O24+'Fachkraft Agrarservice'!O21+Winzer!O21+'LW-Fachwerker'!O21+Tierwirt!O90+Fischwirt!O21+Pferdewirt!O21+'Pferdewirt (2)'!O21+Gärtner!O108+'Gaba-Fachwerker'!O21+Revierjäger!O21+Forstwirt!O21+#REF!+'Milchtechnologe-technologin'!O21+Milchw.Laborant!O21+Hauswirtschaft!O21</f>
        <v>#REF!</v>
      </c>
      <c r="P20" s="1057" t="e">
        <f>'A. Ausbildungsverh. Landwirt'!P24+'Fachkraft Agrarservice'!P21+Winzer!P21+'LW-Fachwerker'!P21+Tierwirt!P90+Fischwirt!P21+Pferdewirt!P21+'Pferdewirt (2)'!P21+Gärtner!P108+'Gaba-Fachwerker'!P21+Revierjäger!P21+Forstwirt!P21+#REF!+'Milchtechnologe-technologin'!P21+Milchw.Laborant!P21+Hauswirtschaft!P21</f>
        <v>#REF!</v>
      </c>
      <c r="Q20" s="774"/>
      <c r="R20" s="814"/>
      <c r="S20" s="814"/>
      <c r="T20" s="776"/>
      <c r="U20" s="776"/>
      <c r="V20" s="780"/>
      <c r="W20" s="776"/>
      <c r="X20" s="776"/>
      <c r="Y20" s="780"/>
      <c r="Z20" s="776"/>
      <c r="AA20" s="776"/>
      <c r="AB20" s="780"/>
      <c r="AC20" s="812"/>
      <c r="AD20" s="818"/>
      <c r="AE20" s="818"/>
      <c r="AF20" s="819"/>
      <c r="AG20" s="820"/>
    </row>
    <row r="21" spans="1:33" ht="15" customHeight="1">
      <c r="A21" s="592" t="s">
        <v>55</v>
      </c>
      <c r="B21" s="821"/>
      <c r="C21" s="1186" t="e">
        <f>'A. Ausbildungsverh. Landwirt'!C25+'Fachkraft Agrarservice'!C22+Winzer!C22+'LW-Fachwerker'!C22+Tierwirt!C98+Fischwirt!C22+Pferdewirt!C22+'Pferdewirt (2)'!C22+Gärtner!C117+'Gaba-Fachwerker'!C22+Revierjäger!C22+Forstwirt!C22+#REF!+'Milchtechnologe-technologin'!C22+Milchw.Laborant!C22+Hauswirtschaft!C22</f>
        <v>#REF!</v>
      </c>
      <c r="D21" s="1056" t="e">
        <f>'A. Ausbildungsverh. Landwirt'!D25+'Fachkraft Agrarservice'!D22+Winzer!D22+'LW-Fachwerker'!D22+Tierwirt!D98+Fischwirt!D22+Pferdewirt!D22+'Pferdewirt (2)'!D22+Gärtner!D117+'Gaba-Fachwerker'!D22+Revierjäger!D22+Forstwirt!D22+#REF!+'Milchtechnologe-technologin'!D22+Milchw.Laborant!D22+Hauswirtschaft!D22</f>
        <v>#REF!</v>
      </c>
      <c r="E21" s="1056" t="e">
        <f>'A. Ausbildungsverh. Landwirt'!E25+'Fachkraft Agrarservice'!E22+Winzer!E22+'LW-Fachwerker'!E22+Tierwirt!E98+Fischwirt!E22+Pferdewirt!E22+'Pferdewirt (2)'!E22+Gärtner!E117+'Gaba-Fachwerker'!E22+Revierjäger!E22+Forstwirt!E22+#REF!+'Milchtechnologe-technologin'!E22+Milchw.Laborant!E22+Hauswirtschaft!E22</f>
        <v>#REF!</v>
      </c>
      <c r="F21" s="1056" t="e">
        <f>'A. Ausbildungsverh. Landwirt'!F25+'Fachkraft Agrarservice'!F22+Winzer!F22+'LW-Fachwerker'!F22+Tierwirt!F98+Fischwirt!F22+Pferdewirt!F22+'Pferdewirt (2)'!F22+Gärtner!F117+'Gaba-Fachwerker'!F22+Revierjäger!F22+Forstwirt!F22+#REF!+'Milchtechnologe-technologin'!F22+Milchw.Laborant!F22+Hauswirtschaft!F22</f>
        <v>#REF!</v>
      </c>
      <c r="G21" s="1056" t="e">
        <f>'A. Ausbildungsverh. Landwirt'!G25+'Fachkraft Agrarservice'!G22+Winzer!G22+'LW-Fachwerker'!G22+Tierwirt!G98+Fischwirt!G22+Pferdewirt!G22+'Pferdewirt (2)'!G22+Gärtner!G117+'Gaba-Fachwerker'!G22+Revierjäger!G22+Forstwirt!G22+#REF!+'Milchtechnologe-technologin'!G22+Milchw.Laborant!G22+Hauswirtschaft!G22</f>
        <v>#REF!</v>
      </c>
      <c r="H21" s="1056" t="e">
        <f>'A. Ausbildungsverh. Landwirt'!H25+'Fachkraft Agrarservice'!H22+Winzer!H22+'LW-Fachwerker'!H22+Tierwirt!H98+Fischwirt!H22+Pferdewirt!H22+'Pferdewirt (2)'!H22+Gärtner!H117+'Gaba-Fachwerker'!H22+Revierjäger!H22+Forstwirt!H22+#REF!+'Milchtechnologe-technologin'!H22+Milchw.Laborant!H22+Hauswirtschaft!H22</f>
        <v>#REF!</v>
      </c>
      <c r="I21" s="1056" t="e">
        <f>'A. Ausbildungsverh. Landwirt'!I25+'Fachkraft Agrarservice'!I22+Winzer!I22+'LW-Fachwerker'!I22+Tierwirt!I98+Fischwirt!I22+Pferdewirt!I22+'Pferdewirt (2)'!I22+Gärtner!I117+'Gaba-Fachwerker'!I22+Revierjäger!I22+Forstwirt!I22+#REF!+'Milchtechnologe-technologin'!I22+Milchw.Laborant!I22+Hauswirtschaft!I22</f>
        <v>#REF!</v>
      </c>
      <c r="J21" s="1056" t="e">
        <f>'A. Ausbildungsverh. Landwirt'!J25+'Fachkraft Agrarservice'!J22+Winzer!J22+'LW-Fachwerker'!J22+Tierwirt!J98+Fischwirt!J22+Pferdewirt!J22+'Pferdewirt (2)'!J22+Gärtner!J117+'Gaba-Fachwerker'!J22+Revierjäger!J22+Forstwirt!J22+#REF!+'Milchtechnologe-technologin'!J22+Milchw.Laborant!J22+Hauswirtschaft!J22</f>
        <v>#REF!</v>
      </c>
      <c r="K21" s="1186" t="e">
        <f>'A. Ausbildungsverh. Landwirt'!K25+'Fachkraft Agrarservice'!K22+Winzer!K22+'LW-Fachwerker'!K22+Tierwirt!K98+Fischwirt!K22+Pferdewirt!K22+'Pferdewirt (2)'!K22+Gärtner!K117+'Gaba-Fachwerker'!K22+Revierjäger!K22+Forstwirt!K22+#REF!+'Milchtechnologe-technologin'!K22+Milchw.Laborant!K22+Hauswirtschaft!K22</f>
        <v>#REF!</v>
      </c>
      <c r="L21" s="1056" t="e">
        <f>'A. Ausbildungsverh. Landwirt'!L25+'Fachkraft Agrarservice'!L22+Winzer!L22+'LW-Fachwerker'!L22+Tierwirt!L98+Fischwirt!L22+Pferdewirt!L22+'Pferdewirt (2)'!L22+Gärtner!L117+'Gaba-Fachwerker'!L22+Revierjäger!L22+Forstwirt!L22+#REF!+'Milchtechnologe-technologin'!L22+Milchw.Laborant!L22+Hauswirtschaft!L22</f>
        <v>#REF!</v>
      </c>
      <c r="M21" s="1056" t="e">
        <f>'A. Ausbildungsverh. Landwirt'!M25+'Fachkraft Agrarservice'!M22+Winzer!M22+'LW-Fachwerker'!M22+Tierwirt!M98+Fischwirt!M22+Pferdewirt!M22+'Pferdewirt (2)'!M22+Gärtner!M117+'Gaba-Fachwerker'!M22+Revierjäger!M22+Forstwirt!M22+#REF!+'Milchtechnologe-technologin'!M22+Milchw.Laborant!M22+Hauswirtschaft!M22</f>
        <v>#REF!</v>
      </c>
      <c r="N21" s="1187" t="e">
        <f>'A. Ausbildungsverh. Landwirt'!N25+'Fachkraft Agrarservice'!N22+Winzer!N22+'LW-Fachwerker'!N22+Tierwirt!N98+Fischwirt!N22+Pferdewirt!N22+'Pferdewirt (2)'!N22+Gärtner!N117+'Gaba-Fachwerker'!N22+Revierjäger!N22+Forstwirt!N22+#REF!+'Milchtechnologe-technologin'!N22+Milchw.Laborant!N22+Hauswirtschaft!N22</f>
        <v>#REF!</v>
      </c>
      <c r="O21" s="1056" t="e">
        <f>'A. Ausbildungsverh. Landwirt'!O25+'Fachkraft Agrarservice'!O22+Winzer!O22+'LW-Fachwerker'!O22+Tierwirt!O98+Fischwirt!O22+Pferdewirt!O22+'Pferdewirt (2)'!O22+Gärtner!O117+'Gaba-Fachwerker'!O22+Revierjäger!O22+Forstwirt!O22+#REF!+'Milchtechnologe-technologin'!O22+Milchw.Laborant!O22+Hauswirtschaft!O22</f>
        <v>#REF!</v>
      </c>
      <c r="P21" s="1057" t="e">
        <f>'A. Ausbildungsverh. Landwirt'!P25+'Fachkraft Agrarservice'!P22+Winzer!P22+'LW-Fachwerker'!P22+Tierwirt!P98+Fischwirt!P22+Pferdewirt!P22+'Pferdewirt (2)'!P22+Gärtner!P117+'Gaba-Fachwerker'!P22+Revierjäger!P22+Forstwirt!P22+#REF!+'Milchtechnologe-technologin'!P22+Milchw.Laborant!P22+Hauswirtschaft!P22</f>
        <v>#REF!</v>
      </c>
      <c r="Q21" s="820"/>
      <c r="R21" s="814"/>
      <c r="S21" s="814"/>
      <c r="T21" s="812"/>
      <c r="U21" s="812"/>
      <c r="V21" s="822"/>
      <c r="W21" s="812"/>
      <c r="X21" s="774"/>
      <c r="Y21" s="822"/>
      <c r="Z21" s="812"/>
      <c r="AA21" s="812"/>
      <c r="AB21" s="822"/>
      <c r="AC21" s="812"/>
      <c r="AD21" s="812"/>
      <c r="AE21" s="812"/>
      <c r="AF21" s="822"/>
      <c r="AG21" s="820"/>
    </row>
    <row r="22" spans="1:33" ht="15" customHeight="1">
      <c r="A22" s="592" t="s">
        <v>46</v>
      </c>
      <c r="B22" s="794"/>
      <c r="C22" s="1186" t="e">
        <f>'A. Ausbildungsverh. Landwirt'!C26+'Fachkraft Agrarservice'!C23+Winzer!C23+'LW-Fachwerker'!C23+Tierwirt!C118+Fischwirt!C23+Pferdewirt!C23+'Pferdewirt (2)'!C23+Gärtner!C126+'Gaba-Fachwerker'!C23+Revierjäger!C23+Forstwirt!C23+#REF!+'Milchtechnologe-technologin'!C23+Milchw.Laborant!C23+Hauswirtschaft!C23</f>
        <v>#REF!</v>
      </c>
      <c r="D22" s="1056" t="e">
        <f>'A. Ausbildungsverh. Landwirt'!D26+'Fachkraft Agrarservice'!D23+Winzer!D23+'LW-Fachwerker'!D23+Tierwirt!D118+Fischwirt!D23+Pferdewirt!D23+'Pferdewirt (2)'!D23+Gärtner!D126+'Gaba-Fachwerker'!D23+Revierjäger!D23+Forstwirt!D23+#REF!+'Milchtechnologe-technologin'!D23+Milchw.Laborant!D23+Hauswirtschaft!D23</f>
        <v>#REF!</v>
      </c>
      <c r="E22" s="1056" t="e">
        <f>'A. Ausbildungsverh. Landwirt'!E26+'Fachkraft Agrarservice'!E23+Winzer!E23+'LW-Fachwerker'!E23+Tierwirt!E118+Fischwirt!E23+Pferdewirt!E23+'Pferdewirt (2)'!E23+Gärtner!E126+'Gaba-Fachwerker'!E23+Revierjäger!E23+Forstwirt!E23+#REF!+'Milchtechnologe-technologin'!E23+Milchw.Laborant!E23+Hauswirtschaft!E23</f>
        <v>#REF!</v>
      </c>
      <c r="F22" s="1056" t="e">
        <f>'A. Ausbildungsverh. Landwirt'!F26+'Fachkraft Agrarservice'!F23+Winzer!F23+'LW-Fachwerker'!F23+Tierwirt!F118+Fischwirt!F23+Pferdewirt!F23+'Pferdewirt (2)'!F23+Gärtner!F126+'Gaba-Fachwerker'!F23+Revierjäger!F23+Forstwirt!F23+#REF!+'Milchtechnologe-technologin'!F23+Milchw.Laborant!F23+Hauswirtschaft!F23</f>
        <v>#REF!</v>
      </c>
      <c r="G22" s="1056" t="e">
        <f>'A. Ausbildungsverh. Landwirt'!G26+'Fachkraft Agrarservice'!G23+Winzer!G23+'LW-Fachwerker'!G23+Tierwirt!G118+Fischwirt!G23+Pferdewirt!G23+'Pferdewirt (2)'!G23+Gärtner!G126+'Gaba-Fachwerker'!G23+Revierjäger!G23+Forstwirt!G23+#REF!+'Milchtechnologe-technologin'!G23+Milchw.Laborant!G23+Hauswirtschaft!G23</f>
        <v>#REF!</v>
      </c>
      <c r="H22" s="1056" t="e">
        <f>'A. Ausbildungsverh. Landwirt'!H26+'Fachkraft Agrarservice'!H23+Winzer!H23+'LW-Fachwerker'!H23+Tierwirt!H118+Fischwirt!H23+Pferdewirt!H23+'Pferdewirt (2)'!H23+Gärtner!H126+'Gaba-Fachwerker'!H23+Revierjäger!H23+Forstwirt!H23+#REF!+'Milchtechnologe-technologin'!H23+Milchw.Laborant!H23+Hauswirtschaft!H23</f>
        <v>#REF!</v>
      </c>
      <c r="I22" s="1056" t="e">
        <f>'A. Ausbildungsverh. Landwirt'!I26+'Fachkraft Agrarservice'!I23+Winzer!I23+'LW-Fachwerker'!I23+Tierwirt!I118+Fischwirt!I23+Pferdewirt!I23+'Pferdewirt (2)'!I23+Gärtner!I126+'Gaba-Fachwerker'!I23+Revierjäger!I23+Forstwirt!I23+#REF!+'Milchtechnologe-technologin'!I23+Milchw.Laborant!I23+Hauswirtschaft!I23</f>
        <v>#REF!</v>
      </c>
      <c r="J22" s="1056" t="e">
        <f>'A. Ausbildungsverh. Landwirt'!J26+'Fachkraft Agrarservice'!J23+Winzer!J23+'LW-Fachwerker'!J23+Tierwirt!J118+Fischwirt!J23+Pferdewirt!J23+'Pferdewirt (2)'!J23+Gärtner!J126+'Gaba-Fachwerker'!J23+Revierjäger!J23+Forstwirt!J23+#REF!+'Milchtechnologe-technologin'!J23+Milchw.Laborant!J23+Hauswirtschaft!J23</f>
        <v>#REF!</v>
      </c>
      <c r="K22" s="1186" t="e">
        <f>'A. Ausbildungsverh. Landwirt'!K26+'Fachkraft Agrarservice'!K23+Winzer!K23+'LW-Fachwerker'!K23+Tierwirt!K118+Fischwirt!K23+Pferdewirt!K23+'Pferdewirt (2)'!K23+Gärtner!K126+'Gaba-Fachwerker'!K23+Revierjäger!K23+Forstwirt!K23+#REF!+'Milchtechnologe-technologin'!K23+Milchw.Laborant!K23+Hauswirtschaft!K23</f>
        <v>#REF!</v>
      </c>
      <c r="L22" s="1056" t="e">
        <f>'A. Ausbildungsverh. Landwirt'!L26+'Fachkraft Agrarservice'!L23+Winzer!L23+'LW-Fachwerker'!L23+Tierwirt!L118+Fischwirt!L23+Pferdewirt!L23+'Pferdewirt (2)'!L23+Gärtner!L126+'Gaba-Fachwerker'!L23+Revierjäger!L23+Forstwirt!L23+#REF!+'Milchtechnologe-technologin'!L23+Milchw.Laborant!L23+Hauswirtschaft!L23</f>
        <v>#REF!</v>
      </c>
      <c r="M22" s="1056" t="e">
        <f>'A. Ausbildungsverh. Landwirt'!M26+'Fachkraft Agrarservice'!M23+Winzer!M23+'LW-Fachwerker'!M23+Tierwirt!M118+Fischwirt!M23+Pferdewirt!M23+'Pferdewirt (2)'!M23+Gärtner!M126+'Gaba-Fachwerker'!M23+Revierjäger!M23+Forstwirt!M23+#REF!+'Milchtechnologe-technologin'!M23+Milchw.Laborant!M23+Hauswirtschaft!M23</f>
        <v>#REF!</v>
      </c>
      <c r="N22" s="1187" t="e">
        <f>'A. Ausbildungsverh. Landwirt'!N26+'Fachkraft Agrarservice'!N23+Winzer!N23+'LW-Fachwerker'!N23+Tierwirt!N118+Fischwirt!N23+Pferdewirt!N23+'Pferdewirt (2)'!N23+Gärtner!N126+'Gaba-Fachwerker'!N23+Revierjäger!N23+Forstwirt!N23+#REF!+'Milchtechnologe-technologin'!N23+Milchw.Laborant!N23+Hauswirtschaft!N23</f>
        <v>#REF!</v>
      </c>
      <c r="O22" s="1056" t="e">
        <f>'A. Ausbildungsverh. Landwirt'!O26+'Fachkraft Agrarservice'!O23+Winzer!O23+'LW-Fachwerker'!O23+Tierwirt!O118+Fischwirt!O23+Pferdewirt!O23+'Pferdewirt (2)'!O23+Gärtner!O126+'Gaba-Fachwerker'!O23+Revierjäger!O23+Forstwirt!O23+#REF!+'Milchtechnologe-technologin'!O23+Milchw.Laborant!O23+Hauswirtschaft!O23</f>
        <v>#REF!</v>
      </c>
      <c r="P22" s="1057" t="e">
        <f>'A. Ausbildungsverh. Landwirt'!P26+'Fachkraft Agrarservice'!P23+Winzer!P23+'LW-Fachwerker'!P23+Tierwirt!P118+Fischwirt!P23+Pferdewirt!P23+'Pferdewirt (2)'!P23+Gärtner!P126+'Gaba-Fachwerker'!P23+Revierjäger!P23+Forstwirt!P23+#REF!+'Milchtechnologe-technologin'!P23+Milchw.Laborant!P23+Hauswirtschaft!P23</f>
        <v>#REF!</v>
      </c>
      <c r="Q22" s="812"/>
      <c r="R22" s="814"/>
      <c r="S22" s="814"/>
      <c r="T22" s="812"/>
      <c r="U22" s="812"/>
      <c r="V22" s="822"/>
      <c r="W22" s="812"/>
      <c r="X22" s="812"/>
      <c r="Y22" s="822"/>
      <c r="Z22" s="812"/>
      <c r="AA22" s="812"/>
      <c r="AB22" s="822"/>
      <c r="AC22" s="812"/>
      <c r="AD22" s="812"/>
      <c r="AE22" s="812"/>
      <c r="AF22" s="822"/>
      <c r="AG22" s="820"/>
    </row>
    <row r="23" spans="1:33" ht="15" customHeight="1">
      <c r="A23" s="592" t="s">
        <v>47</v>
      </c>
      <c r="B23" s="794"/>
      <c r="C23" s="1186" t="e">
        <f>'A. Ausbildungsverh. Landwirt'!C27+'Fachkraft Agrarservice'!C24+Winzer!C24+'LW-Fachwerker'!C24+Tierwirt!C126+Fischwirt!C24+Pferdewirt!C24+'Pferdewirt (2)'!C24+Gärtner!C135+'Gaba-Fachwerker'!C24+Revierjäger!C24+Forstwirt!C24+#REF!+'Milchtechnologe-technologin'!C24+Milchw.Laborant!C24+Hauswirtschaft!C24</f>
        <v>#REF!</v>
      </c>
      <c r="D23" s="1056" t="e">
        <f>'A. Ausbildungsverh. Landwirt'!D27+'Fachkraft Agrarservice'!D24+Winzer!D24+'LW-Fachwerker'!D24+Tierwirt!D126+Fischwirt!D24+Pferdewirt!D24+'Pferdewirt (2)'!D24+Gärtner!D135+'Gaba-Fachwerker'!D24+Revierjäger!D24+Forstwirt!D24+#REF!+'Milchtechnologe-technologin'!D24+Milchw.Laborant!D24+Hauswirtschaft!D24</f>
        <v>#REF!</v>
      </c>
      <c r="E23" s="1056" t="e">
        <f>'A. Ausbildungsverh. Landwirt'!E27+'Fachkraft Agrarservice'!E24+Winzer!E24+'LW-Fachwerker'!E24+Tierwirt!E126+Fischwirt!E24+Pferdewirt!E24+'Pferdewirt (2)'!E24+Gärtner!E135+'Gaba-Fachwerker'!E24+Revierjäger!E24+Forstwirt!E24+#REF!+'Milchtechnologe-technologin'!E24+Milchw.Laborant!E24+Hauswirtschaft!E24</f>
        <v>#REF!</v>
      </c>
      <c r="F23" s="1056" t="e">
        <f>'A. Ausbildungsverh. Landwirt'!F27+'Fachkraft Agrarservice'!F24+Winzer!F24+'LW-Fachwerker'!F24+Tierwirt!F126+Fischwirt!F24+Pferdewirt!F24+'Pferdewirt (2)'!F24+Gärtner!F135+'Gaba-Fachwerker'!F24+Revierjäger!F24+Forstwirt!F24+#REF!+'Milchtechnologe-technologin'!F24+Milchw.Laborant!F24+Hauswirtschaft!F24</f>
        <v>#REF!</v>
      </c>
      <c r="G23" s="1056" t="e">
        <f>'A. Ausbildungsverh. Landwirt'!G27+'Fachkraft Agrarservice'!G24+Winzer!G24+'LW-Fachwerker'!G24+Tierwirt!G126+Fischwirt!G24+Pferdewirt!G24+'Pferdewirt (2)'!G24+Gärtner!G135+'Gaba-Fachwerker'!G24+Revierjäger!G24+Forstwirt!G24+#REF!+'Milchtechnologe-technologin'!G24+Milchw.Laborant!G24+Hauswirtschaft!G24</f>
        <v>#REF!</v>
      </c>
      <c r="H23" s="1056" t="e">
        <f>'A. Ausbildungsverh. Landwirt'!H27+'Fachkraft Agrarservice'!H24+Winzer!H24+'LW-Fachwerker'!H24+Tierwirt!H126+Fischwirt!H24+Pferdewirt!H24+'Pferdewirt (2)'!H24+Gärtner!H135+'Gaba-Fachwerker'!H24+Revierjäger!H24+Forstwirt!H24+#REF!+'Milchtechnologe-technologin'!H24+Milchw.Laborant!H24+Hauswirtschaft!H24</f>
        <v>#REF!</v>
      </c>
      <c r="I23" s="1056" t="e">
        <f>'A. Ausbildungsverh. Landwirt'!I27+'Fachkraft Agrarservice'!I24+Winzer!I24+'LW-Fachwerker'!I24+Tierwirt!I126+Fischwirt!I24+Pferdewirt!I24+'Pferdewirt (2)'!I24+Gärtner!I135+'Gaba-Fachwerker'!I24+Revierjäger!I24+Forstwirt!I24+#REF!+'Milchtechnologe-technologin'!I24+Milchw.Laborant!I24+Hauswirtschaft!I24</f>
        <v>#REF!</v>
      </c>
      <c r="J23" s="1056" t="e">
        <f>'A. Ausbildungsverh. Landwirt'!J27+'Fachkraft Agrarservice'!J24+Winzer!J24+'LW-Fachwerker'!J24+Tierwirt!J126+Fischwirt!J24+Pferdewirt!J24+'Pferdewirt (2)'!J24+Gärtner!J135+'Gaba-Fachwerker'!J24+Revierjäger!J24+Forstwirt!J24+#REF!+'Milchtechnologe-technologin'!J24+Milchw.Laborant!J24+Hauswirtschaft!J24</f>
        <v>#REF!</v>
      </c>
      <c r="K23" s="1186" t="e">
        <f>'A. Ausbildungsverh. Landwirt'!K27+'Fachkraft Agrarservice'!K24+Winzer!K24+'LW-Fachwerker'!K24+Tierwirt!K126+Fischwirt!K24+Pferdewirt!K24+'Pferdewirt (2)'!K24+Gärtner!K135+'Gaba-Fachwerker'!K24+Revierjäger!K24+Forstwirt!K24+#REF!+'Milchtechnologe-technologin'!K24+Milchw.Laborant!K24+Hauswirtschaft!K24</f>
        <v>#REF!</v>
      </c>
      <c r="L23" s="1056" t="e">
        <f>'A. Ausbildungsverh. Landwirt'!L27+'Fachkraft Agrarservice'!L24+Winzer!L24+'LW-Fachwerker'!L24+Tierwirt!L126+Fischwirt!L24+Pferdewirt!L24+'Pferdewirt (2)'!L24+Gärtner!L135+'Gaba-Fachwerker'!L24+Revierjäger!L24+Forstwirt!L24+#REF!+'Milchtechnologe-technologin'!L24+Milchw.Laborant!L24+Hauswirtschaft!L24</f>
        <v>#REF!</v>
      </c>
      <c r="M23" s="1056" t="e">
        <f>'A. Ausbildungsverh. Landwirt'!M27+'Fachkraft Agrarservice'!M24+Winzer!M24+'LW-Fachwerker'!M24+Tierwirt!M126+Fischwirt!M24+Pferdewirt!M24+'Pferdewirt (2)'!M24+Gärtner!M135+'Gaba-Fachwerker'!M24+Revierjäger!M24+Forstwirt!M24+#REF!+'Milchtechnologe-technologin'!M24+Milchw.Laborant!M24+Hauswirtschaft!M24</f>
        <v>#REF!</v>
      </c>
      <c r="N23" s="1187" t="e">
        <f>'A. Ausbildungsverh. Landwirt'!N27+'Fachkraft Agrarservice'!N24+Winzer!N24+'LW-Fachwerker'!N24+Tierwirt!N126+Fischwirt!N24+Pferdewirt!N24+'Pferdewirt (2)'!N24+Gärtner!N135+'Gaba-Fachwerker'!N24+Revierjäger!N24+Forstwirt!N24+#REF!+'Milchtechnologe-technologin'!N24+Milchw.Laborant!N24+Hauswirtschaft!N24</f>
        <v>#REF!</v>
      </c>
      <c r="O23" s="1056" t="e">
        <f>'A. Ausbildungsverh. Landwirt'!O27+'Fachkraft Agrarservice'!O24+Winzer!O24+'LW-Fachwerker'!O24+Tierwirt!O126+Fischwirt!O24+Pferdewirt!O24+'Pferdewirt (2)'!O24+Gärtner!O135+'Gaba-Fachwerker'!O24+Revierjäger!O24+Forstwirt!O24+#REF!+'Milchtechnologe-technologin'!O24+Milchw.Laborant!O24+Hauswirtschaft!O24</f>
        <v>#REF!</v>
      </c>
      <c r="P23" s="1057" t="e">
        <f>'A. Ausbildungsverh. Landwirt'!P27+'Fachkraft Agrarservice'!P24+Winzer!P24+'LW-Fachwerker'!P24+Tierwirt!P126+Fischwirt!P24+Pferdewirt!P24+'Pferdewirt (2)'!P24+Gärtner!P135+'Gaba-Fachwerker'!P24+Revierjäger!P24+Forstwirt!P24+#REF!+'Milchtechnologe-technologin'!P24+Milchw.Laborant!P24+Hauswirtschaft!P24</f>
        <v>#REF!</v>
      </c>
      <c r="Q23" s="776"/>
      <c r="R23" s="823"/>
      <c r="S23" s="823"/>
      <c r="T23" s="776"/>
      <c r="U23" s="776"/>
      <c r="V23" s="780"/>
      <c r="W23" s="776"/>
      <c r="X23" s="776"/>
      <c r="Y23" s="780"/>
      <c r="Z23" s="776"/>
      <c r="AA23" s="776"/>
      <c r="AB23" s="780"/>
      <c r="AC23" s="817"/>
      <c r="AD23" s="776"/>
      <c r="AE23" s="776"/>
      <c r="AF23" s="780"/>
      <c r="AG23" s="820"/>
    </row>
    <row r="24" spans="1:33" ht="15" customHeight="1">
      <c r="A24" s="592" t="s">
        <v>51</v>
      </c>
      <c r="B24" s="794"/>
      <c r="C24" s="1186" t="e">
        <f>'A. Ausbildungsverh. Landwirt'!C28+'Fachkraft Agrarservice'!C25+Winzer!C25+'LW-Fachwerker'!C25+Tierwirt!C134+Fischwirt!C25+Pferdewirt!C25+'Pferdewirt (2)'!C25+Gärtner!C154+'Gaba-Fachwerker'!C25+Revierjäger!C25+Forstwirt!C25+#REF!+'Milchtechnologe-technologin'!C25+Milchw.Laborant!C25+Hauswirtschaft!C25</f>
        <v>#REF!</v>
      </c>
      <c r="D24" s="1056" t="e">
        <f>'A. Ausbildungsverh. Landwirt'!D28+'Fachkraft Agrarservice'!D25+Winzer!D25+'LW-Fachwerker'!D25+Tierwirt!D134+Fischwirt!D25+Pferdewirt!D25+'Pferdewirt (2)'!D25+Gärtner!D154+'Gaba-Fachwerker'!D25+Revierjäger!D25+Forstwirt!D25+#REF!+'Milchtechnologe-technologin'!D25+Milchw.Laborant!D25+Hauswirtschaft!D25</f>
        <v>#REF!</v>
      </c>
      <c r="E24" s="1056" t="e">
        <f>'A. Ausbildungsverh. Landwirt'!E28+'Fachkraft Agrarservice'!E25+Winzer!E25+'LW-Fachwerker'!E25+Tierwirt!E134+Fischwirt!E25+Pferdewirt!E25+'Pferdewirt (2)'!E25+Gärtner!E154+'Gaba-Fachwerker'!E25+Revierjäger!E25+Forstwirt!E25+#REF!+'Milchtechnologe-technologin'!E25+Milchw.Laborant!E25+Hauswirtschaft!E25</f>
        <v>#REF!</v>
      </c>
      <c r="F24" s="1056" t="e">
        <f>'A. Ausbildungsverh. Landwirt'!F28+'Fachkraft Agrarservice'!F25+Winzer!F25+'LW-Fachwerker'!F25+Tierwirt!F134+Fischwirt!F25+Pferdewirt!F25+'Pferdewirt (2)'!F25+Gärtner!F154+'Gaba-Fachwerker'!F25+Revierjäger!F25+Forstwirt!F25+#REF!+'Milchtechnologe-technologin'!F25+Milchw.Laborant!F25+Hauswirtschaft!F25</f>
        <v>#REF!</v>
      </c>
      <c r="G24" s="1056" t="e">
        <f>'A. Ausbildungsverh. Landwirt'!G28+'Fachkraft Agrarservice'!G25+Winzer!G25+'LW-Fachwerker'!G25+Tierwirt!G134+Fischwirt!G25+Pferdewirt!G25+'Pferdewirt (2)'!G25+Gärtner!G154+'Gaba-Fachwerker'!G25+Revierjäger!G25+Forstwirt!G25+#REF!+'Milchtechnologe-technologin'!G25+Milchw.Laborant!G25+Hauswirtschaft!G25</f>
        <v>#REF!</v>
      </c>
      <c r="H24" s="1056" t="e">
        <f>'A. Ausbildungsverh. Landwirt'!H28+'Fachkraft Agrarservice'!H25+Winzer!H25+'LW-Fachwerker'!H25+Tierwirt!H134+Fischwirt!H25+Pferdewirt!H25+'Pferdewirt (2)'!H25+Gärtner!H154+'Gaba-Fachwerker'!H25+Revierjäger!H25+Forstwirt!H25+#REF!+'Milchtechnologe-technologin'!H25+Milchw.Laborant!H25+Hauswirtschaft!H25</f>
        <v>#REF!</v>
      </c>
      <c r="I24" s="1056" t="e">
        <f>'A. Ausbildungsverh. Landwirt'!I28+'Fachkraft Agrarservice'!I25+Winzer!I25+'LW-Fachwerker'!I25+Tierwirt!I134+Fischwirt!I25+Pferdewirt!I25+'Pferdewirt (2)'!I25+Gärtner!I154+'Gaba-Fachwerker'!I25+Revierjäger!I25+Forstwirt!I25+#REF!+'Milchtechnologe-technologin'!I25+Milchw.Laborant!I25+Hauswirtschaft!I25</f>
        <v>#REF!</v>
      </c>
      <c r="J24" s="1056" t="e">
        <f>'A. Ausbildungsverh. Landwirt'!J28+'Fachkraft Agrarservice'!J25+Winzer!J25+'LW-Fachwerker'!J25+Tierwirt!J134+Fischwirt!J25+Pferdewirt!J25+'Pferdewirt (2)'!J25+Gärtner!J154+'Gaba-Fachwerker'!J25+Revierjäger!J25+Forstwirt!J25+#REF!+'Milchtechnologe-technologin'!J25+Milchw.Laborant!J25+Hauswirtschaft!J25</f>
        <v>#REF!</v>
      </c>
      <c r="K24" s="1186" t="e">
        <f>'A. Ausbildungsverh. Landwirt'!K28+'Fachkraft Agrarservice'!K25+Winzer!K25+'LW-Fachwerker'!K25+Tierwirt!K134+Fischwirt!K25+Pferdewirt!K25+'Pferdewirt (2)'!K25+Gärtner!K154+'Gaba-Fachwerker'!K25+Revierjäger!K25+Forstwirt!K25+#REF!+'Milchtechnologe-technologin'!K25+Milchw.Laborant!K25+Hauswirtschaft!K25</f>
        <v>#REF!</v>
      </c>
      <c r="L24" s="1056" t="e">
        <f>'A. Ausbildungsverh. Landwirt'!L28+'Fachkraft Agrarservice'!L25+Winzer!L25+'LW-Fachwerker'!L25+Tierwirt!L134+Fischwirt!L25+Pferdewirt!L25+'Pferdewirt (2)'!L25+Gärtner!L154+'Gaba-Fachwerker'!L25+Revierjäger!L25+Forstwirt!L25+#REF!+'Milchtechnologe-technologin'!L25+Milchw.Laborant!L25+Hauswirtschaft!L25</f>
        <v>#REF!</v>
      </c>
      <c r="M24" s="1056" t="e">
        <f>'A. Ausbildungsverh. Landwirt'!M28+'Fachkraft Agrarservice'!M25+Winzer!M25+'LW-Fachwerker'!M25+Tierwirt!M134+Fischwirt!M25+Pferdewirt!M25+'Pferdewirt (2)'!M25+Gärtner!M154+'Gaba-Fachwerker'!M25+Revierjäger!M25+Forstwirt!M25+#REF!+'Milchtechnologe-technologin'!M25+Milchw.Laborant!M25+Hauswirtschaft!M25</f>
        <v>#REF!</v>
      </c>
      <c r="N24" s="1187" t="e">
        <f>'A. Ausbildungsverh. Landwirt'!N28+'Fachkraft Agrarservice'!N25+Winzer!N25+'LW-Fachwerker'!N25+Tierwirt!N134+Fischwirt!N25+Pferdewirt!N25+'Pferdewirt (2)'!N25+Gärtner!N154+'Gaba-Fachwerker'!N25+Revierjäger!N25+Forstwirt!N25+#REF!+'Milchtechnologe-technologin'!N25+Milchw.Laborant!N25+Hauswirtschaft!N25</f>
        <v>#REF!</v>
      </c>
      <c r="O24" s="1056" t="e">
        <f>'A. Ausbildungsverh. Landwirt'!O28+'Fachkraft Agrarservice'!O25+Winzer!O25+'LW-Fachwerker'!O25+Tierwirt!O134+Fischwirt!O25+Pferdewirt!O25+'Pferdewirt (2)'!O25+Gärtner!O154+'Gaba-Fachwerker'!O25+Revierjäger!O25+Forstwirt!O25+#REF!+'Milchtechnologe-technologin'!O25+Milchw.Laborant!O25+Hauswirtschaft!O25</f>
        <v>#REF!</v>
      </c>
      <c r="P24" s="1058" t="e">
        <f>'A. Ausbildungsverh. Landwirt'!P28+'Fachkraft Agrarservice'!P25+Winzer!P25+'LW-Fachwerker'!P25+Tierwirt!P134+Fischwirt!P25+Pferdewirt!P25+'Pferdewirt (2)'!P25+Gärtner!P154+'Gaba-Fachwerker'!P25+Revierjäger!P25+Forstwirt!P25+#REF!+'Milchtechnologe-technologin'!P25+Milchw.Laborant!P25+Hauswirtschaft!P25</f>
        <v>#REF!</v>
      </c>
    </row>
    <row r="25" spans="1:33" ht="15" customHeight="1">
      <c r="A25" s="592" t="s">
        <v>56</v>
      </c>
      <c r="B25" s="794"/>
      <c r="C25" s="1186" t="e">
        <f>'A. Ausbildungsverh. Landwirt'!C29+'Fachkraft Agrarservice'!C26+Winzer!C26+'LW-Fachwerker'!C26+Tierwirt!C142+Fischwirt!C26+Pferdewirt!C26+'Pferdewirt (2)'!C26+Gärtner!C163+'Gaba-Fachwerker'!C26+Revierjäger!C26+Forstwirt!C26+#REF!+'Milchtechnologe-technologin'!C26+Milchw.Laborant!C26+Hauswirtschaft!C26</f>
        <v>#REF!</v>
      </c>
      <c r="D25" s="1056" t="e">
        <f>'A. Ausbildungsverh. Landwirt'!D29+'Fachkraft Agrarservice'!D26+Winzer!D26+'LW-Fachwerker'!D26+Tierwirt!D142+Fischwirt!D26+Pferdewirt!D26+'Pferdewirt (2)'!D26+Gärtner!D163+'Gaba-Fachwerker'!D26+Revierjäger!D26+Forstwirt!D26+#REF!+'Milchtechnologe-technologin'!D26+Milchw.Laborant!D26+Hauswirtschaft!D26</f>
        <v>#REF!</v>
      </c>
      <c r="E25" s="1056" t="e">
        <f>'A. Ausbildungsverh. Landwirt'!E29+'Fachkraft Agrarservice'!E26+Winzer!E26+'LW-Fachwerker'!E26+Tierwirt!E142+Fischwirt!E26+Pferdewirt!E26+'Pferdewirt (2)'!E26+Gärtner!E163+'Gaba-Fachwerker'!E26+Revierjäger!E26+Forstwirt!E26+#REF!+'Milchtechnologe-technologin'!E26+Milchw.Laborant!E26+Hauswirtschaft!E26</f>
        <v>#REF!</v>
      </c>
      <c r="F25" s="1056" t="e">
        <f>'A. Ausbildungsverh. Landwirt'!F29+'Fachkraft Agrarservice'!F26+Winzer!F26+'LW-Fachwerker'!F26+Tierwirt!F142+Fischwirt!F26+Pferdewirt!F26+'Pferdewirt (2)'!F26+Gärtner!F163+'Gaba-Fachwerker'!F26+Revierjäger!F26+Forstwirt!F26+#REF!+'Milchtechnologe-technologin'!F26+Milchw.Laborant!F26+Hauswirtschaft!F26</f>
        <v>#REF!</v>
      </c>
      <c r="G25" s="1056" t="e">
        <f>'A. Ausbildungsverh. Landwirt'!G29+'Fachkraft Agrarservice'!G26+Winzer!G26+'LW-Fachwerker'!G26+Tierwirt!G142+Fischwirt!G26+Pferdewirt!G26+'Pferdewirt (2)'!G26+Gärtner!G163+'Gaba-Fachwerker'!G26+Revierjäger!G26+Forstwirt!G26+#REF!+'Milchtechnologe-technologin'!G26+Milchw.Laborant!G26+Hauswirtschaft!G26</f>
        <v>#REF!</v>
      </c>
      <c r="H25" s="1056" t="e">
        <f>'A. Ausbildungsverh. Landwirt'!H29+'Fachkraft Agrarservice'!H26+Winzer!H26+'LW-Fachwerker'!H26+Tierwirt!H142+Fischwirt!H26+Pferdewirt!H26+'Pferdewirt (2)'!H26+Gärtner!H163+'Gaba-Fachwerker'!H26+Revierjäger!H26+Forstwirt!H26+#REF!+'Milchtechnologe-technologin'!H26+Milchw.Laborant!H26+Hauswirtschaft!H26</f>
        <v>#REF!</v>
      </c>
      <c r="I25" s="1056" t="e">
        <f>'A. Ausbildungsverh. Landwirt'!I29+'Fachkraft Agrarservice'!I26+Winzer!I26+'LW-Fachwerker'!I26+Tierwirt!I142+Fischwirt!I26+Pferdewirt!I26+'Pferdewirt (2)'!I26+Gärtner!I163+'Gaba-Fachwerker'!I26+Revierjäger!I26+Forstwirt!I26+#REF!+'Milchtechnologe-technologin'!I26+Milchw.Laborant!I26+Hauswirtschaft!I26</f>
        <v>#REF!</v>
      </c>
      <c r="J25" s="1056" t="e">
        <f>'A. Ausbildungsverh. Landwirt'!J29+'Fachkraft Agrarservice'!J26+Winzer!J26+'LW-Fachwerker'!J26+Tierwirt!J142+Fischwirt!J26+Pferdewirt!J26+'Pferdewirt (2)'!J26+Gärtner!J163+'Gaba-Fachwerker'!J26+Revierjäger!J26+Forstwirt!J26+#REF!+'Milchtechnologe-technologin'!J26+Milchw.Laborant!J26+Hauswirtschaft!J26</f>
        <v>#REF!</v>
      </c>
      <c r="K25" s="1186" t="e">
        <f>'A. Ausbildungsverh. Landwirt'!K29+'Fachkraft Agrarservice'!K26+Winzer!K26+'LW-Fachwerker'!K26+Tierwirt!K142+Fischwirt!K26+Pferdewirt!K26+'Pferdewirt (2)'!K26+Gärtner!K163+'Gaba-Fachwerker'!K26+Revierjäger!K26+Forstwirt!K26+#REF!+'Milchtechnologe-technologin'!K26+Milchw.Laborant!K26+Hauswirtschaft!K26</f>
        <v>#REF!</v>
      </c>
      <c r="L25" s="1056" t="e">
        <f>'A. Ausbildungsverh. Landwirt'!L29+'Fachkraft Agrarservice'!L26+Winzer!L26+'LW-Fachwerker'!L26+Tierwirt!L142+Fischwirt!L26+Pferdewirt!L26+'Pferdewirt (2)'!L26+Gärtner!L163+'Gaba-Fachwerker'!L26+Revierjäger!L26+Forstwirt!L26+#REF!+'Milchtechnologe-technologin'!L26+Milchw.Laborant!L26+Hauswirtschaft!L26</f>
        <v>#REF!</v>
      </c>
      <c r="M25" s="1056" t="e">
        <f>'A. Ausbildungsverh. Landwirt'!M29+'Fachkraft Agrarservice'!M26+Winzer!M26+'LW-Fachwerker'!M26+Tierwirt!M142+Fischwirt!M26+Pferdewirt!M26+'Pferdewirt (2)'!M26+Gärtner!M163+'Gaba-Fachwerker'!M26+Revierjäger!M26+Forstwirt!M26+#REF!+'Milchtechnologe-technologin'!M26+Milchw.Laborant!M26+Hauswirtschaft!M26</f>
        <v>#REF!</v>
      </c>
      <c r="N25" s="1187" t="e">
        <f>'A. Ausbildungsverh. Landwirt'!N29+'Fachkraft Agrarservice'!N26+Winzer!N26+'LW-Fachwerker'!N26+Tierwirt!N142+Fischwirt!N26+Pferdewirt!N26+'Pferdewirt (2)'!N26+Gärtner!N163+'Gaba-Fachwerker'!N26+Revierjäger!N26+Forstwirt!N26+#REF!+'Milchtechnologe-technologin'!N26+Milchw.Laborant!N26+Hauswirtschaft!N26</f>
        <v>#REF!</v>
      </c>
      <c r="O25" s="1056" t="e">
        <f>'A. Ausbildungsverh. Landwirt'!O29+'Fachkraft Agrarservice'!O26+Winzer!O26+'LW-Fachwerker'!O26+Tierwirt!O142+Fischwirt!O26+Pferdewirt!O26+'Pferdewirt (2)'!O26+Gärtner!O163+'Gaba-Fachwerker'!O26+Revierjäger!O26+Forstwirt!O26+#REF!+'Milchtechnologe-technologin'!O26+Milchw.Laborant!O26+Hauswirtschaft!O26</f>
        <v>#REF!</v>
      </c>
      <c r="P25" s="1057" t="e">
        <f>'A. Ausbildungsverh. Landwirt'!P29+'Fachkraft Agrarservice'!P26+Winzer!P26+'LW-Fachwerker'!P26+Tierwirt!P142+Fischwirt!P26+Pferdewirt!P26+'Pferdewirt (2)'!P26+Gärtner!P163+'Gaba-Fachwerker'!P26+Revierjäger!P26+Forstwirt!P26+#REF!+'Milchtechnologe-technologin'!P26+Milchw.Laborant!P26+Hauswirtschaft!P26</f>
        <v>#REF!</v>
      </c>
    </row>
    <row r="26" spans="1:33" ht="15" customHeight="1">
      <c r="A26" s="592" t="s">
        <v>57</v>
      </c>
      <c r="B26" s="821"/>
      <c r="C26" s="1186" t="e">
        <f>'A. Ausbildungsverh. Landwirt'!C30+'Fachkraft Agrarservice'!C27+Winzer!C27+'LW-Fachwerker'!C27+Tierwirt!C150+Fischwirt!C27+Pferdewirt!C27+'Pferdewirt (2)'!C27+Gärtner!C172+'Gaba-Fachwerker'!C27+Revierjäger!C27+Forstwirt!C27+#REF!+'Milchtechnologe-technologin'!C27+Milchw.Laborant!C27+Hauswirtschaft!C27</f>
        <v>#REF!</v>
      </c>
      <c r="D26" s="1056" t="e">
        <f>'A. Ausbildungsverh. Landwirt'!D30+'Fachkraft Agrarservice'!D27+Winzer!D27+'LW-Fachwerker'!D27+Tierwirt!D150+Fischwirt!D27+Pferdewirt!D27+'Pferdewirt (2)'!D27+Gärtner!D172+'Gaba-Fachwerker'!D27+Revierjäger!D27+Forstwirt!D27+#REF!+'Milchtechnologe-technologin'!D27+Milchw.Laborant!D27+Hauswirtschaft!D27</f>
        <v>#REF!</v>
      </c>
      <c r="E26" s="1056" t="e">
        <f>'A. Ausbildungsverh. Landwirt'!E30+'Fachkraft Agrarservice'!E27+Winzer!E27+'LW-Fachwerker'!E27+Tierwirt!E150+Fischwirt!E27+Pferdewirt!E27+'Pferdewirt (2)'!E27+Gärtner!E172+'Gaba-Fachwerker'!E27+Revierjäger!E27+Forstwirt!E27+#REF!+'Milchtechnologe-technologin'!E27+Milchw.Laborant!E27+Hauswirtschaft!E27</f>
        <v>#REF!</v>
      </c>
      <c r="F26" s="1056" t="e">
        <f>'A. Ausbildungsverh. Landwirt'!F30+'Fachkraft Agrarservice'!F27+Winzer!F27+'LW-Fachwerker'!F27+Tierwirt!F150+Fischwirt!F27+Pferdewirt!F27+'Pferdewirt (2)'!F27+Gärtner!F172+'Gaba-Fachwerker'!F27+Revierjäger!F27+Forstwirt!F27+#REF!+'Milchtechnologe-technologin'!F27+Milchw.Laborant!F27+Hauswirtschaft!F27</f>
        <v>#REF!</v>
      </c>
      <c r="G26" s="1056" t="e">
        <f>'A. Ausbildungsverh. Landwirt'!G30+'Fachkraft Agrarservice'!G27+Winzer!G27+'LW-Fachwerker'!G27+Tierwirt!G150+Fischwirt!G27+Pferdewirt!G27+'Pferdewirt (2)'!G27+Gärtner!G172+'Gaba-Fachwerker'!G27+Revierjäger!G27+Forstwirt!G27+#REF!+'Milchtechnologe-technologin'!G27+Milchw.Laborant!G27+Hauswirtschaft!G27</f>
        <v>#REF!</v>
      </c>
      <c r="H26" s="1056" t="e">
        <f>'A. Ausbildungsverh. Landwirt'!H30+'Fachkraft Agrarservice'!H27+Winzer!H27+'LW-Fachwerker'!H27+Tierwirt!H150+Fischwirt!H27+Pferdewirt!H27+'Pferdewirt (2)'!H27+Gärtner!H172+'Gaba-Fachwerker'!H27+Revierjäger!H27+Forstwirt!H27+#REF!+'Milchtechnologe-technologin'!H27+Milchw.Laborant!H27+Hauswirtschaft!H27</f>
        <v>#REF!</v>
      </c>
      <c r="I26" s="1056" t="e">
        <f>'A. Ausbildungsverh. Landwirt'!I30+'Fachkraft Agrarservice'!I27+Winzer!I27+'LW-Fachwerker'!I27+Tierwirt!I150+Fischwirt!I27+Pferdewirt!I27+'Pferdewirt (2)'!I27+Gärtner!I172+'Gaba-Fachwerker'!I27+Revierjäger!I27+Forstwirt!I27+#REF!+'Milchtechnologe-technologin'!I27+Milchw.Laborant!I27+Hauswirtschaft!I27</f>
        <v>#REF!</v>
      </c>
      <c r="J26" s="1056" t="e">
        <f>'A. Ausbildungsverh. Landwirt'!J30+'Fachkraft Agrarservice'!J27+Winzer!J27+'LW-Fachwerker'!J27+Tierwirt!J150+Fischwirt!J27+Pferdewirt!J27+'Pferdewirt (2)'!J27+Gärtner!J172+'Gaba-Fachwerker'!J27+Revierjäger!J27+Forstwirt!J27+#REF!+'Milchtechnologe-technologin'!J27+Milchw.Laborant!J27+Hauswirtschaft!J27</f>
        <v>#REF!</v>
      </c>
      <c r="K26" s="1186" t="e">
        <f>'A. Ausbildungsverh. Landwirt'!K30+'Fachkraft Agrarservice'!K27+Winzer!K27+'LW-Fachwerker'!K27+Tierwirt!K150+Fischwirt!K27+Pferdewirt!K27+'Pferdewirt (2)'!K27+Gärtner!K172+'Gaba-Fachwerker'!K27+Revierjäger!K27+Forstwirt!K27+#REF!+'Milchtechnologe-technologin'!K27+Milchw.Laborant!K27+Hauswirtschaft!K27</f>
        <v>#REF!</v>
      </c>
      <c r="L26" s="1056" t="e">
        <f>'A. Ausbildungsverh. Landwirt'!L30+'Fachkraft Agrarservice'!L27+Winzer!L27+'LW-Fachwerker'!L27+Tierwirt!L150+Fischwirt!L27+Pferdewirt!L27+'Pferdewirt (2)'!L27+Gärtner!L172+'Gaba-Fachwerker'!L27+Revierjäger!L27+Forstwirt!L27+#REF!+'Milchtechnologe-technologin'!L27+Milchw.Laborant!L27+Hauswirtschaft!L27</f>
        <v>#REF!</v>
      </c>
      <c r="M26" s="1056" t="e">
        <f>'A. Ausbildungsverh. Landwirt'!M30+'Fachkraft Agrarservice'!M27+Winzer!M27+'LW-Fachwerker'!M27+Tierwirt!M150+Fischwirt!M27+Pferdewirt!M27+'Pferdewirt (2)'!M27+Gärtner!M172+'Gaba-Fachwerker'!M27+Revierjäger!M27+Forstwirt!M27+#REF!+'Milchtechnologe-technologin'!M27+Milchw.Laborant!M27+Hauswirtschaft!M27</f>
        <v>#REF!</v>
      </c>
      <c r="N26" s="1187" t="e">
        <f>'A. Ausbildungsverh. Landwirt'!N30+'Fachkraft Agrarservice'!N27+Winzer!N27+'LW-Fachwerker'!N27+Tierwirt!N150+Fischwirt!N27+Pferdewirt!N27+'Pferdewirt (2)'!N27+Gärtner!N172+'Gaba-Fachwerker'!N27+Revierjäger!N27+Forstwirt!N27+#REF!+'Milchtechnologe-technologin'!N27+Milchw.Laborant!N27+Hauswirtschaft!N27</f>
        <v>#REF!</v>
      </c>
      <c r="O26" s="1056" t="e">
        <f>'A. Ausbildungsverh. Landwirt'!O30+'Fachkraft Agrarservice'!O27+Winzer!O27+'LW-Fachwerker'!O27+Tierwirt!O150+Fischwirt!O27+Pferdewirt!O27+'Pferdewirt (2)'!O27+Gärtner!O172+'Gaba-Fachwerker'!O27+Revierjäger!O27+Forstwirt!O27+#REF!+'Milchtechnologe-technologin'!O27+Milchw.Laborant!O27+Hauswirtschaft!O27</f>
        <v>#REF!</v>
      </c>
      <c r="P26" s="1057" t="e">
        <f>'A. Ausbildungsverh. Landwirt'!P30+'Fachkraft Agrarservice'!P27+Winzer!P27+'LW-Fachwerker'!P27+Tierwirt!P150+Fischwirt!P27+Pferdewirt!P27+'Pferdewirt (2)'!P27+Gärtner!P172+'Gaba-Fachwerker'!P27+Revierjäger!P27+Forstwirt!P27+#REF!+'Milchtechnologe-technologin'!P27+Milchw.Laborant!P27+Hauswirtschaft!P27</f>
        <v>#REF!</v>
      </c>
    </row>
    <row r="27" spans="1:33" s="824" customFormat="1" ht="15" customHeight="1">
      <c r="A27" s="592" t="s">
        <v>59</v>
      </c>
      <c r="B27" s="767"/>
      <c r="C27" s="1187" t="e">
        <f>'A. Ausbildungsverh. Landwirt'!C31+'Fachkraft Agrarservice'!C28+Winzer!C28+'LW-Fachwerker'!C28+Tierwirt!C170+Fischwirt!C28+Pferdewirt!C28+'Pferdewirt (2)'!C28+Gärtner!C181+'Gaba-Fachwerker'!C28+Revierjäger!C28+Forstwirt!C28+#REF!+'Milchtechnologe-technologin'!C28+Milchw.Laborant!C28+Hauswirtschaft!C28</f>
        <v>#REF!</v>
      </c>
      <c r="D27" s="1056" t="e">
        <f>'A. Ausbildungsverh. Landwirt'!D31+'Fachkraft Agrarservice'!D28+Winzer!D28+'LW-Fachwerker'!D28+Tierwirt!D170+Fischwirt!D28+Pferdewirt!D28+'Pferdewirt (2)'!D28+Gärtner!D181+'Gaba-Fachwerker'!D28+Revierjäger!D28+Forstwirt!D28+#REF!+'Milchtechnologe-technologin'!D28+Milchw.Laborant!D28+Hauswirtschaft!D28</f>
        <v>#REF!</v>
      </c>
      <c r="E27" s="1056" t="e">
        <f>'A. Ausbildungsverh. Landwirt'!E31+'Fachkraft Agrarservice'!E28+Winzer!E28+'LW-Fachwerker'!E28+Tierwirt!E170+Fischwirt!E28+Pferdewirt!E28+'Pferdewirt (2)'!E28+Gärtner!E181+'Gaba-Fachwerker'!E28+Revierjäger!E28+Forstwirt!E28+#REF!+'Milchtechnologe-technologin'!E28+Milchw.Laborant!E28+Hauswirtschaft!E28</f>
        <v>#REF!</v>
      </c>
      <c r="F27" s="1056" t="e">
        <f>'A. Ausbildungsverh. Landwirt'!F31+'Fachkraft Agrarservice'!F28+Winzer!F28+'LW-Fachwerker'!F28+Tierwirt!F170+Fischwirt!F28+Pferdewirt!F28+'Pferdewirt (2)'!F28+Gärtner!F181+'Gaba-Fachwerker'!F28+Revierjäger!F28+Forstwirt!F28+#REF!+'Milchtechnologe-technologin'!F28+Milchw.Laborant!F28+Hauswirtschaft!F28</f>
        <v>#REF!</v>
      </c>
      <c r="G27" s="1056" t="e">
        <f>'A. Ausbildungsverh. Landwirt'!G31+'Fachkraft Agrarservice'!G28+Winzer!G28+'LW-Fachwerker'!G28+Tierwirt!G170+Fischwirt!G28+Pferdewirt!G28+'Pferdewirt (2)'!G28+Gärtner!G181+'Gaba-Fachwerker'!G28+Revierjäger!G28+Forstwirt!G28+#REF!+'Milchtechnologe-technologin'!G28+Milchw.Laborant!G28+Hauswirtschaft!G28</f>
        <v>#REF!</v>
      </c>
      <c r="H27" s="1056" t="e">
        <f>'A. Ausbildungsverh. Landwirt'!H31+'Fachkraft Agrarservice'!H28+Winzer!H28+'LW-Fachwerker'!H28+Tierwirt!H170+Fischwirt!H28+Pferdewirt!H28+'Pferdewirt (2)'!H28+Gärtner!H181+'Gaba-Fachwerker'!H28+Revierjäger!H28+Forstwirt!H28+#REF!+'Milchtechnologe-technologin'!H28+Milchw.Laborant!H28+Hauswirtschaft!H28</f>
        <v>#REF!</v>
      </c>
      <c r="I27" s="1056" t="e">
        <f>'A. Ausbildungsverh. Landwirt'!I31+'Fachkraft Agrarservice'!I28+Winzer!I28+'LW-Fachwerker'!I28+Tierwirt!I170+Fischwirt!I28+Pferdewirt!I28+'Pferdewirt (2)'!I28+Gärtner!I181+'Gaba-Fachwerker'!I28+Revierjäger!I28+Forstwirt!I28+#REF!+'Milchtechnologe-technologin'!I28+Milchw.Laborant!I28+Hauswirtschaft!I28</f>
        <v>#REF!</v>
      </c>
      <c r="J27" s="1056" t="e">
        <f>'A. Ausbildungsverh. Landwirt'!J31+'Fachkraft Agrarservice'!J28+Winzer!J28+'LW-Fachwerker'!J28+Tierwirt!J170+Fischwirt!J28+Pferdewirt!J28+'Pferdewirt (2)'!J28+Gärtner!J181+'Gaba-Fachwerker'!J28+Revierjäger!J28+Forstwirt!J28+#REF!+'Milchtechnologe-technologin'!J28+Milchw.Laborant!J28+Hauswirtschaft!J28</f>
        <v>#REF!</v>
      </c>
      <c r="K27" s="1186" t="e">
        <f>'A. Ausbildungsverh. Landwirt'!K31+'Fachkraft Agrarservice'!K28+Winzer!K28+'LW-Fachwerker'!K28+Tierwirt!K170+Fischwirt!K28+Pferdewirt!K28+'Pferdewirt (2)'!K28+Gärtner!K181+'Gaba-Fachwerker'!K28+Revierjäger!K28+Forstwirt!K28+#REF!+'Milchtechnologe-technologin'!K28+Milchw.Laborant!K28+Hauswirtschaft!K28</f>
        <v>#REF!</v>
      </c>
      <c r="L27" s="1056" t="e">
        <f>'A. Ausbildungsverh. Landwirt'!L31+'Fachkraft Agrarservice'!L28+Winzer!L28+'LW-Fachwerker'!L28+Tierwirt!L170+Fischwirt!L28+Pferdewirt!L28+'Pferdewirt (2)'!L28+Gärtner!L181+'Gaba-Fachwerker'!L28+Revierjäger!L28+Forstwirt!L28+#REF!+'Milchtechnologe-technologin'!L28+Milchw.Laborant!L28+Hauswirtschaft!L28</f>
        <v>#REF!</v>
      </c>
      <c r="M27" s="1056" t="e">
        <f>'A. Ausbildungsverh. Landwirt'!M31+'Fachkraft Agrarservice'!M28+Winzer!M28+'LW-Fachwerker'!M28+Tierwirt!M170+Fischwirt!M28+Pferdewirt!M28+'Pferdewirt (2)'!M28+Gärtner!M181+'Gaba-Fachwerker'!M28+Revierjäger!M28+Forstwirt!M28+#REF!+'Milchtechnologe-technologin'!M28+Milchw.Laborant!M28+Hauswirtschaft!M28</f>
        <v>#REF!</v>
      </c>
      <c r="N27" s="1186" t="e">
        <f>'A. Ausbildungsverh. Landwirt'!N31+'Fachkraft Agrarservice'!N28+Winzer!N28+'LW-Fachwerker'!N28+Tierwirt!N170+Fischwirt!N28+Pferdewirt!N28+'Pferdewirt (2)'!N28+Gärtner!N181+'Gaba-Fachwerker'!N28+Revierjäger!N28+Forstwirt!N28+#REF!+'Milchtechnologe-technologin'!N28+Milchw.Laborant!N28+Hauswirtschaft!N28</f>
        <v>#REF!</v>
      </c>
      <c r="O27" s="1056" t="e">
        <f>'A. Ausbildungsverh. Landwirt'!O31+'Fachkraft Agrarservice'!O28+Winzer!O28+'LW-Fachwerker'!O28+Tierwirt!O170+Fischwirt!O28+Pferdewirt!O28+'Pferdewirt (2)'!O28+Gärtner!O181+'Gaba-Fachwerker'!O28+Revierjäger!O28+Forstwirt!O28+#REF!+'Milchtechnologe-technologin'!O28+Milchw.Laborant!O28+Hauswirtschaft!O28</f>
        <v>#REF!</v>
      </c>
      <c r="P27" s="1057" t="e">
        <f>'A. Ausbildungsverh. Landwirt'!P31+'Fachkraft Agrarservice'!P28+Winzer!P28+'LW-Fachwerker'!P28+Tierwirt!P170+Fischwirt!P28+Pferdewirt!P28+'Pferdewirt (2)'!P28+Gärtner!P181+'Gaba-Fachwerker'!P28+Revierjäger!P28+Forstwirt!P28+#REF!+'Milchtechnologe-technologin'!P28+Milchw.Laborant!P28+Hauswirtschaft!P28</f>
        <v>#REF!</v>
      </c>
    </row>
    <row r="28" spans="1:33" s="776" customFormat="1" ht="4.5" customHeight="1">
      <c r="A28" s="825"/>
      <c r="B28" s="742"/>
      <c r="C28" s="1188"/>
      <c r="D28" s="1189"/>
      <c r="E28" s="1188"/>
      <c r="F28" s="1188"/>
      <c r="G28" s="1188"/>
      <c r="H28" s="1188"/>
      <c r="I28" s="1190"/>
      <c r="J28" s="826"/>
      <c r="K28" s="827"/>
      <c r="L28" s="828"/>
      <c r="M28" s="827"/>
      <c r="N28" s="1027"/>
      <c r="O28" s="828"/>
      <c r="P28" s="1191"/>
    </row>
    <row r="29" spans="1:33" s="831" customFormat="1" ht="20.149999999999999" customHeight="1" thickBot="1">
      <c r="A29" s="611" t="s">
        <v>60</v>
      </c>
      <c r="B29" s="829"/>
      <c r="C29" s="830" t="e">
        <f t="shared" ref="C29:P29" si="0">SUM(C12:C27)</f>
        <v>#REF!</v>
      </c>
      <c r="D29" s="830" t="e">
        <f t="shared" si="0"/>
        <v>#REF!</v>
      </c>
      <c r="E29" s="830" t="e">
        <f t="shared" si="0"/>
        <v>#REF!</v>
      </c>
      <c r="F29" s="830" t="e">
        <f t="shared" si="0"/>
        <v>#REF!</v>
      </c>
      <c r="G29" s="830" t="e">
        <f t="shared" si="0"/>
        <v>#REF!</v>
      </c>
      <c r="H29" s="830" t="e">
        <f t="shared" si="0"/>
        <v>#REF!</v>
      </c>
      <c r="I29" s="830" t="e">
        <f t="shared" si="0"/>
        <v>#REF!</v>
      </c>
      <c r="J29" s="830" t="e">
        <f t="shared" si="0"/>
        <v>#REF!</v>
      </c>
      <c r="K29" s="830" t="e">
        <f t="shared" si="0"/>
        <v>#REF!</v>
      </c>
      <c r="L29" s="830" t="e">
        <f t="shared" si="0"/>
        <v>#REF!</v>
      </c>
      <c r="M29" s="830" t="e">
        <f t="shared" si="0"/>
        <v>#REF!</v>
      </c>
      <c r="N29" s="830" t="e">
        <f t="shared" si="0"/>
        <v>#REF!</v>
      </c>
      <c r="O29" s="830" t="e">
        <f t="shared" si="0"/>
        <v>#REF!</v>
      </c>
      <c r="P29" s="1028" t="e">
        <f t="shared" si="0"/>
        <v>#REF!</v>
      </c>
    </row>
    <row r="30" spans="1:33" s="831" customFormat="1" ht="3.65" customHeight="1">
      <c r="A30" s="767"/>
      <c r="B30" s="767"/>
      <c r="C30" s="832"/>
      <c r="D30" s="833"/>
      <c r="E30" s="832"/>
      <c r="F30" s="833"/>
      <c r="G30" s="832"/>
      <c r="H30" s="832"/>
      <c r="I30" s="832"/>
      <c r="J30" s="834"/>
      <c r="K30" s="835"/>
      <c r="L30" s="835"/>
      <c r="M30" s="835"/>
      <c r="N30" s="836"/>
      <c r="O30" s="835"/>
      <c r="P30" s="835"/>
    </row>
    <row r="31" spans="1:33" s="831" customFormat="1" ht="12" customHeight="1">
      <c r="A31" s="388" t="s">
        <v>302</v>
      </c>
      <c r="B31" s="767"/>
      <c r="C31" s="832"/>
      <c r="D31" s="833"/>
      <c r="E31" s="832"/>
      <c r="F31" s="833"/>
      <c r="G31" s="832"/>
      <c r="H31" s="832"/>
      <c r="I31" s="832"/>
      <c r="J31" s="834"/>
      <c r="K31" s="835"/>
      <c r="L31" s="835"/>
      <c r="M31" s="835"/>
      <c r="N31" s="836"/>
      <c r="O31" s="835"/>
      <c r="P31" s="835"/>
    </row>
    <row r="32" spans="1:33" s="831" customFormat="1" ht="12" customHeight="1">
      <c r="A32" s="70" t="s">
        <v>343</v>
      </c>
      <c r="B32" s="388"/>
      <c r="C32" s="832"/>
      <c r="D32" s="833"/>
      <c r="E32" s="832"/>
      <c r="F32" s="833"/>
      <c r="G32" s="832"/>
      <c r="H32" s="832"/>
      <c r="I32" s="832"/>
      <c r="J32" s="834"/>
      <c r="K32" s="835"/>
      <c r="L32" s="835"/>
      <c r="M32" s="835"/>
      <c r="N32" s="836"/>
      <c r="O32" s="835"/>
      <c r="P32" s="835"/>
    </row>
    <row r="33" spans="1:16" s="824" customFormat="1" ht="12" customHeight="1">
      <c r="A33" s="608" t="s">
        <v>344</v>
      </c>
      <c r="B33" s="608"/>
      <c r="C33" s="837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</row>
    <row r="34" spans="1:16" s="831" customFormat="1">
      <c r="E34" s="838"/>
      <c r="G34" s="839"/>
      <c r="M34" s="838"/>
    </row>
    <row r="35" spans="1:16">
      <c r="C35" s="740"/>
    </row>
    <row r="36" spans="1:16">
      <c r="C36" s="841"/>
      <c r="D36" s="841"/>
      <c r="E36" s="841"/>
      <c r="F36" s="841"/>
      <c r="G36" s="841"/>
      <c r="H36" s="841"/>
      <c r="I36" s="841"/>
      <c r="J36" s="841"/>
      <c r="K36" s="841"/>
      <c r="L36" s="841"/>
      <c r="M36" s="841"/>
      <c r="N36" s="841"/>
      <c r="O36" s="841"/>
      <c r="P36" s="841"/>
    </row>
  </sheetData>
  <mergeCells count="7">
    <mergeCell ref="A2:D2"/>
    <mergeCell ref="A4:P4"/>
    <mergeCell ref="A6:B11"/>
    <mergeCell ref="C6:H6"/>
    <mergeCell ref="K6:P6"/>
    <mergeCell ref="N7:P7"/>
    <mergeCell ref="N8:P8"/>
  </mergeCells>
  <printOptions horizontalCentered="1"/>
  <pageMargins left="0.19685039370078741" right="0.19685039370078741" top="0.82677165354330717" bottom="0.70866141732283472" header="0.62992125984251968" footer="0.51181102362204722"/>
  <pageSetup paperSize="9" scale="95" orientation="landscape" r:id="rId1"/>
  <headerFooter alignWithMargins="0">
    <oddHeader>&amp;C&amp;"Arial,Standard"&amp;8- 35 -
&amp;"Times New Roman,Standard"&amp;11
&amp;R&amp;8&amp;D</oddHeader>
    <oddFooter>&amp;R&amp;14...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52">
    <tabColor theme="0" tint="-0.499984740745262"/>
  </sheetPr>
  <dimension ref="A2:AG36"/>
  <sheetViews>
    <sheetView zoomScaleNormal="100" zoomScaleSheetLayoutView="100" workbookViewId="0">
      <selection activeCell="A2" sqref="A2:D2"/>
    </sheetView>
  </sheetViews>
  <sheetFormatPr baseColWidth="10" defaultColWidth="11.3828125" defaultRowHeight="14.15"/>
  <cols>
    <col min="1" max="1" width="5.3046875" style="772" customWidth="1"/>
    <col min="2" max="2" width="1.15234375" style="772" customWidth="1"/>
    <col min="3" max="4" width="9.3828125" style="772" customWidth="1"/>
    <col min="5" max="5" width="9.3828125" style="840" customWidth="1"/>
    <col min="6" max="8" width="9.3828125" style="772" customWidth="1"/>
    <col min="9" max="10" width="11.3046875" style="772" customWidth="1"/>
    <col min="11" max="12" width="9.3828125" style="772" customWidth="1"/>
    <col min="13" max="13" width="9.3828125" style="840" customWidth="1"/>
    <col min="14" max="16" width="9.3828125" style="772" customWidth="1"/>
    <col min="17" max="16384" width="11.3828125" style="772"/>
  </cols>
  <sheetData>
    <row r="2" spans="1:23">
      <c r="A2" s="1708" t="s">
        <v>213</v>
      </c>
      <c r="B2" s="1708"/>
      <c r="C2" s="1708"/>
      <c r="D2" s="1708"/>
      <c r="E2" s="769"/>
      <c r="F2" s="769"/>
      <c r="G2" s="769"/>
      <c r="H2" s="769"/>
      <c r="I2" s="770"/>
      <c r="J2" s="771"/>
      <c r="K2" s="771"/>
      <c r="L2" s="771"/>
      <c r="M2" s="771"/>
      <c r="N2" s="648"/>
    </row>
    <row r="3" spans="1:23" ht="12" customHeight="1">
      <c r="A3" s="773"/>
      <c r="B3" s="773"/>
      <c r="C3" s="774"/>
      <c r="D3" s="774"/>
      <c r="E3" s="775"/>
      <c r="F3" s="774"/>
      <c r="G3" s="774"/>
      <c r="H3" s="774"/>
      <c r="I3" s="774"/>
      <c r="J3" s="776"/>
      <c r="K3" s="774"/>
      <c r="L3" s="774"/>
      <c r="M3" s="775"/>
      <c r="N3" s="774"/>
    </row>
    <row r="4" spans="1:23" ht="18" customHeight="1">
      <c r="A4" s="1729" t="s">
        <v>382</v>
      </c>
      <c r="B4" s="1729"/>
      <c r="C4" s="1730"/>
      <c r="D4" s="1730"/>
      <c r="E4" s="1730"/>
      <c r="F4" s="1730"/>
      <c r="G4" s="1730"/>
      <c r="H4" s="1730"/>
      <c r="I4" s="1730"/>
      <c r="J4" s="1730"/>
      <c r="K4" s="1730"/>
      <c r="L4" s="1730"/>
      <c r="M4" s="1730"/>
      <c r="N4" s="1730"/>
      <c r="O4" s="1731"/>
      <c r="P4" s="1731"/>
    </row>
    <row r="5" spans="1:23" ht="18" customHeight="1" thickBot="1">
      <c r="A5" s="777"/>
      <c r="B5" s="777"/>
      <c r="C5" s="778"/>
      <c r="D5" s="778"/>
      <c r="E5" s="779"/>
      <c r="F5" s="778"/>
      <c r="G5" s="778"/>
      <c r="H5" s="778"/>
      <c r="I5" s="777"/>
      <c r="J5" s="777"/>
      <c r="K5" s="776"/>
      <c r="L5" s="776"/>
      <c r="M5" s="780"/>
      <c r="N5" s="776"/>
    </row>
    <row r="6" spans="1:23" s="753" customFormat="1" ht="15.75" customHeight="1">
      <c r="A6" s="1590" t="s">
        <v>43</v>
      </c>
      <c r="B6" s="1732"/>
      <c r="C6" s="1585" t="s">
        <v>358</v>
      </c>
      <c r="D6" s="1585"/>
      <c r="E6" s="1585"/>
      <c r="F6" s="1585"/>
      <c r="G6" s="1585"/>
      <c r="H6" s="1586"/>
      <c r="I6" s="781" t="s">
        <v>0</v>
      </c>
      <c r="J6" s="782" t="s">
        <v>1</v>
      </c>
      <c r="K6" s="1587" t="s">
        <v>252</v>
      </c>
      <c r="L6" s="1588"/>
      <c r="M6" s="1588"/>
      <c r="N6" s="1588"/>
      <c r="O6" s="1588"/>
      <c r="P6" s="1589"/>
    </row>
    <row r="7" spans="1:23" s="753" customFormat="1" ht="13.5" customHeight="1">
      <c r="A7" s="1733"/>
      <c r="B7" s="1734"/>
      <c r="C7" s="783"/>
      <c r="D7" s="784"/>
      <c r="E7" s="784"/>
      <c r="F7" s="638" t="s">
        <v>251</v>
      </c>
      <c r="G7" s="785"/>
      <c r="H7" s="785"/>
      <c r="I7" s="781" t="s">
        <v>3</v>
      </c>
      <c r="J7" s="782" t="s">
        <v>4</v>
      </c>
      <c r="K7" s="786"/>
      <c r="L7" s="784"/>
      <c r="M7" s="784"/>
      <c r="N7" s="1737" t="s">
        <v>312</v>
      </c>
      <c r="O7" s="1738"/>
      <c r="P7" s="1739"/>
    </row>
    <row r="8" spans="1:23" s="753" customFormat="1" ht="13.5" customHeight="1">
      <c r="A8" s="1733"/>
      <c r="B8" s="1734"/>
      <c r="C8" s="788"/>
      <c r="D8" s="789"/>
      <c r="E8" s="789"/>
      <c r="F8" s="636" t="s">
        <v>300</v>
      </c>
      <c r="G8" s="635"/>
      <c r="H8" s="635"/>
      <c r="I8" s="781" t="s">
        <v>8</v>
      </c>
      <c r="J8" s="782" t="s">
        <v>8</v>
      </c>
      <c r="K8" s="790"/>
      <c r="L8" s="789"/>
      <c r="M8" s="789"/>
      <c r="N8" s="1740" t="s">
        <v>341</v>
      </c>
      <c r="O8" s="1741"/>
      <c r="P8" s="1742"/>
      <c r="Q8" s="791"/>
      <c r="R8" s="791"/>
      <c r="S8" s="791"/>
      <c r="T8" s="792"/>
      <c r="U8" s="791"/>
      <c r="V8" s="791"/>
      <c r="W8" s="793"/>
    </row>
    <row r="9" spans="1:23" s="753" customFormat="1" ht="13.5" customHeight="1">
      <c r="A9" s="1733"/>
      <c r="B9" s="1734"/>
      <c r="C9" s="794" t="s">
        <v>19</v>
      </c>
      <c r="D9" s="795" t="s">
        <v>17</v>
      </c>
      <c r="E9" s="796" t="s">
        <v>18</v>
      </c>
      <c r="F9" s="784"/>
      <c r="G9" s="787"/>
      <c r="H9" s="787"/>
      <c r="I9" s="781" t="s">
        <v>20</v>
      </c>
      <c r="J9" s="782" t="s">
        <v>20</v>
      </c>
      <c r="K9" s="797" t="s">
        <v>19</v>
      </c>
      <c r="L9" s="795" t="s">
        <v>17</v>
      </c>
      <c r="M9" s="796" t="s">
        <v>18</v>
      </c>
      <c r="N9" s="797" t="s">
        <v>19</v>
      </c>
      <c r="O9" s="798" t="s">
        <v>17</v>
      </c>
      <c r="P9" s="799" t="s">
        <v>18</v>
      </c>
    </row>
    <row r="10" spans="1:23" s="753" customFormat="1" ht="13.5" customHeight="1">
      <c r="A10" s="1733"/>
      <c r="B10" s="1734"/>
      <c r="C10" s="794" t="s">
        <v>29</v>
      </c>
      <c r="D10" s="795" t="s">
        <v>28</v>
      </c>
      <c r="E10" s="796" t="s">
        <v>28</v>
      </c>
      <c r="F10" s="795" t="s">
        <v>30</v>
      </c>
      <c r="G10" s="798" t="s">
        <v>31</v>
      </c>
      <c r="H10" s="798" t="s">
        <v>32</v>
      </c>
      <c r="I10" s="781" t="s">
        <v>33</v>
      </c>
      <c r="J10" s="782" t="s">
        <v>33</v>
      </c>
      <c r="K10" s="797" t="s">
        <v>29</v>
      </c>
      <c r="L10" s="795" t="s">
        <v>28</v>
      </c>
      <c r="M10" s="796" t="s">
        <v>34</v>
      </c>
      <c r="N10" s="797" t="s">
        <v>29</v>
      </c>
      <c r="O10" s="798" t="s">
        <v>28</v>
      </c>
      <c r="P10" s="799" t="s">
        <v>34</v>
      </c>
    </row>
    <row r="11" spans="1:23" s="753" customFormat="1" ht="13.5" customHeight="1">
      <c r="A11" s="1735"/>
      <c r="B11" s="1736"/>
      <c r="C11" s="800"/>
      <c r="D11" s="801"/>
      <c r="E11" s="802"/>
      <c r="F11" s="803"/>
      <c r="G11" s="804"/>
      <c r="H11" s="804"/>
      <c r="I11" s="805" t="s">
        <v>39</v>
      </c>
      <c r="J11" s="806" t="s">
        <v>39</v>
      </c>
      <c r="K11" s="807"/>
      <c r="L11" s="803"/>
      <c r="M11" s="808"/>
      <c r="N11" s="790"/>
      <c r="O11" s="804"/>
      <c r="P11" s="809"/>
    </row>
    <row r="12" spans="1:23" ht="15" customHeight="1">
      <c r="A12" s="592" t="s">
        <v>58</v>
      </c>
      <c r="B12" s="794"/>
      <c r="C12" s="1185" t="e">
        <f>'A. Ausbildungsverh. Landwirt'!C16+'Fachkraft Agrarservice'!C13+Winzer!C13+'LW-Fachwerker'!C13+Tierwirt!C14+Fischwirt!C13+Pferdewirt!C13+'Pferdewirt (2)'!C13+Gärtner!C14+'Gaba-Fachwerker'!C13+Revierjäger!C13+Forstwirt!C13+#REF!+'Milchtechnologe-technologin'!C13+Milchw.Laborant!C13+Hauswirtschaft!C13</f>
        <v>#REF!</v>
      </c>
      <c r="D12" s="1054" t="e">
        <f>'A. Ausbildungsverh. Landwirt'!D16+'Fachkraft Agrarservice'!D13+Winzer!D13+'LW-Fachwerker'!D13+Tierwirt!D14+Fischwirt!D13+Pferdewirt!D13+'Pferdewirt (2)'!D13+Gärtner!D14+'Gaba-Fachwerker'!D13+Revierjäger!D13+Forstwirt!D13+#REF!+'Milchtechnologe-technologin'!D13+Milchw.Laborant!D13+Hauswirtschaft!D13</f>
        <v>#REF!</v>
      </c>
      <c r="E12" s="1054" t="e">
        <f>'A. Ausbildungsverh. Landwirt'!E16+'Fachkraft Agrarservice'!E13+Winzer!E13+'LW-Fachwerker'!E13+Tierwirt!E14+Fischwirt!E13+Pferdewirt!E13+'Pferdewirt (2)'!E13+Gärtner!E14+'Gaba-Fachwerker'!E13+Revierjäger!E13+Forstwirt!E13+#REF!+'Milchtechnologe-technologin'!E13+Milchw.Laborant!E13+Hauswirtschaft!E13</f>
        <v>#REF!</v>
      </c>
      <c r="F12" s="1054" t="e">
        <f>'A. Ausbildungsverh. Landwirt'!F16+'Fachkraft Agrarservice'!F13+Winzer!F13+'LW-Fachwerker'!F13+Tierwirt!F14+Fischwirt!F13+Pferdewirt!F13+'Pferdewirt (2)'!F13+Gärtner!F14+'Gaba-Fachwerker'!F13+Revierjäger!F13+Forstwirt!F13+#REF!+'Milchtechnologe-technologin'!F13+Milchw.Laborant!F13+Hauswirtschaft!F13</f>
        <v>#REF!</v>
      </c>
      <c r="G12" s="1054" t="e">
        <f>'A. Ausbildungsverh. Landwirt'!G16+'Fachkraft Agrarservice'!G13+Winzer!G13+'LW-Fachwerker'!G13+Tierwirt!G14+Fischwirt!G13+Pferdewirt!G13+'Pferdewirt (2)'!G13+Gärtner!G14+'Gaba-Fachwerker'!G13+Revierjäger!G13+Forstwirt!G13+#REF!+'Milchtechnologe-technologin'!G13+Milchw.Laborant!G13+Hauswirtschaft!G13</f>
        <v>#REF!</v>
      </c>
      <c r="H12" s="1054" t="e">
        <f>'A. Ausbildungsverh. Landwirt'!H16+'Fachkraft Agrarservice'!H13+Winzer!H13+'LW-Fachwerker'!H13+Tierwirt!H14+Fischwirt!H13+Pferdewirt!H13+'Pferdewirt (2)'!H13+Gärtner!H14+'Gaba-Fachwerker'!H13+Revierjäger!H13+Forstwirt!H13+#REF!+'Milchtechnologe-technologin'!H13+Milchw.Laborant!H13+Hauswirtschaft!H13</f>
        <v>#REF!</v>
      </c>
      <c r="I12" s="1054" t="e">
        <f>'A. Ausbildungsverh. Landwirt'!I16+'Fachkraft Agrarservice'!I13+Winzer!I13+'LW-Fachwerker'!I13+Tierwirt!I14+Fischwirt!I13+Pferdewirt!I13+'Pferdewirt (2)'!I13+Gärtner!I14+'Gaba-Fachwerker'!I13+Revierjäger!I13+Forstwirt!I13+#REF!+'Milchtechnologe-technologin'!I13+Milchw.Laborant!I13+Hauswirtschaft!I13</f>
        <v>#REF!</v>
      </c>
      <c r="J12" s="1054" t="e">
        <f>'A. Ausbildungsverh. Landwirt'!J16+'Fachkraft Agrarservice'!J13+Winzer!J13+'LW-Fachwerker'!J13+Tierwirt!J14+Fischwirt!J13+Pferdewirt!J13+'Pferdewirt (2)'!J13+Gärtner!J14+'Gaba-Fachwerker'!J13+Revierjäger!J13+Forstwirt!J13+#REF!+'Milchtechnologe-technologin'!J13+Milchw.Laborant!J13+Hauswirtschaft!J13</f>
        <v>#REF!</v>
      </c>
      <c r="K12" s="1185" t="e">
        <f>'A. Ausbildungsverh. Landwirt'!K16+'Fachkraft Agrarservice'!K13+Winzer!K13+'LW-Fachwerker'!K13+Tierwirt!K14+Fischwirt!K13+Pferdewirt!K13+'Pferdewirt (2)'!K13+Gärtner!K14+'Gaba-Fachwerker'!K13+Revierjäger!K13+Forstwirt!K13+#REF!+'Milchtechnologe-technologin'!K13+Milchw.Laborant!K13+Hauswirtschaft!K13</f>
        <v>#REF!</v>
      </c>
      <c r="L12" s="1054" t="e">
        <f>'A. Ausbildungsverh. Landwirt'!L16+'Fachkraft Agrarservice'!L13+Winzer!L13+'LW-Fachwerker'!L13+Tierwirt!L14+Fischwirt!L13+Pferdewirt!L13+'Pferdewirt (2)'!L13+Gärtner!L14+'Gaba-Fachwerker'!L13+Revierjäger!L13+Forstwirt!L13+#REF!+'Milchtechnologe-technologin'!L13+Milchw.Laborant!L13+Hauswirtschaft!L13</f>
        <v>#REF!</v>
      </c>
      <c r="M12" s="1054" t="e">
        <f>'A. Ausbildungsverh. Landwirt'!M16+'Fachkraft Agrarservice'!M13+Winzer!M13+'LW-Fachwerker'!M13+Tierwirt!M14+Fischwirt!M13+Pferdewirt!M13+'Pferdewirt (2)'!M13+Gärtner!M14+'Gaba-Fachwerker'!M13+Revierjäger!M13+Forstwirt!M13+#REF!+'Milchtechnologe-technologin'!M13+Milchw.Laborant!M13+Hauswirtschaft!M13</f>
        <v>#REF!</v>
      </c>
      <c r="N12" s="1185" t="e">
        <f>'A. Ausbildungsverh. Landwirt'!N16+'Fachkraft Agrarservice'!N13+Winzer!N13+'LW-Fachwerker'!N13+Tierwirt!N14+Fischwirt!N13+Pferdewirt!N13+'Pferdewirt (2)'!N13+Gärtner!N14+'Gaba-Fachwerker'!N13+Revierjäger!N13+Forstwirt!N13+#REF!+'Milchtechnologe-technologin'!N13+Milchw.Laborant!N13+Hauswirtschaft!N13</f>
        <v>#REF!</v>
      </c>
      <c r="O12" s="1054" t="e">
        <f>'A. Ausbildungsverh. Landwirt'!O16+'Fachkraft Agrarservice'!O13+Winzer!O13+'LW-Fachwerker'!O13+Tierwirt!O14+Fischwirt!O13+Pferdewirt!O13+'Pferdewirt (2)'!O13+Gärtner!O14+'Gaba-Fachwerker'!O13+Revierjäger!O13+Forstwirt!O13+#REF!+'Milchtechnologe-technologin'!O13+Milchw.Laborant!O13+Hauswirtschaft!O13</f>
        <v>#REF!</v>
      </c>
      <c r="P12" s="1055" t="e">
        <f>'A. Ausbildungsverh. Landwirt'!P16+'Fachkraft Agrarservice'!P13+Winzer!P13+'LW-Fachwerker'!P13+Tierwirt!P14+Fischwirt!P13+Pferdewirt!P13+'Pferdewirt (2)'!P13+Gärtner!P14+'Gaba-Fachwerker'!P13+Revierjäger!P13+Forstwirt!P13+#REF!+'Milchtechnologe-technologin'!P13+Milchw.Laborant!P13+Hauswirtschaft!P13</f>
        <v>#REF!</v>
      </c>
    </row>
    <row r="13" spans="1:23" ht="15" customHeight="1">
      <c r="A13" s="592" t="s">
        <v>49</v>
      </c>
      <c r="B13" s="794"/>
      <c r="C13" s="1186" t="e">
        <f>'A. Ausbildungsverh. Landwirt'!C17+'Fachkraft Agrarservice'!C14+Winzer!C14+'LW-Fachwerker'!C14+Tierwirt!C22+Fischwirt!C14+Pferdewirt!C14+'Pferdewirt (2)'!C14+Gärtner!C23+'Gaba-Fachwerker'!C14+Revierjäger!C14+Forstwirt!C14+#REF!+'Milchtechnologe-technologin'!C14+Milchw.Laborant!C14+Hauswirtschaft!C14</f>
        <v>#REF!</v>
      </c>
      <c r="D13" s="1056" t="e">
        <f>'A. Ausbildungsverh. Landwirt'!D17+'Fachkraft Agrarservice'!D14+Winzer!D14+'LW-Fachwerker'!D14+Tierwirt!D22+Fischwirt!D14+Pferdewirt!D14+'Pferdewirt (2)'!D14+Gärtner!D23+'Gaba-Fachwerker'!D14+Revierjäger!D14+Forstwirt!D14+#REF!+'Milchtechnologe-technologin'!D14+Milchw.Laborant!D14+Hauswirtschaft!D14</f>
        <v>#REF!</v>
      </c>
      <c r="E13" s="1056" t="e">
        <f>'A. Ausbildungsverh. Landwirt'!E17+'Fachkraft Agrarservice'!E14+Winzer!E14+'LW-Fachwerker'!E14+Tierwirt!E22+Fischwirt!E14+Pferdewirt!E14+'Pferdewirt (2)'!E14+Gärtner!E23+'Gaba-Fachwerker'!E14+Revierjäger!E14+Forstwirt!E14+#REF!+'Milchtechnologe-technologin'!E14+Milchw.Laborant!E14+Hauswirtschaft!E14</f>
        <v>#REF!</v>
      </c>
      <c r="F13" s="1056" t="e">
        <f>'A. Ausbildungsverh. Landwirt'!F17+'Fachkraft Agrarservice'!F14+Winzer!F14+'LW-Fachwerker'!F14+Tierwirt!F22+Fischwirt!F14+Pferdewirt!F14+'Pferdewirt (2)'!F14+Gärtner!F23+'Gaba-Fachwerker'!F14+Revierjäger!F14+Forstwirt!F14+#REF!+'Milchtechnologe-technologin'!F14+Milchw.Laborant!F14+Hauswirtschaft!F14</f>
        <v>#REF!</v>
      </c>
      <c r="G13" s="1056" t="e">
        <f>'A. Ausbildungsverh. Landwirt'!G17+'Fachkraft Agrarservice'!G14+Winzer!G14+'LW-Fachwerker'!G14+Tierwirt!G22+Fischwirt!G14+Pferdewirt!G14+'Pferdewirt (2)'!G14+Gärtner!G23+'Gaba-Fachwerker'!G14+Revierjäger!G14+Forstwirt!G14+#REF!+'Milchtechnologe-technologin'!G14+Milchw.Laborant!G14+Hauswirtschaft!G14</f>
        <v>#REF!</v>
      </c>
      <c r="H13" s="1056" t="e">
        <f>'A. Ausbildungsverh. Landwirt'!H17+'Fachkraft Agrarservice'!H14+Winzer!H14+'LW-Fachwerker'!H14+Tierwirt!H22+Fischwirt!H14+Pferdewirt!H14+'Pferdewirt (2)'!H14+Gärtner!H23+'Gaba-Fachwerker'!H14+Revierjäger!H14+Forstwirt!H14+#REF!+'Milchtechnologe-technologin'!H14+Milchw.Laborant!H14+Hauswirtschaft!H14</f>
        <v>#REF!</v>
      </c>
      <c r="I13" s="1056" t="e">
        <f>'A. Ausbildungsverh. Landwirt'!I17+'Fachkraft Agrarservice'!I14+Winzer!I14+'LW-Fachwerker'!I14+Tierwirt!I22+Fischwirt!I14+Pferdewirt!I14+'Pferdewirt (2)'!I14+Gärtner!I23+'Gaba-Fachwerker'!I14+Revierjäger!I14+Forstwirt!I14+#REF!+'Milchtechnologe-technologin'!I14+Milchw.Laborant!I14+Hauswirtschaft!I14</f>
        <v>#REF!</v>
      </c>
      <c r="J13" s="1056" t="e">
        <f>'A. Ausbildungsverh. Landwirt'!J17+'Fachkraft Agrarservice'!J14+Winzer!J14+'LW-Fachwerker'!J14+Tierwirt!J22+Fischwirt!J14+Pferdewirt!J14+'Pferdewirt (2)'!J14+Gärtner!J23+'Gaba-Fachwerker'!J14+Revierjäger!J14+Forstwirt!J14+#REF!+'Milchtechnologe-technologin'!J14+Milchw.Laborant!J14+Hauswirtschaft!J14</f>
        <v>#REF!</v>
      </c>
      <c r="K13" s="1186" t="e">
        <f>'A. Ausbildungsverh. Landwirt'!K17+'Fachkraft Agrarservice'!K14+Winzer!K14+'LW-Fachwerker'!K14+Tierwirt!K22+Fischwirt!K14+Pferdewirt!K14+'Pferdewirt (2)'!K14+Gärtner!K23+'Gaba-Fachwerker'!K14+Revierjäger!K14+Forstwirt!K14+#REF!+'Milchtechnologe-technologin'!K14+Milchw.Laborant!K14+Hauswirtschaft!K14</f>
        <v>#REF!</v>
      </c>
      <c r="L13" s="1056" t="e">
        <f>'A. Ausbildungsverh. Landwirt'!L17+'Fachkraft Agrarservice'!L14+Winzer!L14+'LW-Fachwerker'!L14+Tierwirt!L22+Fischwirt!L14+Pferdewirt!L14+'Pferdewirt (2)'!L14+Gärtner!L23+'Gaba-Fachwerker'!L14+Revierjäger!L14+Forstwirt!L14+#REF!+'Milchtechnologe-technologin'!L14+Milchw.Laborant!L14+Hauswirtschaft!L14</f>
        <v>#REF!</v>
      </c>
      <c r="M13" s="1056" t="e">
        <f>'A. Ausbildungsverh. Landwirt'!M17+'Fachkraft Agrarservice'!M14+Winzer!M14+'LW-Fachwerker'!M14+Tierwirt!M22+Fischwirt!M14+Pferdewirt!M14+'Pferdewirt (2)'!M14+Gärtner!M23+'Gaba-Fachwerker'!M14+Revierjäger!M14+Forstwirt!M14+#REF!+'Milchtechnologe-technologin'!M14+Milchw.Laborant!M14+Hauswirtschaft!M14</f>
        <v>#REF!</v>
      </c>
      <c r="N13" s="1187" t="e">
        <f>'A. Ausbildungsverh. Landwirt'!N17+'Fachkraft Agrarservice'!N14+Winzer!N14+'LW-Fachwerker'!N14+Tierwirt!N22+Fischwirt!N14+Pferdewirt!N14+'Pferdewirt (2)'!N14+Gärtner!N23+'Gaba-Fachwerker'!N14+Revierjäger!N14+Forstwirt!N14+#REF!+'Milchtechnologe-technologin'!N14+Milchw.Laborant!N14+Hauswirtschaft!N14</f>
        <v>#REF!</v>
      </c>
      <c r="O13" s="1056" t="e">
        <f>'A. Ausbildungsverh. Landwirt'!O17+'Fachkraft Agrarservice'!O14+Winzer!O14+'LW-Fachwerker'!O14+Tierwirt!O22+Fischwirt!O14+Pferdewirt!O14+'Pferdewirt (2)'!O14+Gärtner!O23+'Gaba-Fachwerker'!O14+Revierjäger!O14+Forstwirt!O14+#REF!+'Milchtechnologe-technologin'!O14+Milchw.Laborant!O14+Hauswirtschaft!O14</f>
        <v>#REF!</v>
      </c>
      <c r="P13" s="1057" t="e">
        <f>'A. Ausbildungsverh. Landwirt'!P17+'Fachkraft Agrarservice'!P14+Winzer!P14+'LW-Fachwerker'!P14+Tierwirt!P22+Fischwirt!P14+Pferdewirt!P14+'Pferdewirt (2)'!P14+Gärtner!P23+'Gaba-Fachwerker'!P14+Revierjäger!P14+Forstwirt!P14+#REF!+'Milchtechnologe-technologin'!P14+Milchw.Laborant!P14+Hauswirtschaft!P14</f>
        <v>#REF!</v>
      </c>
    </row>
    <row r="14" spans="1:23" ht="15" customHeight="1">
      <c r="A14" s="592" t="s">
        <v>52</v>
      </c>
      <c r="B14" s="794"/>
      <c r="C14" s="1186" t="e">
        <f>'A. Ausbildungsverh. Landwirt'!C18+'Fachkraft Agrarservice'!C15+Winzer!C15+'LW-Fachwerker'!C15+Tierwirt!C30+Fischwirt!C15+Pferdewirt!C15+'Pferdewirt (2)'!C15+Gärtner!C32+'Gaba-Fachwerker'!C15+Revierjäger!C15+Forstwirt!C15+#REF!+'Milchtechnologe-technologin'!C15+Milchw.Laborant!C15+Hauswirtschaft!C15</f>
        <v>#REF!</v>
      </c>
      <c r="D14" s="1056" t="e">
        <f>'A. Ausbildungsverh. Landwirt'!D18+'Fachkraft Agrarservice'!D15+Winzer!D15+'LW-Fachwerker'!D15+Tierwirt!D30+Fischwirt!D15+Pferdewirt!D15+'Pferdewirt (2)'!D15+Gärtner!D32+'Gaba-Fachwerker'!D15+Revierjäger!D15+Forstwirt!D15+#REF!+'Milchtechnologe-technologin'!D15+Milchw.Laborant!D15+Hauswirtschaft!D15</f>
        <v>#REF!</v>
      </c>
      <c r="E14" s="1056" t="e">
        <f>'A. Ausbildungsverh. Landwirt'!E18+'Fachkraft Agrarservice'!E15+Winzer!E15+'LW-Fachwerker'!E15+Tierwirt!E30+Fischwirt!E15+Pferdewirt!E15+'Pferdewirt (2)'!E15+Gärtner!E32+'Gaba-Fachwerker'!E15+Revierjäger!E15+Forstwirt!E15+#REF!+'Milchtechnologe-technologin'!E15+Milchw.Laborant!E15+Hauswirtschaft!E15</f>
        <v>#REF!</v>
      </c>
      <c r="F14" s="1056" t="e">
        <f>'A. Ausbildungsverh. Landwirt'!F18+'Fachkraft Agrarservice'!F15+Winzer!F15+'LW-Fachwerker'!F15+Tierwirt!F30+Fischwirt!F15+Pferdewirt!F15+'Pferdewirt (2)'!F15+Gärtner!F32+'Gaba-Fachwerker'!F15+Revierjäger!F15+Forstwirt!F15+#REF!+'Milchtechnologe-technologin'!F15+Milchw.Laborant!F15+Hauswirtschaft!F15</f>
        <v>#REF!</v>
      </c>
      <c r="G14" s="1056" t="e">
        <f>'A. Ausbildungsverh. Landwirt'!G18+'Fachkraft Agrarservice'!G15+Winzer!G15+'LW-Fachwerker'!G15+Tierwirt!G30+Fischwirt!G15+Pferdewirt!G15+'Pferdewirt (2)'!G15+Gärtner!G32+'Gaba-Fachwerker'!G15+Revierjäger!G15+Forstwirt!G15+#REF!+'Milchtechnologe-technologin'!G15+Milchw.Laborant!G15+Hauswirtschaft!G15</f>
        <v>#REF!</v>
      </c>
      <c r="H14" s="1056" t="e">
        <f>'A. Ausbildungsverh. Landwirt'!H18+'Fachkraft Agrarservice'!H15+Winzer!H15+'LW-Fachwerker'!H15+Tierwirt!H30+Fischwirt!H15+Pferdewirt!H15+'Pferdewirt (2)'!H15+Gärtner!H32+'Gaba-Fachwerker'!H15+Revierjäger!H15+Forstwirt!H15+#REF!+'Milchtechnologe-technologin'!H15+Milchw.Laborant!H15+Hauswirtschaft!H15</f>
        <v>#REF!</v>
      </c>
      <c r="I14" s="1056" t="e">
        <f>'A. Ausbildungsverh. Landwirt'!I18+'Fachkraft Agrarservice'!I15+Winzer!I15+'LW-Fachwerker'!I15+Tierwirt!I30+Fischwirt!I15+Pferdewirt!I15+'Pferdewirt (2)'!I15+Gärtner!I32+'Gaba-Fachwerker'!I15+Revierjäger!I15+Forstwirt!I15+#REF!+'Milchtechnologe-technologin'!I15+Milchw.Laborant!I15+Hauswirtschaft!I15</f>
        <v>#REF!</v>
      </c>
      <c r="J14" s="1056" t="e">
        <f>'A. Ausbildungsverh. Landwirt'!J18+'Fachkraft Agrarservice'!J15+Winzer!J15+'LW-Fachwerker'!J15+Tierwirt!J30+Fischwirt!J15+Pferdewirt!J15+'Pferdewirt (2)'!J15+Gärtner!J32+'Gaba-Fachwerker'!J15+Revierjäger!J15+Forstwirt!J15+#REF!+'Milchtechnologe-technologin'!J15+Milchw.Laborant!J15+Hauswirtschaft!J15</f>
        <v>#REF!</v>
      </c>
      <c r="K14" s="1186" t="e">
        <f>'A. Ausbildungsverh. Landwirt'!K18+'Fachkraft Agrarservice'!K15+Winzer!K15+'LW-Fachwerker'!K15+Tierwirt!K30+Fischwirt!K15+Pferdewirt!K15+'Pferdewirt (2)'!K15+Gärtner!K32+'Gaba-Fachwerker'!K15+Revierjäger!K15+Forstwirt!K15+#REF!+'Milchtechnologe-technologin'!K15+Milchw.Laborant!K15+Hauswirtschaft!K15</f>
        <v>#REF!</v>
      </c>
      <c r="L14" s="1056" t="e">
        <f>'A. Ausbildungsverh. Landwirt'!L18+'Fachkraft Agrarservice'!L15+Winzer!L15+'LW-Fachwerker'!L15+Tierwirt!L30+Fischwirt!L15+Pferdewirt!L15+'Pferdewirt (2)'!L15+Gärtner!L32+'Gaba-Fachwerker'!L15+Revierjäger!L15+Forstwirt!L15+#REF!+'Milchtechnologe-technologin'!L15+Milchw.Laborant!L15+Hauswirtschaft!L15</f>
        <v>#REF!</v>
      </c>
      <c r="M14" s="1056" t="e">
        <f>'A. Ausbildungsverh. Landwirt'!M18+'Fachkraft Agrarservice'!M15+Winzer!M15+'LW-Fachwerker'!M15+Tierwirt!M30+Fischwirt!M15+Pferdewirt!M15+'Pferdewirt (2)'!M15+Gärtner!M32+'Gaba-Fachwerker'!M15+Revierjäger!M15+Forstwirt!M15+#REF!+'Milchtechnologe-technologin'!M15+Milchw.Laborant!M15+Hauswirtschaft!M15</f>
        <v>#REF!</v>
      </c>
      <c r="N14" s="1186" t="e">
        <f>'A. Ausbildungsverh. Landwirt'!N18+'Fachkraft Agrarservice'!N15+Winzer!N15+'LW-Fachwerker'!N15+Tierwirt!N30+Fischwirt!N15+Pferdewirt!N15+'Pferdewirt (2)'!N15+Gärtner!N32+'Gaba-Fachwerker'!N15+Revierjäger!N15+Forstwirt!N15+#REF!+'Milchtechnologe-technologin'!N15+Milchw.Laborant!N15+Hauswirtschaft!N15</f>
        <v>#REF!</v>
      </c>
      <c r="O14" s="1056" t="e">
        <f>'A. Ausbildungsverh. Landwirt'!O18+'Fachkraft Agrarservice'!O15+Winzer!O15+'LW-Fachwerker'!O15+Tierwirt!O30+Fischwirt!O15+Pferdewirt!O15+'Pferdewirt (2)'!O15+Gärtner!O32+'Gaba-Fachwerker'!O15+Revierjäger!O15+Forstwirt!O15+#REF!+'Milchtechnologe-technologin'!O15+Milchw.Laborant!O15+Hauswirtschaft!O15</f>
        <v>#REF!</v>
      </c>
      <c r="P14" s="1057" t="e">
        <f>'A. Ausbildungsverh. Landwirt'!P18+'Fachkraft Agrarservice'!P15+Winzer!P15+'LW-Fachwerker'!P15+Tierwirt!P30+Fischwirt!P15+Pferdewirt!P15+'Pferdewirt (2)'!P15+Gärtner!P32+'Gaba-Fachwerker'!P15+Revierjäger!P15+Forstwirt!P15+#REF!+'Milchtechnologe-technologin'!P15+Milchw.Laborant!P15+Hauswirtschaft!P15</f>
        <v>#REF!</v>
      </c>
    </row>
    <row r="15" spans="1:23" ht="15" customHeight="1">
      <c r="A15" s="592" t="s">
        <v>48</v>
      </c>
      <c r="B15" s="810"/>
      <c r="C15" s="1186" t="e">
        <f>'A. Ausbildungsverh. Landwirt'!C19+'Fachkraft Agrarservice'!C16+Winzer!C16+'LW-Fachwerker'!C16+Tierwirt!C38+Fischwirt!C16+Pferdewirt!C16+'Pferdewirt (2)'!C16+Gärtner!C41+'Gaba-Fachwerker'!C16+Revierjäger!C16+Forstwirt!C16+#REF!+'Milchtechnologe-technologin'!C16+Milchw.Laborant!C16+Hauswirtschaft!C16</f>
        <v>#REF!</v>
      </c>
      <c r="D15" s="1056" t="e">
        <f>'A. Ausbildungsverh. Landwirt'!D19+'Fachkraft Agrarservice'!D16+Winzer!D16+'LW-Fachwerker'!D16+Tierwirt!D38+Fischwirt!D16+Pferdewirt!D16+'Pferdewirt (2)'!D16+Gärtner!D41+'Gaba-Fachwerker'!D16+Revierjäger!D16+Forstwirt!D16+#REF!+'Milchtechnologe-technologin'!D16+Milchw.Laborant!D16+Hauswirtschaft!D16</f>
        <v>#REF!</v>
      </c>
      <c r="E15" s="1056" t="e">
        <f>'A. Ausbildungsverh. Landwirt'!E19+'Fachkraft Agrarservice'!E16+Winzer!E16+'LW-Fachwerker'!E16+Tierwirt!E38+Fischwirt!E16+Pferdewirt!E16+'Pferdewirt (2)'!E16+Gärtner!E41+'Gaba-Fachwerker'!E16+Revierjäger!E16+Forstwirt!E16+#REF!+'Milchtechnologe-technologin'!E16+Milchw.Laborant!E16+Hauswirtschaft!E16</f>
        <v>#REF!</v>
      </c>
      <c r="F15" s="1056" t="e">
        <f>'A. Ausbildungsverh. Landwirt'!F19+'Fachkraft Agrarservice'!F16+Winzer!F16+'LW-Fachwerker'!F16+Tierwirt!F38+Fischwirt!F16+Pferdewirt!F16+'Pferdewirt (2)'!F16+Gärtner!F41+'Gaba-Fachwerker'!F16+Revierjäger!F16+Forstwirt!F16+#REF!+'Milchtechnologe-technologin'!F16+Milchw.Laborant!F16+Hauswirtschaft!F16</f>
        <v>#REF!</v>
      </c>
      <c r="G15" s="1056" t="e">
        <f>'A. Ausbildungsverh. Landwirt'!G19+'Fachkraft Agrarservice'!G16+Winzer!G16+'LW-Fachwerker'!G16+Tierwirt!G38+Fischwirt!G16+Pferdewirt!G16+'Pferdewirt (2)'!G16+Gärtner!G41+'Gaba-Fachwerker'!G16+Revierjäger!G16+Forstwirt!G16+#REF!+'Milchtechnologe-technologin'!G16+Milchw.Laborant!G16+Hauswirtschaft!G16</f>
        <v>#REF!</v>
      </c>
      <c r="H15" s="1056" t="e">
        <f>'A. Ausbildungsverh. Landwirt'!H19+'Fachkraft Agrarservice'!H16+Winzer!H16+'LW-Fachwerker'!H16+Tierwirt!H38+Fischwirt!H16+Pferdewirt!H16+'Pferdewirt (2)'!H16+Gärtner!H41+'Gaba-Fachwerker'!H16+Revierjäger!H16+Forstwirt!H16+#REF!+'Milchtechnologe-technologin'!H16+Milchw.Laborant!H16+Hauswirtschaft!H16</f>
        <v>#REF!</v>
      </c>
      <c r="I15" s="1056" t="e">
        <f>'A. Ausbildungsverh. Landwirt'!I19+'Fachkraft Agrarservice'!I16+Winzer!I16+'LW-Fachwerker'!I16+Tierwirt!I38+Fischwirt!I16+Pferdewirt!I16+'Pferdewirt (2)'!I16+Gärtner!I41+'Gaba-Fachwerker'!I16+Revierjäger!I16+Forstwirt!I16+#REF!+'Milchtechnologe-technologin'!I16+Milchw.Laborant!I16+Hauswirtschaft!I16</f>
        <v>#REF!</v>
      </c>
      <c r="J15" s="1056" t="e">
        <f>'A. Ausbildungsverh. Landwirt'!J19+'Fachkraft Agrarservice'!J16+Winzer!J16+'LW-Fachwerker'!J16+Tierwirt!J38+Fischwirt!J16+Pferdewirt!J16+'Pferdewirt (2)'!J16+Gärtner!J41+'Gaba-Fachwerker'!J16+Revierjäger!J16+Forstwirt!J16+#REF!+'Milchtechnologe-technologin'!J16+Milchw.Laborant!J16+Hauswirtschaft!J16</f>
        <v>#REF!</v>
      </c>
      <c r="K15" s="1186" t="e">
        <f>'A. Ausbildungsverh. Landwirt'!K19+'Fachkraft Agrarservice'!K16+Winzer!K16+'LW-Fachwerker'!K16+Tierwirt!K38+Fischwirt!K16+Pferdewirt!K16+'Pferdewirt (2)'!K16+Gärtner!K41+'Gaba-Fachwerker'!K16+Revierjäger!K16+Forstwirt!K16+#REF!+'Milchtechnologe-technologin'!K16+Milchw.Laborant!K16+Hauswirtschaft!K16</f>
        <v>#REF!</v>
      </c>
      <c r="L15" s="1056" t="e">
        <f>'A. Ausbildungsverh. Landwirt'!L19+'Fachkraft Agrarservice'!L16+Winzer!L16+'LW-Fachwerker'!L16+Tierwirt!L38+Fischwirt!L16+Pferdewirt!L16+'Pferdewirt (2)'!L16+Gärtner!L41+'Gaba-Fachwerker'!L16+Revierjäger!L16+Forstwirt!L16+#REF!+'Milchtechnologe-technologin'!L16+Milchw.Laborant!L16+Hauswirtschaft!L16</f>
        <v>#REF!</v>
      </c>
      <c r="M15" s="1056" t="e">
        <f>'A. Ausbildungsverh. Landwirt'!M19+'Fachkraft Agrarservice'!M16+Winzer!M16+'LW-Fachwerker'!M16+Tierwirt!M38+Fischwirt!M16+Pferdewirt!M16+'Pferdewirt (2)'!M16+Gärtner!M41+'Gaba-Fachwerker'!M16+Revierjäger!M16+Forstwirt!M16+#REF!+'Milchtechnologe-technologin'!M16+Milchw.Laborant!M16+Hauswirtschaft!M16</f>
        <v>#REF!</v>
      </c>
      <c r="N15" s="1187" t="e">
        <f>'A. Ausbildungsverh. Landwirt'!N19+'Fachkraft Agrarservice'!N16+Winzer!N16+'LW-Fachwerker'!N16+Tierwirt!N38+Fischwirt!N16+Pferdewirt!N16+'Pferdewirt (2)'!N16+Gärtner!N41+'Gaba-Fachwerker'!N16+Revierjäger!N16+Forstwirt!N16+#REF!+'Milchtechnologe-technologin'!N16+Milchw.Laborant!N16+Hauswirtschaft!N16</f>
        <v>#REF!</v>
      </c>
      <c r="O15" s="1056" t="e">
        <f>'A. Ausbildungsverh. Landwirt'!O19+'Fachkraft Agrarservice'!O16+Winzer!O16+'LW-Fachwerker'!O16+Tierwirt!O38+Fischwirt!O16+Pferdewirt!O16+'Pferdewirt (2)'!O16+Gärtner!O41+'Gaba-Fachwerker'!O16+Revierjäger!O16+Forstwirt!O16+#REF!+'Milchtechnologe-technologin'!O16+Milchw.Laborant!O16+Hauswirtschaft!O16</f>
        <v>#REF!</v>
      </c>
      <c r="P15" s="1057" t="e">
        <f>'A. Ausbildungsverh. Landwirt'!P19+'Fachkraft Agrarservice'!P16+Winzer!P16+'LW-Fachwerker'!P16+Tierwirt!P38+Fischwirt!P16+Pferdewirt!P16+'Pferdewirt (2)'!P16+Gärtner!P41+'Gaba-Fachwerker'!P16+Revierjäger!P16+Forstwirt!P16+#REF!+'Milchtechnologe-technologin'!P16+Milchw.Laborant!P16+Hauswirtschaft!P16</f>
        <v>#REF!</v>
      </c>
    </row>
    <row r="16" spans="1:23" ht="15" customHeight="1">
      <c r="A16" s="592" t="s">
        <v>53</v>
      </c>
      <c r="B16" s="810"/>
      <c r="C16" s="1186" t="e">
        <f>'A. Ausbildungsverh. Landwirt'!C20+'Fachkraft Agrarservice'!C17+Winzer!C17+'LW-Fachwerker'!C17+Tierwirt!C46+Fischwirt!C17+Pferdewirt!C17+'Pferdewirt (2)'!C17+Gärtner!C61+'Gaba-Fachwerker'!C17+Revierjäger!C17+Forstwirt!C17+#REF!+'Milchtechnologe-technologin'!C17+Milchw.Laborant!C17+Hauswirtschaft!C17</f>
        <v>#REF!</v>
      </c>
      <c r="D16" s="1056" t="e">
        <f>'A. Ausbildungsverh. Landwirt'!D20+'Fachkraft Agrarservice'!D17+Winzer!D17+'LW-Fachwerker'!D17+Tierwirt!D46+Fischwirt!D17+Pferdewirt!D17+'Pferdewirt (2)'!D17+Gärtner!D61+'Gaba-Fachwerker'!D17+Revierjäger!D17+Forstwirt!D17+#REF!+'Milchtechnologe-technologin'!D17+Milchw.Laborant!D17+Hauswirtschaft!D17</f>
        <v>#REF!</v>
      </c>
      <c r="E16" s="1056" t="e">
        <f>'A. Ausbildungsverh. Landwirt'!E20+'Fachkraft Agrarservice'!E17+Winzer!E17+'LW-Fachwerker'!E17+Tierwirt!E46+Fischwirt!E17+Pferdewirt!E17+'Pferdewirt (2)'!E17+Gärtner!E61+'Gaba-Fachwerker'!E17+Revierjäger!E17+Forstwirt!E17+#REF!+'Milchtechnologe-technologin'!E17+Milchw.Laborant!E17+Hauswirtschaft!E17</f>
        <v>#REF!</v>
      </c>
      <c r="F16" s="1056" t="e">
        <f>'A. Ausbildungsverh. Landwirt'!F20+'Fachkraft Agrarservice'!F17+Winzer!F17+'LW-Fachwerker'!F17+Tierwirt!F46+Fischwirt!F17+Pferdewirt!F17+'Pferdewirt (2)'!F17+Gärtner!F61+'Gaba-Fachwerker'!F17+Revierjäger!F17+Forstwirt!F17+#REF!+'Milchtechnologe-technologin'!F17+Milchw.Laborant!F17+Hauswirtschaft!F17</f>
        <v>#REF!</v>
      </c>
      <c r="G16" s="1056" t="e">
        <f>'A. Ausbildungsverh. Landwirt'!G20+'Fachkraft Agrarservice'!G17+Winzer!G17+'LW-Fachwerker'!G17+Tierwirt!G46+Fischwirt!G17+Pferdewirt!G17+'Pferdewirt (2)'!G17+Gärtner!G61+'Gaba-Fachwerker'!G17+Revierjäger!G17+Forstwirt!G17+#REF!+'Milchtechnologe-technologin'!G17+Milchw.Laborant!G17+Hauswirtschaft!G17</f>
        <v>#REF!</v>
      </c>
      <c r="H16" s="1056" t="e">
        <f>'A. Ausbildungsverh. Landwirt'!H20+'Fachkraft Agrarservice'!H17+Winzer!H17+'LW-Fachwerker'!H17+Tierwirt!H46+Fischwirt!H17+Pferdewirt!H17+'Pferdewirt (2)'!H17+Gärtner!H61+'Gaba-Fachwerker'!H17+Revierjäger!H17+Forstwirt!H17+#REF!+'Milchtechnologe-technologin'!H17+Milchw.Laborant!H17+Hauswirtschaft!H17</f>
        <v>#REF!</v>
      </c>
      <c r="I16" s="1056" t="e">
        <f>'A. Ausbildungsverh. Landwirt'!I20+'Fachkraft Agrarservice'!I17+Winzer!I17+'LW-Fachwerker'!I17+Tierwirt!I46+Fischwirt!I17+Pferdewirt!I17+'Pferdewirt (2)'!I17+Gärtner!I61+'Gaba-Fachwerker'!I17+Revierjäger!I17+Forstwirt!I17+#REF!+'Milchtechnologe-technologin'!I17+Milchw.Laborant!I17+Hauswirtschaft!I17</f>
        <v>#REF!</v>
      </c>
      <c r="J16" s="1056" t="e">
        <f>'A. Ausbildungsverh. Landwirt'!J20+'Fachkraft Agrarservice'!J17+Winzer!J17+'LW-Fachwerker'!J17+Tierwirt!J46+Fischwirt!J17+Pferdewirt!J17+'Pferdewirt (2)'!J17+Gärtner!J61+'Gaba-Fachwerker'!J17+Revierjäger!J17+Forstwirt!J17+#REF!+'Milchtechnologe-technologin'!J17+Milchw.Laborant!J17+Hauswirtschaft!J17</f>
        <v>#REF!</v>
      </c>
      <c r="K16" s="1186" t="e">
        <f>'A. Ausbildungsverh. Landwirt'!K20+'Fachkraft Agrarservice'!K17+Winzer!K17+'LW-Fachwerker'!K17+Tierwirt!K46+Fischwirt!K17+Pferdewirt!K17+'Pferdewirt (2)'!K17+Gärtner!K61+'Gaba-Fachwerker'!K17+Revierjäger!K17+Forstwirt!K17+#REF!+'Milchtechnologe-technologin'!K17+Milchw.Laborant!K17+Hauswirtschaft!K17</f>
        <v>#REF!</v>
      </c>
      <c r="L16" s="1056" t="e">
        <f>'A. Ausbildungsverh. Landwirt'!L20+'Fachkraft Agrarservice'!L17+Winzer!L17+'LW-Fachwerker'!L17+Tierwirt!L46+Fischwirt!L17+Pferdewirt!L17+'Pferdewirt (2)'!L17+Gärtner!L61+'Gaba-Fachwerker'!L17+Revierjäger!L17+Forstwirt!L17+#REF!+'Milchtechnologe-technologin'!L17+Milchw.Laborant!L17+Hauswirtschaft!L17</f>
        <v>#REF!</v>
      </c>
      <c r="M16" s="1056" t="e">
        <f>'A. Ausbildungsverh. Landwirt'!M20+'Fachkraft Agrarservice'!M17+Winzer!M17+'LW-Fachwerker'!M17+Tierwirt!M46+Fischwirt!M17+Pferdewirt!M17+'Pferdewirt (2)'!M17+Gärtner!M61+'Gaba-Fachwerker'!M17+Revierjäger!M17+Forstwirt!M17+#REF!+'Milchtechnologe-technologin'!M17+Milchw.Laborant!M17+Hauswirtschaft!M17</f>
        <v>#REF!</v>
      </c>
      <c r="N16" s="1187" t="e">
        <f>'A. Ausbildungsverh. Landwirt'!N20+'Fachkraft Agrarservice'!N17+Winzer!N17+'LW-Fachwerker'!N17+Tierwirt!N46+Fischwirt!N17+Pferdewirt!N17+'Pferdewirt (2)'!N17+Gärtner!N61+'Gaba-Fachwerker'!N17+Revierjäger!N17+Forstwirt!N17+#REF!+'Milchtechnologe-technologin'!N17+Milchw.Laborant!N17+Hauswirtschaft!N17</f>
        <v>#REF!</v>
      </c>
      <c r="O16" s="1056" t="e">
        <f>'A. Ausbildungsverh. Landwirt'!O20+'Fachkraft Agrarservice'!O17+Winzer!O17+'LW-Fachwerker'!O17+Tierwirt!O46+Fischwirt!O17+Pferdewirt!O17+'Pferdewirt (2)'!O17+Gärtner!O61+'Gaba-Fachwerker'!O17+Revierjäger!O17+Forstwirt!O17+#REF!+'Milchtechnologe-technologin'!O17+Milchw.Laborant!O17+Hauswirtschaft!O17</f>
        <v>#REF!</v>
      </c>
      <c r="P16" s="1057" t="e">
        <f>'A. Ausbildungsverh. Landwirt'!P20+'Fachkraft Agrarservice'!P17+Winzer!P17+'LW-Fachwerker'!P17+Tierwirt!P46+Fischwirt!P17+Pferdewirt!P17+'Pferdewirt (2)'!P17+Gärtner!P61+'Gaba-Fachwerker'!P17+Revierjäger!P17+Forstwirt!P17+#REF!+'Milchtechnologe-technologin'!P17+Milchw.Laborant!P17+Hauswirtschaft!P17</f>
        <v>#REF!</v>
      </c>
    </row>
    <row r="17" spans="1:33" ht="15" customHeight="1">
      <c r="A17" s="592" t="s">
        <v>50</v>
      </c>
      <c r="B17" s="794"/>
      <c r="C17" s="1186" t="e">
        <f>'A. Ausbildungsverh. Landwirt'!C21+'Fachkraft Agrarservice'!C18+Winzer!C18+'LW-Fachwerker'!C18+Tierwirt!C66+Fischwirt!C18+Pferdewirt!C18+'Pferdewirt (2)'!C18+Gärtner!C70+'Gaba-Fachwerker'!C18+Revierjäger!C18+Forstwirt!C18+#REF!+'Milchtechnologe-technologin'!C18+Milchw.Laborant!C18+Hauswirtschaft!C18</f>
        <v>#REF!</v>
      </c>
      <c r="D17" s="1056" t="e">
        <f>'A. Ausbildungsverh. Landwirt'!D21+'Fachkraft Agrarservice'!D18+Winzer!D18+'LW-Fachwerker'!D18+Tierwirt!D66+Fischwirt!D18+Pferdewirt!D18+'Pferdewirt (2)'!D18+Gärtner!D70+'Gaba-Fachwerker'!D18+Revierjäger!D18+Forstwirt!D18+#REF!+'Milchtechnologe-technologin'!D18+Milchw.Laborant!D18+Hauswirtschaft!D18</f>
        <v>#REF!</v>
      </c>
      <c r="E17" s="1056" t="e">
        <f>'A. Ausbildungsverh. Landwirt'!E21+'Fachkraft Agrarservice'!E18+Winzer!E18+'LW-Fachwerker'!E18+Tierwirt!E66+Fischwirt!E18+Pferdewirt!E18+'Pferdewirt (2)'!E18+Gärtner!E70+'Gaba-Fachwerker'!E18+Revierjäger!E18+Forstwirt!E18+#REF!+'Milchtechnologe-technologin'!E18+Milchw.Laborant!E18+Hauswirtschaft!E18</f>
        <v>#REF!</v>
      </c>
      <c r="F17" s="1056" t="e">
        <f>'A. Ausbildungsverh. Landwirt'!F21+'Fachkraft Agrarservice'!F18+Winzer!F18+'LW-Fachwerker'!F18+Tierwirt!F66+Fischwirt!F18+Pferdewirt!F18+'Pferdewirt (2)'!F18+Gärtner!F70+'Gaba-Fachwerker'!F18+Revierjäger!F18+Forstwirt!F18+#REF!+'Milchtechnologe-technologin'!F18+Milchw.Laborant!F18+Hauswirtschaft!F18</f>
        <v>#REF!</v>
      </c>
      <c r="G17" s="1056" t="e">
        <f>'A. Ausbildungsverh. Landwirt'!G21+'Fachkraft Agrarservice'!G18+Winzer!G18+'LW-Fachwerker'!G18+Tierwirt!G66+Fischwirt!G18+Pferdewirt!G18+'Pferdewirt (2)'!G18+Gärtner!G70+'Gaba-Fachwerker'!G18+Revierjäger!G18+Forstwirt!G18+#REF!+'Milchtechnologe-technologin'!G18+Milchw.Laborant!G18+Hauswirtschaft!G18</f>
        <v>#REF!</v>
      </c>
      <c r="H17" s="1056" t="e">
        <f>'A. Ausbildungsverh. Landwirt'!H21+'Fachkraft Agrarservice'!H18+Winzer!H18+'LW-Fachwerker'!H18+Tierwirt!H66+Fischwirt!H18+Pferdewirt!H18+'Pferdewirt (2)'!H18+Gärtner!H70+'Gaba-Fachwerker'!H18+Revierjäger!H18+Forstwirt!H18+#REF!+'Milchtechnologe-technologin'!H18+Milchw.Laborant!H18+Hauswirtschaft!H18</f>
        <v>#REF!</v>
      </c>
      <c r="I17" s="1056" t="e">
        <f>'A. Ausbildungsverh. Landwirt'!I21+'Fachkraft Agrarservice'!I18+Winzer!I18+'LW-Fachwerker'!I18+Tierwirt!I66+Fischwirt!I18+Pferdewirt!I18+'Pferdewirt (2)'!I18+Gärtner!I70+'Gaba-Fachwerker'!I18+Revierjäger!I18+Forstwirt!I18+#REF!+'Milchtechnologe-technologin'!I18+Milchw.Laborant!I18+Hauswirtschaft!I18</f>
        <v>#REF!</v>
      </c>
      <c r="J17" s="1056" t="e">
        <f>'A. Ausbildungsverh. Landwirt'!J21+'Fachkraft Agrarservice'!J18+Winzer!J18+'LW-Fachwerker'!J18+Tierwirt!J66+Fischwirt!J18+Pferdewirt!J18+'Pferdewirt (2)'!J18+Gärtner!J70+'Gaba-Fachwerker'!J18+Revierjäger!J18+Forstwirt!J18+#REF!+'Milchtechnologe-technologin'!J18+Milchw.Laborant!J18+Hauswirtschaft!J18</f>
        <v>#REF!</v>
      </c>
      <c r="K17" s="1186" t="e">
        <f>'A. Ausbildungsverh. Landwirt'!K21+'Fachkraft Agrarservice'!K18+Winzer!K18+'LW-Fachwerker'!K18+Tierwirt!K66+Fischwirt!K18+Pferdewirt!K18+'Pferdewirt (2)'!K18+Gärtner!K70+'Gaba-Fachwerker'!K18+Revierjäger!K18+Forstwirt!K18+#REF!+'Milchtechnologe-technologin'!K18+Milchw.Laborant!K18+Hauswirtschaft!K18</f>
        <v>#REF!</v>
      </c>
      <c r="L17" s="1056" t="e">
        <f>'A. Ausbildungsverh. Landwirt'!L21+'Fachkraft Agrarservice'!L18+Winzer!L18+'LW-Fachwerker'!L18+Tierwirt!L66+Fischwirt!L18+Pferdewirt!L18+'Pferdewirt (2)'!L18+Gärtner!L70+'Gaba-Fachwerker'!L18+Revierjäger!L18+Forstwirt!L18+#REF!+'Milchtechnologe-technologin'!L18+Milchw.Laborant!L18+Hauswirtschaft!L18</f>
        <v>#REF!</v>
      </c>
      <c r="M17" s="1056" t="e">
        <f>'A. Ausbildungsverh. Landwirt'!M21+'Fachkraft Agrarservice'!M18+Winzer!M18+'LW-Fachwerker'!M18+Tierwirt!M66+Fischwirt!M18+Pferdewirt!M18+'Pferdewirt (2)'!M18+Gärtner!M70+'Gaba-Fachwerker'!M18+Revierjäger!M18+Forstwirt!M18+#REF!+'Milchtechnologe-technologin'!M18+Milchw.Laborant!M18+Hauswirtschaft!M18</f>
        <v>#REF!</v>
      </c>
      <c r="N17" s="1187" t="e">
        <f>'A. Ausbildungsverh. Landwirt'!N21+'Fachkraft Agrarservice'!N18+Winzer!N18+'LW-Fachwerker'!N18+Tierwirt!N66+Fischwirt!N18+Pferdewirt!N18+'Pferdewirt (2)'!N18+Gärtner!N70+'Gaba-Fachwerker'!N18+Revierjäger!N18+Forstwirt!N18+#REF!+'Milchtechnologe-technologin'!N18+Milchw.Laborant!N18+Hauswirtschaft!N18</f>
        <v>#REF!</v>
      </c>
      <c r="O17" s="1056" t="e">
        <f>'A. Ausbildungsverh. Landwirt'!O21+'Fachkraft Agrarservice'!O18+Winzer!O18+'LW-Fachwerker'!O18+Tierwirt!O66+Fischwirt!O18+Pferdewirt!O18+'Pferdewirt (2)'!O18+Gärtner!O70+'Gaba-Fachwerker'!O18+Revierjäger!O18+Forstwirt!O18+#REF!+'Milchtechnologe-technologin'!O18+Milchw.Laborant!O18+Hauswirtschaft!O18</f>
        <v>#REF!</v>
      </c>
      <c r="P17" s="1057" t="e">
        <f>'A. Ausbildungsverh. Landwirt'!P21+'Fachkraft Agrarservice'!P18+Winzer!P18+'LW-Fachwerker'!P18+Tierwirt!P66+Fischwirt!P18+Pferdewirt!P18+'Pferdewirt (2)'!P18+Gärtner!P70+'Gaba-Fachwerker'!P18+Revierjäger!P18+Forstwirt!P18+#REF!+'Milchtechnologe-technologin'!P18+Milchw.Laborant!P18+Hauswirtschaft!P18</f>
        <v>#REF!</v>
      </c>
      <c r="Q17" s="811"/>
      <c r="R17" s="812"/>
      <c r="S17" s="812"/>
      <c r="T17" s="813"/>
      <c r="U17" s="774"/>
      <c r="V17" s="775"/>
      <c r="W17" s="774"/>
      <c r="X17" s="774"/>
      <c r="Y17" s="775"/>
      <c r="Z17" s="813"/>
      <c r="AA17" s="775"/>
      <c r="AB17" s="775"/>
      <c r="AC17" s="775"/>
      <c r="AD17" s="775"/>
      <c r="AE17" s="775"/>
      <c r="AF17" s="775"/>
      <c r="AG17" s="775"/>
    </row>
    <row r="18" spans="1:33" ht="15" customHeight="1">
      <c r="A18" s="592" t="s">
        <v>54</v>
      </c>
      <c r="B18" s="794"/>
      <c r="C18" s="1186" t="e">
        <f>'A. Ausbildungsverh. Landwirt'!C22+'Fachkraft Agrarservice'!C19+Winzer!C19+'LW-Fachwerker'!C19+Tierwirt!C74+Fischwirt!C19+Pferdewirt!C19+'Pferdewirt (2)'!C19+Gärtner!C80+'Gaba-Fachwerker'!C19+Revierjäger!C19+Forstwirt!C19+#REF!+'Milchtechnologe-technologin'!C19+Milchw.Laborant!C19+Hauswirtschaft!C19</f>
        <v>#REF!</v>
      </c>
      <c r="D18" s="1056" t="e">
        <f>'A. Ausbildungsverh. Landwirt'!D22+'Fachkraft Agrarservice'!D19+Winzer!D19+'LW-Fachwerker'!D19+Tierwirt!D74+Fischwirt!D19+Pferdewirt!D19+'Pferdewirt (2)'!D19+Gärtner!D80+'Gaba-Fachwerker'!D19+Revierjäger!D19+Forstwirt!D19+#REF!+'Milchtechnologe-technologin'!D19+Milchw.Laborant!D19+Hauswirtschaft!D19</f>
        <v>#REF!</v>
      </c>
      <c r="E18" s="1056" t="e">
        <f>'A. Ausbildungsverh. Landwirt'!E22+'Fachkraft Agrarservice'!E19+Winzer!E19+'LW-Fachwerker'!E19+Tierwirt!E74+Fischwirt!E19+Pferdewirt!E19+'Pferdewirt (2)'!E19+Gärtner!E80+'Gaba-Fachwerker'!E19+Revierjäger!E19+Forstwirt!E19+#REF!+'Milchtechnologe-technologin'!E19+Milchw.Laborant!E19+Hauswirtschaft!E19</f>
        <v>#REF!</v>
      </c>
      <c r="F18" s="1056" t="e">
        <f>'A. Ausbildungsverh. Landwirt'!F22+'Fachkraft Agrarservice'!F19+Winzer!F19+'LW-Fachwerker'!F19+Tierwirt!F74+Fischwirt!F19+Pferdewirt!F19+'Pferdewirt (2)'!F19+Gärtner!F80+'Gaba-Fachwerker'!F19+Revierjäger!F19+Forstwirt!F19+#REF!+'Milchtechnologe-technologin'!F19+Milchw.Laborant!F19+Hauswirtschaft!F19</f>
        <v>#REF!</v>
      </c>
      <c r="G18" s="1056" t="e">
        <f>'A. Ausbildungsverh. Landwirt'!G22+'Fachkraft Agrarservice'!G19+Winzer!G19+'LW-Fachwerker'!G19+Tierwirt!G74+Fischwirt!G19+Pferdewirt!G19+'Pferdewirt (2)'!G19+Gärtner!G80+'Gaba-Fachwerker'!G19+Revierjäger!G19+Forstwirt!G19+#REF!+'Milchtechnologe-technologin'!G19+Milchw.Laborant!G19+Hauswirtschaft!G19</f>
        <v>#REF!</v>
      </c>
      <c r="H18" s="1056" t="e">
        <f>'A. Ausbildungsverh. Landwirt'!H22+'Fachkraft Agrarservice'!H19+Winzer!H19+'LW-Fachwerker'!H19+Tierwirt!H74+Fischwirt!H19+Pferdewirt!H19+'Pferdewirt (2)'!H19+Gärtner!H80+'Gaba-Fachwerker'!H19+Revierjäger!H19+Forstwirt!H19+#REF!+'Milchtechnologe-technologin'!H19+Milchw.Laborant!H19+Hauswirtschaft!H19</f>
        <v>#REF!</v>
      </c>
      <c r="I18" s="1056" t="e">
        <f>'A. Ausbildungsverh. Landwirt'!I22+'Fachkraft Agrarservice'!I19+Winzer!I19+'LW-Fachwerker'!I19+Tierwirt!I74+Fischwirt!I19+Pferdewirt!I19+'Pferdewirt (2)'!I19+Gärtner!I80+'Gaba-Fachwerker'!I19+Revierjäger!I19+Forstwirt!I19+#REF!+'Milchtechnologe-technologin'!I19+Milchw.Laborant!I19+Hauswirtschaft!I19</f>
        <v>#REF!</v>
      </c>
      <c r="J18" s="1056" t="e">
        <f>'A. Ausbildungsverh. Landwirt'!J22+'Fachkraft Agrarservice'!J19+Winzer!J19+'LW-Fachwerker'!J19+Tierwirt!J74+Fischwirt!J19+Pferdewirt!J19+'Pferdewirt (2)'!J19+Gärtner!J80+'Gaba-Fachwerker'!J19+Revierjäger!J19+Forstwirt!J19+#REF!+'Milchtechnologe-technologin'!J19+Milchw.Laborant!J19+Hauswirtschaft!J19</f>
        <v>#REF!</v>
      </c>
      <c r="K18" s="1186" t="e">
        <f>'A. Ausbildungsverh. Landwirt'!K22+'Fachkraft Agrarservice'!K19+Winzer!K19+'LW-Fachwerker'!K19+Tierwirt!K74+Fischwirt!K19+Pferdewirt!K19+'Pferdewirt (2)'!K19+Gärtner!K80+'Gaba-Fachwerker'!K19+Revierjäger!K19+Forstwirt!K19+#REF!+'Milchtechnologe-technologin'!K19+Milchw.Laborant!K19+Hauswirtschaft!K19</f>
        <v>#REF!</v>
      </c>
      <c r="L18" s="1056" t="e">
        <f>'A. Ausbildungsverh. Landwirt'!L22+'Fachkraft Agrarservice'!L19+Winzer!L19+'LW-Fachwerker'!L19+Tierwirt!L74+Fischwirt!L19+Pferdewirt!L19+'Pferdewirt (2)'!L19+Gärtner!L80+'Gaba-Fachwerker'!L19+Revierjäger!L19+Forstwirt!L19+#REF!+'Milchtechnologe-technologin'!L19+Milchw.Laborant!L19+Hauswirtschaft!L19</f>
        <v>#REF!</v>
      </c>
      <c r="M18" s="1056" t="e">
        <f>'A. Ausbildungsverh. Landwirt'!M22+'Fachkraft Agrarservice'!M19+Winzer!M19+'LW-Fachwerker'!M19+Tierwirt!M74+Fischwirt!M19+Pferdewirt!M19+'Pferdewirt (2)'!M19+Gärtner!M80+'Gaba-Fachwerker'!M19+Revierjäger!M19+Forstwirt!M19+#REF!+'Milchtechnologe-technologin'!M19+Milchw.Laborant!M19+Hauswirtschaft!M19</f>
        <v>#REF!</v>
      </c>
      <c r="N18" s="1187" t="e">
        <f>'A. Ausbildungsverh. Landwirt'!N22+'Fachkraft Agrarservice'!N19+Winzer!N19+'LW-Fachwerker'!N19+Tierwirt!N74+Fischwirt!N19+Pferdewirt!N19+'Pferdewirt (2)'!N19+Gärtner!N80+'Gaba-Fachwerker'!N19+Revierjäger!N19+Forstwirt!N19+#REF!+'Milchtechnologe-technologin'!N19+Milchw.Laborant!N19+Hauswirtschaft!N19</f>
        <v>#REF!</v>
      </c>
      <c r="O18" s="1056" t="e">
        <f>'A. Ausbildungsverh. Landwirt'!O22+'Fachkraft Agrarservice'!O19+Winzer!O19+'LW-Fachwerker'!O19+Tierwirt!O74+Fischwirt!O19+Pferdewirt!O19+'Pferdewirt (2)'!O19+Gärtner!O80+'Gaba-Fachwerker'!O19+Revierjäger!O19+Forstwirt!O19+#REF!+'Milchtechnologe-technologin'!O19+Milchw.Laborant!O19+Hauswirtschaft!O19</f>
        <v>#REF!</v>
      </c>
      <c r="P18" s="1057" t="e">
        <f>'A. Ausbildungsverh. Landwirt'!P22+'Fachkraft Agrarservice'!P19+Winzer!P19+'LW-Fachwerker'!P19+Tierwirt!P74+Fischwirt!P19+Pferdewirt!P19+'Pferdewirt (2)'!P19+Gärtner!P80+'Gaba-Fachwerker'!P19+Revierjäger!P19+Forstwirt!P19+#REF!+'Milchtechnologe-technologin'!P19+Milchw.Laborant!P19+Hauswirtschaft!P19</f>
        <v>#REF!</v>
      </c>
      <c r="Q18" s="776"/>
      <c r="R18" s="814"/>
      <c r="S18" s="814"/>
      <c r="T18" s="776"/>
      <c r="U18" s="774"/>
      <c r="V18" s="775"/>
      <c r="W18" s="815"/>
      <c r="X18" s="816"/>
      <c r="Y18" s="813"/>
      <c r="Z18" s="776"/>
      <c r="AA18" s="774"/>
      <c r="AB18" s="775"/>
      <c r="AC18" s="817"/>
      <c r="AD18" s="815"/>
      <c r="AE18" s="816"/>
      <c r="AF18" s="769"/>
      <c r="AG18" s="816"/>
    </row>
    <row r="19" spans="1:33" ht="15" customHeight="1">
      <c r="A19" s="592" t="s">
        <v>44</v>
      </c>
      <c r="B19" s="794"/>
      <c r="C19" s="1186" t="e">
        <f>'A. Ausbildungsverh. Landwirt'!C23+'Fachkraft Agrarservice'!C20+Winzer!C20+'LW-Fachwerker'!C20+Tierwirt!C82+Fischwirt!C20+Pferdewirt!C20+'Pferdewirt (2)'!C20+Gärtner!C89+'Gaba-Fachwerker'!C20+Revierjäger!C20+Forstwirt!C20+#REF!+'Milchtechnologe-technologin'!C20+Milchw.Laborant!C20+Hauswirtschaft!C20</f>
        <v>#REF!</v>
      </c>
      <c r="D19" s="1056" t="e">
        <f>'A. Ausbildungsverh. Landwirt'!D23+'Fachkraft Agrarservice'!D20+Winzer!D20+'LW-Fachwerker'!D20+Tierwirt!D82+Fischwirt!D20+Pferdewirt!D20+'Pferdewirt (2)'!D20+Gärtner!D89+'Gaba-Fachwerker'!D20+Revierjäger!D20+Forstwirt!D20+#REF!+'Milchtechnologe-technologin'!D20+Milchw.Laborant!D20+Hauswirtschaft!D20</f>
        <v>#REF!</v>
      </c>
      <c r="E19" s="1056" t="e">
        <f>'A. Ausbildungsverh. Landwirt'!E23+'Fachkraft Agrarservice'!E20+Winzer!E20+'LW-Fachwerker'!E20+Tierwirt!E82+Fischwirt!E20+Pferdewirt!E20+'Pferdewirt (2)'!E20+Gärtner!E89+'Gaba-Fachwerker'!E20+Revierjäger!E20+Forstwirt!E20+#REF!+'Milchtechnologe-technologin'!E20+Milchw.Laborant!E20+Hauswirtschaft!E20</f>
        <v>#REF!</v>
      </c>
      <c r="F19" s="1056" t="e">
        <f>'A. Ausbildungsverh. Landwirt'!F23+'Fachkraft Agrarservice'!F20+Winzer!F20+'LW-Fachwerker'!F20+Tierwirt!F82+Fischwirt!F20+Pferdewirt!F20+'Pferdewirt (2)'!F20+Gärtner!F89+'Gaba-Fachwerker'!F20+Revierjäger!F20+Forstwirt!F20+#REF!+'Milchtechnologe-technologin'!F20+Milchw.Laborant!F20+Hauswirtschaft!F20</f>
        <v>#REF!</v>
      </c>
      <c r="G19" s="1056" t="e">
        <f>'A. Ausbildungsverh. Landwirt'!G23+'Fachkraft Agrarservice'!G20+Winzer!G20+'LW-Fachwerker'!G20+Tierwirt!G82+Fischwirt!G20+Pferdewirt!G20+'Pferdewirt (2)'!G20+Gärtner!G89+'Gaba-Fachwerker'!G20+Revierjäger!G20+Forstwirt!G20+#REF!+'Milchtechnologe-technologin'!G20+Milchw.Laborant!G20+Hauswirtschaft!G20</f>
        <v>#REF!</v>
      </c>
      <c r="H19" s="1056" t="e">
        <f>'A. Ausbildungsverh. Landwirt'!H23+'Fachkraft Agrarservice'!H20+Winzer!H20+'LW-Fachwerker'!H20+Tierwirt!H82+Fischwirt!H20+Pferdewirt!H20+'Pferdewirt (2)'!H20+Gärtner!H89+'Gaba-Fachwerker'!H20+Revierjäger!H20+Forstwirt!H20+#REF!+'Milchtechnologe-technologin'!H20+Milchw.Laborant!H20+Hauswirtschaft!H20</f>
        <v>#REF!</v>
      </c>
      <c r="I19" s="1056" t="e">
        <f>'A. Ausbildungsverh. Landwirt'!I23+'Fachkraft Agrarservice'!I20+Winzer!I20+'LW-Fachwerker'!I20+Tierwirt!I82+Fischwirt!I20+Pferdewirt!I20+'Pferdewirt (2)'!I20+Gärtner!I89+'Gaba-Fachwerker'!I20+Revierjäger!I20+Forstwirt!I20+#REF!+'Milchtechnologe-technologin'!I20+Milchw.Laborant!I20+Hauswirtschaft!I20</f>
        <v>#REF!</v>
      </c>
      <c r="J19" s="1056" t="e">
        <f>'A. Ausbildungsverh. Landwirt'!J23+'Fachkraft Agrarservice'!J20+Winzer!J20+'LW-Fachwerker'!J20+Tierwirt!J82+Fischwirt!J20+Pferdewirt!J20+'Pferdewirt (2)'!J20+Gärtner!J89+'Gaba-Fachwerker'!J20+Revierjäger!J20+Forstwirt!J20+#REF!+'Milchtechnologe-technologin'!J20+Milchw.Laborant!J20+Hauswirtschaft!J20</f>
        <v>#REF!</v>
      </c>
      <c r="K19" s="1186" t="e">
        <f>'A. Ausbildungsverh. Landwirt'!K23+'Fachkraft Agrarservice'!K20+Winzer!K20+'LW-Fachwerker'!K20+Tierwirt!K82+Fischwirt!K20+Pferdewirt!K20+'Pferdewirt (2)'!K20+Gärtner!K89+'Gaba-Fachwerker'!K20+Revierjäger!K20+Forstwirt!K20+#REF!+'Milchtechnologe-technologin'!K20+Milchw.Laborant!K20+Hauswirtschaft!K20</f>
        <v>#REF!</v>
      </c>
      <c r="L19" s="1056" t="e">
        <f>'A. Ausbildungsverh. Landwirt'!L23+'Fachkraft Agrarservice'!L20+Winzer!L20+'LW-Fachwerker'!L20+Tierwirt!L82+Fischwirt!L20+Pferdewirt!L20+'Pferdewirt (2)'!L20+Gärtner!L89+'Gaba-Fachwerker'!L20+Revierjäger!L20+Forstwirt!L20+#REF!+'Milchtechnologe-technologin'!L20+Milchw.Laborant!L20+Hauswirtschaft!L20</f>
        <v>#REF!</v>
      </c>
      <c r="M19" s="1056" t="e">
        <f>'A. Ausbildungsverh. Landwirt'!M23+'Fachkraft Agrarservice'!M20+Winzer!M20+'LW-Fachwerker'!M20+Tierwirt!M82+Fischwirt!M20+Pferdewirt!M20+'Pferdewirt (2)'!M20+Gärtner!M89+'Gaba-Fachwerker'!M20+Revierjäger!M20+Forstwirt!M20+#REF!+'Milchtechnologe-technologin'!M20+Milchw.Laborant!M20+Hauswirtschaft!M20</f>
        <v>#REF!</v>
      </c>
      <c r="N19" s="1187" t="e">
        <f>'A. Ausbildungsverh. Landwirt'!N23+'Fachkraft Agrarservice'!N20+Winzer!N20+'LW-Fachwerker'!N20+Tierwirt!N82+Fischwirt!N20+Pferdewirt!N20+'Pferdewirt (2)'!N20+Gärtner!N89+'Gaba-Fachwerker'!N20+Revierjäger!N20+Forstwirt!N20+#REF!+'Milchtechnologe-technologin'!N20+Milchw.Laborant!N20+Hauswirtschaft!N20</f>
        <v>#REF!</v>
      </c>
      <c r="O19" s="1056" t="e">
        <f>'A. Ausbildungsverh. Landwirt'!O23+'Fachkraft Agrarservice'!O20+Winzer!O20+'LW-Fachwerker'!O20+Tierwirt!O82+Fischwirt!O20+Pferdewirt!O20+'Pferdewirt (2)'!O20+Gärtner!O89+'Gaba-Fachwerker'!O20+Revierjäger!O20+Forstwirt!O20+#REF!+'Milchtechnologe-technologin'!O20+Milchw.Laborant!O20+Hauswirtschaft!O20</f>
        <v>#REF!</v>
      </c>
      <c r="P19" s="1057" t="e">
        <f>'A. Ausbildungsverh. Landwirt'!P23+'Fachkraft Agrarservice'!P20+Winzer!P20+'LW-Fachwerker'!P20+Tierwirt!P82+Fischwirt!P20+Pferdewirt!P20+'Pferdewirt (2)'!P20+Gärtner!P89+'Gaba-Fachwerker'!P20+Revierjäger!P20+Forstwirt!P20+#REF!+'Milchtechnologe-technologin'!P20+Milchw.Laborant!P20+Hauswirtschaft!P20</f>
        <v>#REF!</v>
      </c>
      <c r="Q19" s="842"/>
      <c r="R19" s="814"/>
      <c r="S19" s="814"/>
      <c r="T19" s="818"/>
      <c r="U19" s="818"/>
      <c r="V19" s="819"/>
      <c r="W19" s="815"/>
      <c r="X19" s="815"/>
      <c r="Y19" s="775"/>
      <c r="Z19" s="818"/>
      <c r="AA19" s="818"/>
      <c r="AB19" s="819"/>
      <c r="AC19" s="812"/>
      <c r="AD19" s="815"/>
      <c r="AE19" s="816"/>
      <c r="AF19" s="769"/>
      <c r="AG19" s="816"/>
    </row>
    <row r="20" spans="1:33" ht="15" customHeight="1">
      <c r="A20" s="592" t="s">
        <v>45</v>
      </c>
      <c r="B20" s="794"/>
      <c r="C20" s="1186" t="e">
        <f>'A. Ausbildungsverh. Landwirt'!C24+'Fachkraft Agrarservice'!C21+Winzer!C21+'LW-Fachwerker'!C21+Tierwirt!C90+Fischwirt!C21+Pferdewirt!C21+'Pferdewirt (2)'!C21+Gärtner!C108+'Gaba-Fachwerker'!C21+Revierjäger!C21+Forstwirt!C21+#REF!+'Milchtechnologe-technologin'!C21+Milchw.Laborant!C21+Hauswirtschaft!C21</f>
        <v>#REF!</v>
      </c>
      <c r="D20" s="1056" t="e">
        <f>'A. Ausbildungsverh. Landwirt'!D24+'Fachkraft Agrarservice'!D21+Winzer!D21+'LW-Fachwerker'!D21+Tierwirt!D90+Fischwirt!D21+Pferdewirt!D21+'Pferdewirt (2)'!D21+Gärtner!D108+'Gaba-Fachwerker'!D21+Revierjäger!D21+Forstwirt!D21+#REF!+'Milchtechnologe-technologin'!D21+Milchw.Laborant!D21+Hauswirtschaft!D21</f>
        <v>#REF!</v>
      </c>
      <c r="E20" s="1056" t="e">
        <f>'A. Ausbildungsverh. Landwirt'!E24+'Fachkraft Agrarservice'!E21+Winzer!E21+'LW-Fachwerker'!E21+Tierwirt!E90+Fischwirt!E21+Pferdewirt!E21+'Pferdewirt (2)'!E21+Gärtner!E108+'Gaba-Fachwerker'!E21+Revierjäger!E21+Forstwirt!E21+#REF!+'Milchtechnologe-technologin'!E21+Milchw.Laborant!E21+Hauswirtschaft!E21</f>
        <v>#REF!</v>
      </c>
      <c r="F20" s="1056" t="e">
        <f>'A. Ausbildungsverh. Landwirt'!F24+'Fachkraft Agrarservice'!F21+Winzer!F21+'LW-Fachwerker'!F21+Tierwirt!F90+Fischwirt!F21+Pferdewirt!F21+'Pferdewirt (2)'!F21+Gärtner!F108+'Gaba-Fachwerker'!F21+Revierjäger!F21+Forstwirt!F21+#REF!+'Milchtechnologe-technologin'!F21+Milchw.Laborant!F21+Hauswirtschaft!F21</f>
        <v>#REF!</v>
      </c>
      <c r="G20" s="1056" t="e">
        <f>'A. Ausbildungsverh. Landwirt'!G24+'Fachkraft Agrarservice'!G21+Winzer!G21+'LW-Fachwerker'!G21+Tierwirt!G90+Fischwirt!G21+Pferdewirt!G21+'Pferdewirt (2)'!G21+Gärtner!G108+'Gaba-Fachwerker'!G21+Revierjäger!G21+Forstwirt!G21+#REF!+'Milchtechnologe-technologin'!G21+Milchw.Laborant!G21+Hauswirtschaft!G21</f>
        <v>#REF!</v>
      </c>
      <c r="H20" s="1056" t="e">
        <f>'A. Ausbildungsverh. Landwirt'!H24+'Fachkraft Agrarservice'!H21+Winzer!H21+'LW-Fachwerker'!H21+Tierwirt!H90+Fischwirt!H21+Pferdewirt!H21+'Pferdewirt (2)'!H21+Gärtner!H108+'Gaba-Fachwerker'!H21+Revierjäger!H21+Forstwirt!H21+#REF!+'Milchtechnologe-technologin'!H21+Milchw.Laborant!H21+Hauswirtschaft!H21</f>
        <v>#REF!</v>
      </c>
      <c r="I20" s="1056" t="e">
        <f>'A. Ausbildungsverh. Landwirt'!I24+'Fachkraft Agrarservice'!I21+Winzer!I21+'LW-Fachwerker'!I21+Tierwirt!I90+Fischwirt!I21+Pferdewirt!I21+'Pferdewirt (2)'!I21+Gärtner!I108+'Gaba-Fachwerker'!I21+Revierjäger!I21+Forstwirt!I21+#REF!+'Milchtechnologe-technologin'!I21+Milchw.Laborant!I21+Hauswirtschaft!I21</f>
        <v>#REF!</v>
      </c>
      <c r="J20" s="1056" t="e">
        <f>'A. Ausbildungsverh. Landwirt'!J24+'Fachkraft Agrarservice'!J21+Winzer!J21+'LW-Fachwerker'!J21+Tierwirt!J90+Fischwirt!J21+Pferdewirt!J21+'Pferdewirt (2)'!J21+Gärtner!J108+'Gaba-Fachwerker'!J21+Revierjäger!J21+Forstwirt!J21+#REF!+'Milchtechnologe-technologin'!J21+Milchw.Laborant!J21+Hauswirtschaft!J21</f>
        <v>#REF!</v>
      </c>
      <c r="K20" s="1186" t="e">
        <f>'A. Ausbildungsverh. Landwirt'!K24+'Fachkraft Agrarservice'!K21+Winzer!K21+'LW-Fachwerker'!K21+Tierwirt!K90+Fischwirt!K21+Pferdewirt!K21+'Pferdewirt (2)'!K21+Gärtner!K108+'Gaba-Fachwerker'!K21+Revierjäger!K21+Forstwirt!K21+#REF!+'Milchtechnologe-technologin'!K21+Milchw.Laborant!K21+Hauswirtschaft!K21</f>
        <v>#REF!</v>
      </c>
      <c r="L20" s="1056" t="e">
        <f>'A. Ausbildungsverh. Landwirt'!L24+'Fachkraft Agrarservice'!L21+Winzer!L21+'LW-Fachwerker'!L21+Tierwirt!L90+Fischwirt!L21+Pferdewirt!L21+'Pferdewirt (2)'!L21+Gärtner!L108+'Gaba-Fachwerker'!L21+Revierjäger!L21+Forstwirt!L21+#REF!+'Milchtechnologe-technologin'!L21+Milchw.Laborant!L21+Hauswirtschaft!L21</f>
        <v>#REF!</v>
      </c>
      <c r="M20" s="1056" t="e">
        <f>'A. Ausbildungsverh. Landwirt'!M24+'Fachkraft Agrarservice'!M21+Winzer!M21+'LW-Fachwerker'!M21+Tierwirt!M90+Fischwirt!M21+Pferdewirt!M21+'Pferdewirt (2)'!M21+Gärtner!M108+'Gaba-Fachwerker'!M21+Revierjäger!M21+Forstwirt!M21+#REF!+'Milchtechnologe-technologin'!M21+Milchw.Laborant!M21+Hauswirtschaft!M21</f>
        <v>#REF!</v>
      </c>
      <c r="N20" s="1187" t="e">
        <f>'A. Ausbildungsverh. Landwirt'!N24+'Fachkraft Agrarservice'!N21+Winzer!N21+'LW-Fachwerker'!N21+Tierwirt!N90+Fischwirt!N21+Pferdewirt!N21+'Pferdewirt (2)'!N21+Gärtner!N108+'Gaba-Fachwerker'!N21+Revierjäger!N21+Forstwirt!N21+#REF!+'Milchtechnologe-technologin'!N21+Milchw.Laborant!N21+Hauswirtschaft!N21</f>
        <v>#REF!</v>
      </c>
      <c r="O20" s="1056" t="e">
        <f>'A. Ausbildungsverh. Landwirt'!O24+'Fachkraft Agrarservice'!O21+Winzer!O21+'LW-Fachwerker'!O21+Tierwirt!O90+Fischwirt!O21+Pferdewirt!O21+'Pferdewirt (2)'!O21+Gärtner!O108+'Gaba-Fachwerker'!O21+Revierjäger!O21+Forstwirt!O21+#REF!+'Milchtechnologe-technologin'!O21+Milchw.Laborant!O21+Hauswirtschaft!O21</f>
        <v>#REF!</v>
      </c>
      <c r="P20" s="1057" t="e">
        <f>'A. Ausbildungsverh. Landwirt'!P24+'Fachkraft Agrarservice'!P21+Winzer!P21+'LW-Fachwerker'!P21+Tierwirt!P90+Fischwirt!P21+Pferdewirt!P21+'Pferdewirt (2)'!P21+Gärtner!P108+'Gaba-Fachwerker'!P21+Revierjäger!P21+Forstwirt!P21+#REF!+'Milchtechnologe-technologin'!P21+Milchw.Laborant!P21+Hauswirtschaft!P21</f>
        <v>#REF!</v>
      </c>
      <c r="Q20" s="774"/>
      <c r="R20" s="814"/>
      <c r="S20" s="814"/>
      <c r="T20" s="776"/>
      <c r="U20" s="776"/>
      <c r="V20" s="780"/>
      <c r="W20" s="776"/>
      <c r="X20" s="776"/>
      <c r="Y20" s="780"/>
      <c r="Z20" s="776"/>
      <c r="AA20" s="776"/>
      <c r="AB20" s="780"/>
      <c r="AC20" s="812"/>
      <c r="AD20" s="818"/>
      <c r="AE20" s="818"/>
      <c r="AF20" s="819"/>
      <c r="AG20" s="820"/>
    </row>
    <row r="21" spans="1:33" ht="15" customHeight="1">
      <c r="A21" s="592" t="s">
        <v>55</v>
      </c>
      <c r="B21" s="821"/>
      <c r="C21" s="1186" t="e">
        <f>'A. Ausbildungsverh. Landwirt'!C25+'Fachkraft Agrarservice'!C22+Winzer!C22+'LW-Fachwerker'!C22+Tierwirt!C98+Fischwirt!C22+Pferdewirt!C22+'Pferdewirt (2)'!C22+Gärtner!C117+'Gaba-Fachwerker'!C22+Revierjäger!C22+Forstwirt!C22+#REF!+'Milchtechnologe-technologin'!C22+Milchw.Laborant!C22+Hauswirtschaft!C22</f>
        <v>#REF!</v>
      </c>
      <c r="D21" s="1056" t="e">
        <f>'A. Ausbildungsverh. Landwirt'!D25+'Fachkraft Agrarservice'!D22+Winzer!D22+'LW-Fachwerker'!D22+Tierwirt!D98+Fischwirt!D22+Pferdewirt!D22+'Pferdewirt (2)'!D22+Gärtner!D117+'Gaba-Fachwerker'!D22+Revierjäger!D22+Forstwirt!D22+#REF!+'Milchtechnologe-technologin'!D22+Milchw.Laborant!D22+Hauswirtschaft!D22</f>
        <v>#REF!</v>
      </c>
      <c r="E21" s="1056" t="e">
        <f>'A. Ausbildungsverh. Landwirt'!E25+'Fachkraft Agrarservice'!E22+Winzer!E22+'LW-Fachwerker'!E22+Tierwirt!E98+Fischwirt!E22+Pferdewirt!E22+'Pferdewirt (2)'!E22+Gärtner!E117+'Gaba-Fachwerker'!E22+Revierjäger!E22+Forstwirt!E22+#REF!+'Milchtechnologe-technologin'!E22+Milchw.Laborant!E22+Hauswirtschaft!E22</f>
        <v>#REF!</v>
      </c>
      <c r="F21" s="1056" t="e">
        <f>'A. Ausbildungsverh. Landwirt'!F25+'Fachkraft Agrarservice'!F22+Winzer!F22+'LW-Fachwerker'!F22+Tierwirt!F98+Fischwirt!F22+Pferdewirt!F22+'Pferdewirt (2)'!F22+Gärtner!F117+'Gaba-Fachwerker'!F22+Revierjäger!F22+Forstwirt!F22+#REF!+'Milchtechnologe-technologin'!F22+Milchw.Laborant!F22+Hauswirtschaft!F22</f>
        <v>#REF!</v>
      </c>
      <c r="G21" s="1056" t="e">
        <f>'A. Ausbildungsverh. Landwirt'!G25+'Fachkraft Agrarservice'!G22+Winzer!G22+'LW-Fachwerker'!G22+Tierwirt!G98+Fischwirt!G22+Pferdewirt!G22+'Pferdewirt (2)'!G22+Gärtner!G117+'Gaba-Fachwerker'!G22+Revierjäger!G22+Forstwirt!G22+#REF!+'Milchtechnologe-technologin'!G22+Milchw.Laborant!G22+Hauswirtschaft!G22</f>
        <v>#REF!</v>
      </c>
      <c r="H21" s="1056" t="e">
        <f>'A. Ausbildungsverh. Landwirt'!H25+'Fachkraft Agrarservice'!H22+Winzer!H22+'LW-Fachwerker'!H22+Tierwirt!H98+Fischwirt!H22+Pferdewirt!H22+'Pferdewirt (2)'!H22+Gärtner!H117+'Gaba-Fachwerker'!H22+Revierjäger!H22+Forstwirt!H22+#REF!+'Milchtechnologe-technologin'!H22+Milchw.Laborant!H22+Hauswirtschaft!H22</f>
        <v>#REF!</v>
      </c>
      <c r="I21" s="1056" t="e">
        <f>'A. Ausbildungsverh. Landwirt'!I25+'Fachkraft Agrarservice'!I22+Winzer!I22+'LW-Fachwerker'!I22+Tierwirt!I98+Fischwirt!I22+Pferdewirt!I22+'Pferdewirt (2)'!I22+Gärtner!I117+'Gaba-Fachwerker'!I22+Revierjäger!I22+Forstwirt!I22+#REF!+'Milchtechnologe-technologin'!I22+Milchw.Laborant!I22+Hauswirtschaft!I22</f>
        <v>#REF!</v>
      </c>
      <c r="J21" s="1056" t="e">
        <f>'A. Ausbildungsverh. Landwirt'!J25+'Fachkraft Agrarservice'!J22+Winzer!J22+'LW-Fachwerker'!J22+Tierwirt!J98+Fischwirt!J22+Pferdewirt!J22+'Pferdewirt (2)'!J22+Gärtner!J117+'Gaba-Fachwerker'!J22+Revierjäger!J22+Forstwirt!J22+#REF!+'Milchtechnologe-technologin'!J22+Milchw.Laborant!J22+Hauswirtschaft!J22</f>
        <v>#REF!</v>
      </c>
      <c r="K21" s="1186" t="e">
        <f>'A. Ausbildungsverh. Landwirt'!K25+'Fachkraft Agrarservice'!K22+Winzer!K22+'LW-Fachwerker'!K22+Tierwirt!K98+Fischwirt!K22+Pferdewirt!K22+'Pferdewirt (2)'!K22+Gärtner!K117+'Gaba-Fachwerker'!K22+Revierjäger!K22+Forstwirt!K22+#REF!+'Milchtechnologe-technologin'!K22+Milchw.Laborant!K22+Hauswirtschaft!K22</f>
        <v>#REF!</v>
      </c>
      <c r="L21" s="1056" t="e">
        <f>'A. Ausbildungsverh. Landwirt'!L25+'Fachkraft Agrarservice'!L22+Winzer!L22+'LW-Fachwerker'!L22+Tierwirt!L98+Fischwirt!L22+Pferdewirt!L22+'Pferdewirt (2)'!L22+Gärtner!L117+'Gaba-Fachwerker'!L22+Revierjäger!L22+Forstwirt!L22+#REF!+'Milchtechnologe-technologin'!L22+Milchw.Laborant!L22+Hauswirtschaft!L22</f>
        <v>#REF!</v>
      </c>
      <c r="M21" s="1056" t="e">
        <f>'A. Ausbildungsverh. Landwirt'!M25+'Fachkraft Agrarservice'!M22+Winzer!M22+'LW-Fachwerker'!M22+Tierwirt!M98+Fischwirt!M22+Pferdewirt!M22+'Pferdewirt (2)'!M22+Gärtner!M117+'Gaba-Fachwerker'!M22+Revierjäger!M22+Forstwirt!M22+#REF!+'Milchtechnologe-technologin'!M22+Milchw.Laborant!M22+Hauswirtschaft!M22</f>
        <v>#REF!</v>
      </c>
      <c r="N21" s="1187" t="e">
        <f>'A. Ausbildungsverh. Landwirt'!N25+'Fachkraft Agrarservice'!N22+Winzer!N22+'LW-Fachwerker'!N22+Tierwirt!N98+Fischwirt!N22+Pferdewirt!N22+'Pferdewirt (2)'!N22+Gärtner!N117+'Gaba-Fachwerker'!N22+Revierjäger!N22+Forstwirt!N22+#REF!+'Milchtechnologe-technologin'!N22+Milchw.Laborant!N22+Hauswirtschaft!N22</f>
        <v>#REF!</v>
      </c>
      <c r="O21" s="1056" t="e">
        <f>'A. Ausbildungsverh. Landwirt'!O25+'Fachkraft Agrarservice'!O22+Winzer!O22+'LW-Fachwerker'!O22+Tierwirt!O98+Fischwirt!O22+Pferdewirt!O22+'Pferdewirt (2)'!O22+Gärtner!O117+'Gaba-Fachwerker'!O22+Revierjäger!O22+Forstwirt!O22+#REF!+'Milchtechnologe-technologin'!O22+Milchw.Laborant!O22+Hauswirtschaft!O22</f>
        <v>#REF!</v>
      </c>
      <c r="P21" s="1057" t="e">
        <f>'A. Ausbildungsverh. Landwirt'!P25+'Fachkraft Agrarservice'!P22+Winzer!P22+'LW-Fachwerker'!P22+Tierwirt!P98+Fischwirt!P22+Pferdewirt!P22+'Pferdewirt (2)'!P22+Gärtner!P117+'Gaba-Fachwerker'!P22+Revierjäger!P22+Forstwirt!P22+#REF!+'Milchtechnologe-technologin'!P22+Milchw.Laborant!P22+Hauswirtschaft!P22</f>
        <v>#REF!</v>
      </c>
      <c r="Q21" s="820"/>
      <c r="R21" s="814"/>
      <c r="S21" s="814"/>
      <c r="T21" s="812"/>
      <c r="U21" s="812"/>
      <c r="V21" s="822"/>
      <c r="W21" s="812"/>
      <c r="X21" s="774"/>
      <c r="Y21" s="822"/>
      <c r="Z21" s="812"/>
      <c r="AA21" s="812"/>
      <c r="AB21" s="822"/>
      <c r="AC21" s="812"/>
      <c r="AD21" s="812"/>
      <c r="AE21" s="812"/>
      <c r="AF21" s="822"/>
      <c r="AG21" s="820"/>
    </row>
    <row r="22" spans="1:33" ht="15" customHeight="1">
      <c r="A22" s="592" t="s">
        <v>46</v>
      </c>
      <c r="B22" s="794"/>
      <c r="C22" s="1186" t="e">
        <f>'A. Ausbildungsverh. Landwirt'!C26+'Fachkraft Agrarservice'!C23+Winzer!C23+'LW-Fachwerker'!C23+Tierwirt!C118+Fischwirt!C23+Pferdewirt!C23+'Pferdewirt (2)'!C23+Gärtner!C126+'Gaba-Fachwerker'!C23+Revierjäger!C23+Forstwirt!C23+#REF!+'Milchtechnologe-technologin'!C23+Milchw.Laborant!C23+Hauswirtschaft!C23</f>
        <v>#REF!</v>
      </c>
      <c r="D22" s="1056" t="e">
        <f>'A. Ausbildungsverh. Landwirt'!D26+'Fachkraft Agrarservice'!D23+Winzer!D23+'LW-Fachwerker'!D23+Tierwirt!D118+Fischwirt!D23+Pferdewirt!D23+'Pferdewirt (2)'!D23+Gärtner!D126+'Gaba-Fachwerker'!D23+Revierjäger!D23+Forstwirt!D23+#REF!+'Milchtechnologe-technologin'!D23+Milchw.Laborant!D23+Hauswirtschaft!D23</f>
        <v>#REF!</v>
      </c>
      <c r="E22" s="1056" t="e">
        <f>'A. Ausbildungsverh. Landwirt'!E26+'Fachkraft Agrarservice'!E23+Winzer!E23+'LW-Fachwerker'!E23+Tierwirt!E118+Fischwirt!E23+Pferdewirt!E23+'Pferdewirt (2)'!E23+Gärtner!E126+'Gaba-Fachwerker'!E23+Revierjäger!E23+Forstwirt!E23+#REF!+'Milchtechnologe-technologin'!E23+Milchw.Laborant!E23+Hauswirtschaft!E23</f>
        <v>#REF!</v>
      </c>
      <c r="F22" s="1056" t="e">
        <f>'A. Ausbildungsverh. Landwirt'!F26+'Fachkraft Agrarservice'!F23+Winzer!F23+'LW-Fachwerker'!F23+Tierwirt!F118+Fischwirt!F23+Pferdewirt!F23+'Pferdewirt (2)'!F23+Gärtner!F126+'Gaba-Fachwerker'!F23+Revierjäger!F23+Forstwirt!F23+#REF!+'Milchtechnologe-technologin'!F23+Milchw.Laborant!F23+Hauswirtschaft!F23</f>
        <v>#REF!</v>
      </c>
      <c r="G22" s="1056" t="e">
        <f>'A. Ausbildungsverh. Landwirt'!G26+'Fachkraft Agrarservice'!G23+Winzer!G23+'LW-Fachwerker'!G23+Tierwirt!G118+Fischwirt!G23+Pferdewirt!G23+'Pferdewirt (2)'!G23+Gärtner!G126+'Gaba-Fachwerker'!G23+Revierjäger!G23+Forstwirt!G23+#REF!+'Milchtechnologe-technologin'!G23+Milchw.Laborant!G23+Hauswirtschaft!G23</f>
        <v>#REF!</v>
      </c>
      <c r="H22" s="1056" t="e">
        <f>'A. Ausbildungsverh. Landwirt'!H26+'Fachkraft Agrarservice'!H23+Winzer!H23+'LW-Fachwerker'!H23+Tierwirt!H118+Fischwirt!H23+Pferdewirt!H23+'Pferdewirt (2)'!H23+Gärtner!H126+'Gaba-Fachwerker'!H23+Revierjäger!H23+Forstwirt!H23+#REF!+'Milchtechnologe-technologin'!H23+Milchw.Laborant!H23+Hauswirtschaft!H23</f>
        <v>#REF!</v>
      </c>
      <c r="I22" s="1056" t="e">
        <f>'A. Ausbildungsverh. Landwirt'!I26+'Fachkraft Agrarservice'!I23+Winzer!I23+'LW-Fachwerker'!I23+Tierwirt!I118+Fischwirt!I23+Pferdewirt!I23+'Pferdewirt (2)'!I23+Gärtner!I126+'Gaba-Fachwerker'!I23+Revierjäger!I23+Forstwirt!I23+#REF!+'Milchtechnologe-technologin'!I23+Milchw.Laborant!I23+Hauswirtschaft!I23</f>
        <v>#REF!</v>
      </c>
      <c r="J22" s="1056" t="e">
        <f>'A. Ausbildungsverh. Landwirt'!J26+'Fachkraft Agrarservice'!J23+Winzer!J23+'LW-Fachwerker'!J23+Tierwirt!J118+Fischwirt!J23+Pferdewirt!J23+'Pferdewirt (2)'!J23+Gärtner!J126+'Gaba-Fachwerker'!J23+Revierjäger!J23+Forstwirt!J23+#REF!+'Milchtechnologe-technologin'!J23+Milchw.Laborant!J23+Hauswirtschaft!J23</f>
        <v>#REF!</v>
      </c>
      <c r="K22" s="1186" t="e">
        <f>'A. Ausbildungsverh. Landwirt'!K26+'Fachkraft Agrarservice'!K23+Winzer!K23+'LW-Fachwerker'!K23+Tierwirt!K118+Fischwirt!K23+Pferdewirt!K23+'Pferdewirt (2)'!K23+Gärtner!K126+'Gaba-Fachwerker'!K23+Revierjäger!K23+Forstwirt!K23+#REF!+'Milchtechnologe-technologin'!K23+Milchw.Laborant!K23+Hauswirtschaft!K23</f>
        <v>#REF!</v>
      </c>
      <c r="L22" s="1056" t="e">
        <f>'A. Ausbildungsverh. Landwirt'!L26+'Fachkraft Agrarservice'!L23+Winzer!L23+'LW-Fachwerker'!L23+Tierwirt!L118+Fischwirt!L23+Pferdewirt!L23+'Pferdewirt (2)'!L23+Gärtner!L126+'Gaba-Fachwerker'!L23+Revierjäger!L23+Forstwirt!L23+#REF!+'Milchtechnologe-technologin'!L23+Milchw.Laborant!L23+Hauswirtschaft!L23</f>
        <v>#REF!</v>
      </c>
      <c r="M22" s="1056" t="e">
        <f>'A. Ausbildungsverh. Landwirt'!M26+'Fachkraft Agrarservice'!M23+Winzer!M23+'LW-Fachwerker'!M23+Tierwirt!M118+Fischwirt!M23+Pferdewirt!M23+'Pferdewirt (2)'!M23+Gärtner!M126+'Gaba-Fachwerker'!M23+Revierjäger!M23+Forstwirt!M23+#REF!+'Milchtechnologe-technologin'!M23+Milchw.Laborant!M23+Hauswirtschaft!M23</f>
        <v>#REF!</v>
      </c>
      <c r="N22" s="1187" t="e">
        <f>'A. Ausbildungsverh. Landwirt'!N26+'Fachkraft Agrarservice'!N23+Winzer!N23+'LW-Fachwerker'!N23+Tierwirt!N118+Fischwirt!N23+Pferdewirt!N23+'Pferdewirt (2)'!N23+Gärtner!N126+'Gaba-Fachwerker'!N23+Revierjäger!N23+Forstwirt!N23+#REF!+'Milchtechnologe-technologin'!N23+Milchw.Laborant!N23+Hauswirtschaft!N23</f>
        <v>#REF!</v>
      </c>
      <c r="O22" s="1056" t="e">
        <f>'A. Ausbildungsverh. Landwirt'!O26+'Fachkraft Agrarservice'!O23+Winzer!O23+'LW-Fachwerker'!O23+Tierwirt!O118+Fischwirt!O23+Pferdewirt!O23+'Pferdewirt (2)'!O23+Gärtner!O126+'Gaba-Fachwerker'!O23+Revierjäger!O23+Forstwirt!O23+#REF!+'Milchtechnologe-technologin'!O23+Milchw.Laborant!O23+Hauswirtschaft!O23</f>
        <v>#REF!</v>
      </c>
      <c r="P22" s="1057" t="e">
        <f>'A. Ausbildungsverh. Landwirt'!P26+'Fachkraft Agrarservice'!P23+Winzer!P23+'LW-Fachwerker'!P23+Tierwirt!P118+Fischwirt!P23+Pferdewirt!P23+'Pferdewirt (2)'!P23+Gärtner!P126+'Gaba-Fachwerker'!P23+Revierjäger!P23+Forstwirt!P23+#REF!+'Milchtechnologe-technologin'!P23+Milchw.Laborant!P23+Hauswirtschaft!P23</f>
        <v>#REF!</v>
      </c>
      <c r="Q22" s="812"/>
      <c r="R22" s="814"/>
      <c r="S22" s="814"/>
      <c r="T22" s="812"/>
      <c r="U22" s="812"/>
      <c r="V22" s="822"/>
      <c r="W22" s="812"/>
      <c r="X22" s="812"/>
      <c r="Y22" s="822"/>
      <c r="Z22" s="812"/>
      <c r="AA22" s="812"/>
      <c r="AB22" s="822"/>
      <c r="AC22" s="812"/>
      <c r="AD22" s="812"/>
      <c r="AE22" s="812"/>
      <c r="AF22" s="822"/>
      <c r="AG22" s="820"/>
    </row>
    <row r="23" spans="1:33" ht="15" customHeight="1">
      <c r="A23" s="592" t="s">
        <v>47</v>
      </c>
      <c r="B23" s="794"/>
      <c r="C23" s="1186" t="e">
        <f>'A. Ausbildungsverh. Landwirt'!C27+'Fachkraft Agrarservice'!C24+Winzer!C24+'LW-Fachwerker'!C24+Tierwirt!C126+Fischwirt!C24+Pferdewirt!C24+'Pferdewirt (2)'!C24+Gärtner!C135+'Gaba-Fachwerker'!C24+Revierjäger!C24+Forstwirt!C24+#REF!+'Milchtechnologe-technologin'!C24+Milchw.Laborant!C24+Hauswirtschaft!C24</f>
        <v>#REF!</v>
      </c>
      <c r="D23" s="1056" t="e">
        <f>'A. Ausbildungsverh. Landwirt'!D27+'Fachkraft Agrarservice'!D24+Winzer!D24+'LW-Fachwerker'!D24+Tierwirt!D126+Fischwirt!D24+Pferdewirt!D24+'Pferdewirt (2)'!D24+Gärtner!D135+'Gaba-Fachwerker'!D24+Revierjäger!D24+Forstwirt!D24+#REF!+'Milchtechnologe-technologin'!D24+Milchw.Laborant!D24+Hauswirtschaft!D24</f>
        <v>#REF!</v>
      </c>
      <c r="E23" s="1056" t="e">
        <f>'A. Ausbildungsverh. Landwirt'!E27+'Fachkraft Agrarservice'!E24+Winzer!E24+'LW-Fachwerker'!E24+Tierwirt!E126+Fischwirt!E24+Pferdewirt!E24+'Pferdewirt (2)'!E24+Gärtner!E135+'Gaba-Fachwerker'!E24+Revierjäger!E24+Forstwirt!E24+#REF!+'Milchtechnologe-technologin'!E24+Milchw.Laborant!E24+Hauswirtschaft!E24</f>
        <v>#REF!</v>
      </c>
      <c r="F23" s="1056" t="e">
        <f>'A. Ausbildungsverh. Landwirt'!F27+'Fachkraft Agrarservice'!F24+Winzer!F24+'LW-Fachwerker'!F24+Tierwirt!F126+Fischwirt!F24+Pferdewirt!F24+'Pferdewirt (2)'!F24+Gärtner!F135+'Gaba-Fachwerker'!F24+Revierjäger!F24+Forstwirt!F24+#REF!+'Milchtechnologe-technologin'!F24+Milchw.Laborant!F24+Hauswirtschaft!F24</f>
        <v>#REF!</v>
      </c>
      <c r="G23" s="1056" t="e">
        <f>'A. Ausbildungsverh. Landwirt'!G27+'Fachkraft Agrarservice'!G24+Winzer!G24+'LW-Fachwerker'!G24+Tierwirt!G126+Fischwirt!G24+Pferdewirt!G24+'Pferdewirt (2)'!G24+Gärtner!G135+'Gaba-Fachwerker'!G24+Revierjäger!G24+Forstwirt!G24+#REF!+'Milchtechnologe-technologin'!G24+Milchw.Laborant!G24+Hauswirtschaft!G24</f>
        <v>#REF!</v>
      </c>
      <c r="H23" s="1056" t="e">
        <f>'A. Ausbildungsverh. Landwirt'!H27+'Fachkraft Agrarservice'!H24+Winzer!H24+'LW-Fachwerker'!H24+Tierwirt!H126+Fischwirt!H24+Pferdewirt!H24+'Pferdewirt (2)'!H24+Gärtner!H135+'Gaba-Fachwerker'!H24+Revierjäger!H24+Forstwirt!H24+#REF!+'Milchtechnologe-technologin'!H24+Milchw.Laborant!H24+Hauswirtschaft!H24</f>
        <v>#REF!</v>
      </c>
      <c r="I23" s="1056" t="e">
        <f>'A. Ausbildungsverh. Landwirt'!I27+'Fachkraft Agrarservice'!I24+Winzer!I24+'LW-Fachwerker'!I24+Tierwirt!I126+Fischwirt!I24+Pferdewirt!I24+'Pferdewirt (2)'!I24+Gärtner!I135+'Gaba-Fachwerker'!I24+Revierjäger!I24+Forstwirt!I24+#REF!+'Milchtechnologe-technologin'!I24+Milchw.Laborant!I24+Hauswirtschaft!I24</f>
        <v>#REF!</v>
      </c>
      <c r="J23" s="1056" t="e">
        <f>'A. Ausbildungsverh. Landwirt'!J27+'Fachkraft Agrarservice'!J24+Winzer!J24+'LW-Fachwerker'!J24+Tierwirt!J126+Fischwirt!J24+Pferdewirt!J24+'Pferdewirt (2)'!J24+Gärtner!J135+'Gaba-Fachwerker'!J24+Revierjäger!J24+Forstwirt!J24+#REF!+'Milchtechnologe-technologin'!J24+Milchw.Laborant!J24+Hauswirtschaft!J24</f>
        <v>#REF!</v>
      </c>
      <c r="K23" s="1186" t="e">
        <f>'A. Ausbildungsverh. Landwirt'!K27+'Fachkraft Agrarservice'!K24+Winzer!K24+'LW-Fachwerker'!K24+Tierwirt!K126+Fischwirt!K24+Pferdewirt!K24+'Pferdewirt (2)'!K24+Gärtner!K135+'Gaba-Fachwerker'!K24+Revierjäger!K24+Forstwirt!K24+#REF!+'Milchtechnologe-technologin'!K24+Milchw.Laborant!K24+Hauswirtschaft!K24</f>
        <v>#REF!</v>
      </c>
      <c r="L23" s="1056" t="e">
        <f>'A. Ausbildungsverh. Landwirt'!L27+'Fachkraft Agrarservice'!L24+Winzer!L24+'LW-Fachwerker'!L24+Tierwirt!L126+Fischwirt!L24+Pferdewirt!L24+'Pferdewirt (2)'!L24+Gärtner!L135+'Gaba-Fachwerker'!L24+Revierjäger!L24+Forstwirt!L24+#REF!+'Milchtechnologe-technologin'!L24+Milchw.Laborant!L24+Hauswirtschaft!L24</f>
        <v>#REF!</v>
      </c>
      <c r="M23" s="1056" t="e">
        <f>'A. Ausbildungsverh. Landwirt'!M27+'Fachkraft Agrarservice'!M24+Winzer!M24+'LW-Fachwerker'!M24+Tierwirt!M126+Fischwirt!M24+Pferdewirt!M24+'Pferdewirt (2)'!M24+Gärtner!M135+'Gaba-Fachwerker'!M24+Revierjäger!M24+Forstwirt!M24+#REF!+'Milchtechnologe-technologin'!M24+Milchw.Laborant!M24+Hauswirtschaft!M24</f>
        <v>#REF!</v>
      </c>
      <c r="N23" s="1187" t="e">
        <f>'A. Ausbildungsverh. Landwirt'!N27+'Fachkraft Agrarservice'!N24+Winzer!N24+'LW-Fachwerker'!N24+Tierwirt!N126+Fischwirt!N24+Pferdewirt!N24+'Pferdewirt (2)'!N24+Gärtner!N135+'Gaba-Fachwerker'!N24+Revierjäger!N24+Forstwirt!N24+#REF!+'Milchtechnologe-technologin'!N24+Milchw.Laborant!N24+Hauswirtschaft!N24</f>
        <v>#REF!</v>
      </c>
      <c r="O23" s="1056" t="e">
        <f>'A. Ausbildungsverh. Landwirt'!O27+'Fachkraft Agrarservice'!O24+Winzer!O24+'LW-Fachwerker'!O24+Tierwirt!O126+Fischwirt!O24+Pferdewirt!O24+'Pferdewirt (2)'!O24+Gärtner!O135+'Gaba-Fachwerker'!O24+Revierjäger!O24+Forstwirt!O24+#REF!+'Milchtechnologe-technologin'!O24+Milchw.Laborant!O24+Hauswirtschaft!O24</f>
        <v>#REF!</v>
      </c>
      <c r="P23" s="1057" t="e">
        <f>'A. Ausbildungsverh. Landwirt'!P27+'Fachkraft Agrarservice'!P24+Winzer!P24+'LW-Fachwerker'!P24+Tierwirt!P126+Fischwirt!P24+Pferdewirt!P24+'Pferdewirt (2)'!P24+Gärtner!P135+'Gaba-Fachwerker'!P24+Revierjäger!P24+Forstwirt!P24+#REF!+'Milchtechnologe-technologin'!P24+Milchw.Laborant!P24+Hauswirtschaft!P24</f>
        <v>#REF!</v>
      </c>
      <c r="Q23" s="776"/>
      <c r="R23" s="823"/>
      <c r="S23" s="823"/>
      <c r="T23" s="776"/>
      <c r="U23" s="776"/>
      <c r="V23" s="780"/>
      <c r="W23" s="776"/>
      <c r="X23" s="776"/>
      <c r="Y23" s="780"/>
      <c r="Z23" s="776"/>
      <c r="AA23" s="776"/>
      <c r="AB23" s="780"/>
      <c r="AC23" s="817"/>
      <c r="AD23" s="776"/>
      <c r="AE23" s="776"/>
      <c r="AF23" s="780"/>
      <c r="AG23" s="820"/>
    </row>
    <row r="24" spans="1:33" ht="15" customHeight="1">
      <c r="A24" s="592" t="s">
        <v>51</v>
      </c>
      <c r="B24" s="794"/>
      <c r="C24" s="1186" t="e">
        <f>'A. Ausbildungsverh. Landwirt'!C28+'Fachkraft Agrarservice'!C25+Winzer!C25+'LW-Fachwerker'!C25+Tierwirt!C134+Fischwirt!C25+Pferdewirt!C25+'Pferdewirt (2)'!C25+Gärtner!C154+'Gaba-Fachwerker'!C25+Revierjäger!C25+Forstwirt!C25+#REF!+'Milchtechnologe-technologin'!C25+Milchw.Laborant!C25+Hauswirtschaft!C25</f>
        <v>#REF!</v>
      </c>
      <c r="D24" s="1056" t="e">
        <f>'A. Ausbildungsverh. Landwirt'!D28+'Fachkraft Agrarservice'!D25+Winzer!D25+'LW-Fachwerker'!D25+Tierwirt!D134+Fischwirt!D25+Pferdewirt!D25+'Pferdewirt (2)'!D25+Gärtner!D154+'Gaba-Fachwerker'!D25+Revierjäger!D25+Forstwirt!D25+#REF!+'Milchtechnologe-technologin'!D25+Milchw.Laborant!D25+Hauswirtschaft!D25</f>
        <v>#REF!</v>
      </c>
      <c r="E24" s="1056" t="e">
        <f>'A. Ausbildungsverh. Landwirt'!E28+'Fachkraft Agrarservice'!E25+Winzer!E25+'LW-Fachwerker'!E25+Tierwirt!E134+Fischwirt!E25+Pferdewirt!E25+'Pferdewirt (2)'!E25+Gärtner!E154+'Gaba-Fachwerker'!E25+Revierjäger!E25+Forstwirt!E25+#REF!+'Milchtechnologe-technologin'!E25+Milchw.Laborant!E25+Hauswirtschaft!E25</f>
        <v>#REF!</v>
      </c>
      <c r="F24" s="1056" t="e">
        <f>'A. Ausbildungsverh. Landwirt'!F28+'Fachkraft Agrarservice'!F25+Winzer!F25+'LW-Fachwerker'!F25+Tierwirt!F134+Fischwirt!F25+Pferdewirt!F25+'Pferdewirt (2)'!F25+Gärtner!F154+'Gaba-Fachwerker'!F25+Revierjäger!F25+Forstwirt!F25+#REF!+'Milchtechnologe-technologin'!F25+Milchw.Laborant!F25+Hauswirtschaft!F25</f>
        <v>#REF!</v>
      </c>
      <c r="G24" s="1056" t="e">
        <f>'A. Ausbildungsverh. Landwirt'!G28+'Fachkraft Agrarservice'!G25+Winzer!G25+'LW-Fachwerker'!G25+Tierwirt!G134+Fischwirt!G25+Pferdewirt!G25+'Pferdewirt (2)'!G25+Gärtner!G154+'Gaba-Fachwerker'!G25+Revierjäger!G25+Forstwirt!G25+#REF!+'Milchtechnologe-technologin'!G25+Milchw.Laborant!G25+Hauswirtschaft!G25</f>
        <v>#REF!</v>
      </c>
      <c r="H24" s="1056" t="e">
        <f>'A. Ausbildungsverh. Landwirt'!H28+'Fachkraft Agrarservice'!H25+Winzer!H25+'LW-Fachwerker'!H25+Tierwirt!H134+Fischwirt!H25+Pferdewirt!H25+'Pferdewirt (2)'!H25+Gärtner!H154+'Gaba-Fachwerker'!H25+Revierjäger!H25+Forstwirt!H25+#REF!+'Milchtechnologe-technologin'!H25+Milchw.Laborant!H25+Hauswirtschaft!H25</f>
        <v>#REF!</v>
      </c>
      <c r="I24" s="1056" t="e">
        <f>'A. Ausbildungsverh. Landwirt'!I28+'Fachkraft Agrarservice'!I25+Winzer!I25+'LW-Fachwerker'!I25+Tierwirt!I134+Fischwirt!I25+Pferdewirt!I25+'Pferdewirt (2)'!I25+Gärtner!I154+'Gaba-Fachwerker'!I25+Revierjäger!I25+Forstwirt!I25+#REF!+'Milchtechnologe-technologin'!I25+Milchw.Laborant!I25+Hauswirtschaft!I25</f>
        <v>#REF!</v>
      </c>
      <c r="J24" s="1056" t="e">
        <f>'A. Ausbildungsverh. Landwirt'!J28+'Fachkraft Agrarservice'!J25+Winzer!J25+'LW-Fachwerker'!J25+Tierwirt!J134+Fischwirt!J25+Pferdewirt!J25+'Pferdewirt (2)'!J25+Gärtner!J154+'Gaba-Fachwerker'!J25+Revierjäger!J25+Forstwirt!J25+#REF!+'Milchtechnologe-technologin'!J25+Milchw.Laborant!J25+Hauswirtschaft!J25</f>
        <v>#REF!</v>
      </c>
      <c r="K24" s="1186" t="e">
        <f>'A. Ausbildungsverh. Landwirt'!K28+'Fachkraft Agrarservice'!K25+Winzer!K25+'LW-Fachwerker'!K25+Tierwirt!K134+Fischwirt!K25+Pferdewirt!K25+'Pferdewirt (2)'!K25+Gärtner!K154+'Gaba-Fachwerker'!K25+Revierjäger!K25+Forstwirt!K25+#REF!+'Milchtechnologe-technologin'!K25+Milchw.Laborant!K25+Hauswirtschaft!K25</f>
        <v>#REF!</v>
      </c>
      <c r="L24" s="1056" t="e">
        <f>'A. Ausbildungsverh. Landwirt'!L28+'Fachkraft Agrarservice'!L25+Winzer!L25+'LW-Fachwerker'!L25+Tierwirt!L134+Fischwirt!L25+Pferdewirt!L25+'Pferdewirt (2)'!L25+Gärtner!L154+'Gaba-Fachwerker'!L25+Revierjäger!L25+Forstwirt!L25+#REF!+'Milchtechnologe-technologin'!L25+Milchw.Laborant!L25+Hauswirtschaft!L25</f>
        <v>#REF!</v>
      </c>
      <c r="M24" s="1056" t="e">
        <f>'A. Ausbildungsverh. Landwirt'!M28+'Fachkraft Agrarservice'!M25+Winzer!M25+'LW-Fachwerker'!M25+Tierwirt!M134+Fischwirt!M25+Pferdewirt!M25+'Pferdewirt (2)'!M25+Gärtner!M154+'Gaba-Fachwerker'!M25+Revierjäger!M25+Forstwirt!M25+#REF!+'Milchtechnologe-technologin'!M25+Milchw.Laborant!M25+Hauswirtschaft!M25</f>
        <v>#REF!</v>
      </c>
      <c r="N24" s="1187" t="e">
        <f>'A. Ausbildungsverh. Landwirt'!N28+'Fachkraft Agrarservice'!N25+Winzer!N25+'LW-Fachwerker'!N25+Tierwirt!N134+Fischwirt!N25+Pferdewirt!N25+'Pferdewirt (2)'!N25+Gärtner!N154+'Gaba-Fachwerker'!N25+Revierjäger!N25+Forstwirt!N25+#REF!+'Milchtechnologe-technologin'!N25+Milchw.Laborant!N25+Hauswirtschaft!N25</f>
        <v>#REF!</v>
      </c>
      <c r="O24" s="1056" t="e">
        <f>'A. Ausbildungsverh. Landwirt'!O28+'Fachkraft Agrarservice'!O25+Winzer!O25+'LW-Fachwerker'!O25+Tierwirt!O134+Fischwirt!O25+Pferdewirt!O25+'Pferdewirt (2)'!O25+Gärtner!O154+'Gaba-Fachwerker'!O25+Revierjäger!O25+Forstwirt!O25+#REF!+'Milchtechnologe-technologin'!O25+Milchw.Laborant!O25+Hauswirtschaft!O25</f>
        <v>#REF!</v>
      </c>
      <c r="P24" s="1058" t="e">
        <f>'A. Ausbildungsverh. Landwirt'!P28+'Fachkraft Agrarservice'!P25+Winzer!P25+'LW-Fachwerker'!P25+Tierwirt!P134+Fischwirt!P25+Pferdewirt!P25+'Pferdewirt (2)'!P25+Gärtner!P154+'Gaba-Fachwerker'!P25+Revierjäger!P25+Forstwirt!P25+#REF!+'Milchtechnologe-technologin'!P25+Milchw.Laborant!P25+Hauswirtschaft!P25</f>
        <v>#REF!</v>
      </c>
    </row>
    <row r="25" spans="1:33" ht="15" customHeight="1">
      <c r="A25" s="592" t="s">
        <v>56</v>
      </c>
      <c r="B25" s="794"/>
      <c r="C25" s="1186" t="e">
        <f>'A. Ausbildungsverh. Landwirt'!C29+'Fachkraft Agrarservice'!C26+Winzer!C26+'LW-Fachwerker'!C26+Tierwirt!C142+Fischwirt!C26+Pferdewirt!C26+'Pferdewirt (2)'!C26+Gärtner!C163+'Gaba-Fachwerker'!C26+Revierjäger!C26+Forstwirt!C26+#REF!+'Milchtechnologe-technologin'!C26+Milchw.Laborant!C26+Hauswirtschaft!C26</f>
        <v>#REF!</v>
      </c>
      <c r="D25" s="1056" t="e">
        <f>'A. Ausbildungsverh. Landwirt'!D29+'Fachkraft Agrarservice'!D26+Winzer!D26+'LW-Fachwerker'!D26+Tierwirt!D142+Fischwirt!D26+Pferdewirt!D26+'Pferdewirt (2)'!D26+Gärtner!D163+'Gaba-Fachwerker'!D26+Revierjäger!D26+Forstwirt!D26+#REF!+'Milchtechnologe-technologin'!D26+Milchw.Laborant!D26+Hauswirtschaft!D26</f>
        <v>#REF!</v>
      </c>
      <c r="E25" s="1056" t="e">
        <f>'A. Ausbildungsverh. Landwirt'!E29+'Fachkraft Agrarservice'!E26+Winzer!E26+'LW-Fachwerker'!E26+Tierwirt!E142+Fischwirt!E26+Pferdewirt!E26+'Pferdewirt (2)'!E26+Gärtner!E163+'Gaba-Fachwerker'!E26+Revierjäger!E26+Forstwirt!E26+#REF!+'Milchtechnologe-technologin'!E26+Milchw.Laborant!E26+Hauswirtschaft!E26</f>
        <v>#REF!</v>
      </c>
      <c r="F25" s="1056" t="e">
        <f>'A. Ausbildungsverh. Landwirt'!F29+'Fachkraft Agrarservice'!F26+Winzer!F26+'LW-Fachwerker'!F26+Tierwirt!F142+Fischwirt!F26+Pferdewirt!F26+'Pferdewirt (2)'!F26+Gärtner!F163+'Gaba-Fachwerker'!F26+Revierjäger!F26+Forstwirt!F26+#REF!+'Milchtechnologe-technologin'!F26+Milchw.Laborant!F26+Hauswirtschaft!F26</f>
        <v>#REF!</v>
      </c>
      <c r="G25" s="1056" t="e">
        <f>'A. Ausbildungsverh. Landwirt'!G29+'Fachkraft Agrarservice'!G26+Winzer!G26+'LW-Fachwerker'!G26+Tierwirt!G142+Fischwirt!G26+Pferdewirt!G26+'Pferdewirt (2)'!G26+Gärtner!G163+'Gaba-Fachwerker'!G26+Revierjäger!G26+Forstwirt!G26+#REF!+'Milchtechnologe-technologin'!G26+Milchw.Laborant!G26+Hauswirtschaft!G26</f>
        <v>#REF!</v>
      </c>
      <c r="H25" s="1056" t="e">
        <f>'A. Ausbildungsverh. Landwirt'!H29+'Fachkraft Agrarservice'!H26+Winzer!H26+'LW-Fachwerker'!H26+Tierwirt!H142+Fischwirt!H26+Pferdewirt!H26+'Pferdewirt (2)'!H26+Gärtner!H163+'Gaba-Fachwerker'!H26+Revierjäger!H26+Forstwirt!H26+#REF!+'Milchtechnologe-technologin'!H26+Milchw.Laborant!H26+Hauswirtschaft!H26</f>
        <v>#REF!</v>
      </c>
      <c r="I25" s="1056" t="e">
        <f>'A. Ausbildungsverh. Landwirt'!I29+'Fachkraft Agrarservice'!I26+Winzer!I26+'LW-Fachwerker'!I26+Tierwirt!I142+Fischwirt!I26+Pferdewirt!I26+'Pferdewirt (2)'!I26+Gärtner!I163+'Gaba-Fachwerker'!I26+Revierjäger!I26+Forstwirt!I26+#REF!+'Milchtechnologe-technologin'!I26+Milchw.Laborant!I26+Hauswirtschaft!I26</f>
        <v>#REF!</v>
      </c>
      <c r="J25" s="1056" t="e">
        <f>'A. Ausbildungsverh. Landwirt'!J29+'Fachkraft Agrarservice'!J26+Winzer!J26+'LW-Fachwerker'!J26+Tierwirt!J142+Fischwirt!J26+Pferdewirt!J26+'Pferdewirt (2)'!J26+Gärtner!J163+'Gaba-Fachwerker'!J26+Revierjäger!J26+Forstwirt!J26+#REF!+'Milchtechnologe-technologin'!J26+Milchw.Laborant!J26+Hauswirtschaft!J26</f>
        <v>#REF!</v>
      </c>
      <c r="K25" s="1186" t="e">
        <f>'A. Ausbildungsverh. Landwirt'!K29+'Fachkraft Agrarservice'!K26+Winzer!K26+'LW-Fachwerker'!K26+Tierwirt!K142+Fischwirt!K26+Pferdewirt!K26+'Pferdewirt (2)'!K26+Gärtner!K163+'Gaba-Fachwerker'!K26+Revierjäger!K26+Forstwirt!K26+#REF!+'Milchtechnologe-technologin'!K26+Milchw.Laborant!K26+Hauswirtschaft!K26</f>
        <v>#REF!</v>
      </c>
      <c r="L25" s="1056" t="e">
        <f>'A. Ausbildungsverh. Landwirt'!L29+'Fachkraft Agrarservice'!L26+Winzer!L26+'LW-Fachwerker'!L26+Tierwirt!L142+Fischwirt!L26+Pferdewirt!L26+'Pferdewirt (2)'!L26+Gärtner!L163+'Gaba-Fachwerker'!L26+Revierjäger!L26+Forstwirt!L26+#REF!+'Milchtechnologe-technologin'!L26+Milchw.Laborant!L26+Hauswirtschaft!L26</f>
        <v>#REF!</v>
      </c>
      <c r="M25" s="1056" t="e">
        <f>'A. Ausbildungsverh. Landwirt'!M29+'Fachkraft Agrarservice'!M26+Winzer!M26+'LW-Fachwerker'!M26+Tierwirt!M142+Fischwirt!M26+Pferdewirt!M26+'Pferdewirt (2)'!M26+Gärtner!M163+'Gaba-Fachwerker'!M26+Revierjäger!M26+Forstwirt!M26+#REF!+'Milchtechnologe-technologin'!M26+Milchw.Laborant!M26+Hauswirtschaft!M26</f>
        <v>#REF!</v>
      </c>
      <c r="N25" s="1187" t="e">
        <f>'A. Ausbildungsverh. Landwirt'!N29+'Fachkraft Agrarservice'!N26+Winzer!N26+'LW-Fachwerker'!N26+Tierwirt!N142+Fischwirt!N26+Pferdewirt!N26+'Pferdewirt (2)'!N26+Gärtner!N163+'Gaba-Fachwerker'!N26+Revierjäger!N26+Forstwirt!N26+#REF!+'Milchtechnologe-technologin'!N26+Milchw.Laborant!N26+Hauswirtschaft!N26</f>
        <v>#REF!</v>
      </c>
      <c r="O25" s="1056" t="e">
        <f>'A. Ausbildungsverh. Landwirt'!O29+'Fachkraft Agrarservice'!O26+Winzer!O26+'LW-Fachwerker'!O26+Tierwirt!O142+Fischwirt!O26+Pferdewirt!O26+'Pferdewirt (2)'!O26+Gärtner!O163+'Gaba-Fachwerker'!O26+Revierjäger!O26+Forstwirt!O26+#REF!+'Milchtechnologe-technologin'!O26+Milchw.Laborant!O26+Hauswirtschaft!O26</f>
        <v>#REF!</v>
      </c>
      <c r="P25" s="1057" t="e">
        <f>'A. Ausbildungsverh. Landwirt'!P29+'Fachkraft Agrarservice'!P26+Winzer!P26+'LW-Fachwerker'!P26+Tierwirt!P142+Fischwirt!P26+Pferdewirt!P26+'Pferdewirt (2)'!P26+Gärtner!P163+'Gaba-Fachwerker'!P26+Revierjäger!P26+Forstwirt!P26+#REF!+'Milchtechnologe-technologin'!P26+Milchw.Laborant!P26+Hauswirtschaft!P26</f>
        <v>#REF!</v>
      </c>
    </row>
    <row r="26" spans="1:33" ht="15" customHeight="1">
      <c r="A26" s="592" t="s">
        <v>57</v>
      </c>
      <c r="B26" s="821"/>
      <c r="C26" s="1186" t="e">
        <f>'A. Ausbildungsverh. Landwirt'!C30+'Fachkraft Agrarservice'!C27+Winzer!C27+'LW-Fachwerker'!C27+Tierwirt!C150+Fischwirt!C27+Pferdewirt!C27+'Pferdewirt (2)'!C27+Gärtner!C172+'Gaba-Fachwerker'!C27+Revierjäger!C27+Forstwirt!C27+#REF!+'Milchtechnologe-technologin'!C27+Milchw.Laborant!C27+Hauswirtschaft!C27</f>
        <v>#REF!</v>
      </c>
      <c r="D26" s="1056" t="e">
        <f>'A. Ausbildungsverh. Landwirt'!D30+'Fachkraft Agrarservice'!D27+Winzer!D27+'LW-Fachwerker'!D27+Tierwirt!D150+Fischwirt!D27+Pferdewirt!D27+'Pferdewirt (2)'!D27+Gärtner!D172+'Gaba-Fachwerker'!D27+Revierjäger!D27+Forstwirt!D27+#REF!+'Milchtechnologe-technologin'!D27+Milchw.Laborant!D27+Hauswirtschaft!D27</f>
        <v>#REF!</v>
      </c>
      <c r="E26" s="1056" t="e">
        <f>'A. Ausbildungsverh. Landwirt'!E30+'Fachkraft Agrarservice'!E27+Winzer!E27+'LW-Fachwerker'!E27+Tierwirt!E150+Fischwirt!E27+Pferdewirt!E27+'Pferdewirt (2)'!E27+Gärtner!E172+'Gaba-Fachwerker'!E27+Revierjäger!E27+Forstwirt!E27+#REF!+'Milchtechnologe-technologin'!E27+Milchw.Laborant!E27+Hauswirtschaft!E27</f>
        <v>#REF!</v>
      </c>
      <c r="F26" s="1056" t="e">
        <f>'A. Ausbildungsverh. Landwirt'!F30+'Fachkraft Agrarservice'!F27+Winzer!F27+'LW-Fachwerker'!F27+Tierwirt!F150+Fischwirt!F27+Pferdewirt!F27+'Pferdewirt (2)'!F27+Gärtner!F172+'Gaba-Fachwerker'!F27+Revierjäger!F27+Forstwirt!F27+#REF!+'Milchtechnologe-technologin'!F27+Milchw.Laborant!F27+Hauswirtschaft!F27</f>
        <v>#REF!</v>
      </c>
      <c r="G26" s="1056" t="e">
        <f>'A. Ausbildungsverh. Landwirt'!G30+'Fachkraft Agrarservice'!G27+Winzer!G27+'LW-Fachwerker'!G27+Tierwirt!G150+Fischwirt!G27+Pferdewirt!G27+'Pferdewirt (2)'!G27+Gärtner!G172+'Gaba-Fachwerker'!G27+Revierjäger!G27+Forstwirt!G27+#REF!+'Milchtechnologe-technologin'!G27+Milchw.Laborant!G27+Hauswirtschaft!G27</f>
        <v>#REF!</v>
      </c>
      <c r="H26" s="1056" t="e">
        <f>'A. Ausbildungsverh. Landwirt'!H30+'Fachkraft Agrarservice'!H27+Winzer!H27+'LW-Fachwerker'!H27+Tierwirt!H150+Fischwirt!H27+Pferdewirt!H27+'Pferdewirt (2)'!H27+Gärtner!H172+'Gaba-Fachwerker'!H27+Revierjäger!H27+Forstwirt!H27+#REF!+'Milchtechnologe-technologin'!H27+Milchw.Laborant!H27+Hauswirtschaft!H27</f>
        <v>#REF!</v>
      </c>
      <c r="I26" s="1056" t="e">
        <f>'A. Ausbildungsverh. Landwirt'!I30+'Fachkraft Agrarservice'!I27+Winzer!I27+'LW-Fachwerker'!I27+Tierwirt!I150+Fischwirt!I27+Pferdewirt!I27+'Pferdewirt (2)'!I27+Gärtner!I172+'Gaba-Fachwerker'!I27+Revierjäger!I27+Forstwirt!I27+#REF!+'Milchtechnologe-technologin'!I27+Milchw.Laborant!I27+Hauswirtschaft!I27</f>
        <v>#REF!</v>
      </c>
      <c r="J26" s="1056" t="e">
        <f>'A. Ausbildungsverh. Landwirt'!J30+'Fachkraft Agrarservice'!J27+Winzer!J27+'LW-Fachwerker'!J27+Tierwirt!J150+Fischwirt!J27+Pferdewirt!J27+'Pferdewirt (2)'!J27+Gärtner!J172+'Gaba-Fachwerker'!J27+Revierjäger!J27+Forstwirt!J27+#REF!+'Milchtechnologe-technologin'!J27+Milchw.Laborant!J27+Hauswirtschaft!J27</f>
        <v>#REF!</v>
      </c>
      <c r="K26" s="1186" t="e">
        <f>'A. Ausbildungsverh. Landwirt'!K30+'Fachkraft Agrarservice'!K27+Winzer!K27+'LW-Fachwerker'!K27+Tierwirt!K150+Fischwirt!K27+Pferdewirt!K27+'Pferdewirt (2)'!K27+Gärtner!K172+'Gaba-Fachwerker'!K27+Revierjäger!K27+Forstwirt!K27+#REF!+'Milchtechnologe-technologin'!K27+Milchw.Laborant!K27+Hauswirtschaft!K27</f>
        <v>#REF!</v>
      </c>
      <c r="L26" s="1056" t="e">
        <f>'A. Ausbildungsverh. Landwirt'!L30+'Fachkraft Agrarservice'!L27+Winzer!L27+'LW-Fachwerker'!L27+Tierwirt!L150+Fischwirt!L27+Pferdewirt!L27+'Pferdewirt (2)'!L27+Gärtner!L172+'Gaba-Fachwerker'!L27+Revierjäger!L27+Forstwirt!L27+#REF!+'Milchtechnologe-technologin'!L27+Milchw.Laborant!L27+Hauswirtschaft!L27</f>
        <v>#REF!</v>
      </c>
      <c r="M26" s="1056" t="e">
        <f>'A. Ausbildungsverh. Landwirt'!M30+'Fachkraft Agrarservice'!M27+Winzer!M27+'LW-Fachwerker'!M27+Tierwirt!M150+Fischwirt!M27+Pferdewirt!M27+'Pferdewirt (2)'!M27+Gärtner!M172+'Gaba-Fachwerker'!M27+Revierjäger!M27+Forstwirt!M27+#REF!+'Milchtechnologe-technologin'!M27+Milchw.Laborant!M27+Hauswirtschaft!M27</f>
        <v>#REF!</v>
      </c>
      <c r="N26" s="1187" t="e">
        <f>'A. Ausbildungsverh. Landwirt'!N30+'Fachkraft Agrarservice'!N27+Winzer!N27+'LW-Fachwerker'!N27+Tierwirt!N150+Fischwirt!N27+Pferdewirt!N27+'Pferdewirt (2)'!N27+Gärtner!N172+'Gaba-Fachwerker'!N27+Revierjäger!N27+Forstwirt!N27+#REF!+'Milchtechnologe-technologin'!N27+Milchw.Laborant!N27+Hauswirtschaft!N27</f>
        <v>#REF!</v>
      </c>
      <c r="O26" s="1056" t="e">
        <f>'A. Ausbildungsverh. Landwirt'!O30+'Fachkraft Agrarservice'!O27+Winzer!O27+'LW-Fachwerker'!O27+Tierwirt!O150+Fischwirt!O27+Pferdewirt!O27+'Pferdewirt (2)'!O27+Gärtner!O172+'Gaba-Fachwerker'!O27+Revierjäger!O27+Forstwirt!O27+#REF!+'Milchtechnologe-technologin'!O27+Milchw.Laborant!O27+Hauswirtschaft!O27</f>
        <v>#REF!</v>
      </c>
      <c r="P26" s="1057" t="e">
        <f>'A. Ausbildungsverh. Landwirt'!P30+'Fachkraft Agrarservice'!P27+Winzer!P27+'LW-Fachwerker'!P27+Tierwirt!P150+Fischwirt!P27+Pferdewirt!P27+'Pferdewirt (2)'!P27+Gärtner!P172+'Gaba-Fachwerker'!P27+Revierjäger!P27+Forstwirt!P27+#REF!+'Milchtechnologe-technologin'!P27+Milchw.Laborant!P27+Hauswirtschaft!P27</f>
        <v>#REF!</v>
      </c>
    </row>
    <row r="27" spans="1:33" s="824" customFormat="1" ht="15" customHeight="1">
      <c r="A27" s="592" t="s">
        <v>59</v>
      </c>
      <c r="B27" s="767"/>
      <c r="C27" s="1187" t="e">
        <f>'A. Ausbildungsverh. Landwirt'!C31+'Fachkraft Agrarservice'!C28+Winzer!C28+'LW-Fachwerker'!C28+Tierwirt!C170+Fischwirt!C28+Pferdewirt!C28+'Pferdewirt (2)'!C28+Gärtner!C181+'Gaba-Fachwerker'!C28+Revierjäger!C28+Forstwirt!C28+#REF!+'Milchtechnologe-technologin'!C28+Milchw.Laborant!C28+Hauswirtschaft!C28</f>
        <v>#REF!</v>
      </c>
      <c r="D27" s="1056" t="e">
        <f>'A. Ausbildungsverh. Landwirt'!D31+'Fachkraft Agrarservice'!D28+Winzer!D28+'LW-Fachwerker'!D28+Tierwirt!D170+Fischwirt!D28+Pferdewirt!D28+'Pferdewirt (2)'!D28+Gärtner!D181+'Gaba-Fachwerker'!D28+Revierjäger!D28+Forstwirt!D28+#REF!+'Milchtechnologe-technologin'!D28+Milchw.Laborant!D28+Hauswirtschaft!D28</f>
        <v>#REF!</v>
      </c>
      <c r="E27" s="1056" t="e">
        <f>'A. Ausbildungsverh. Landwirt'!E31+'Fachkraft Agrarservice'!E28+Winzer!E28+'LW-Fachwerker'!E28+Tierwirt!E170+Fischwirt!E28+Pferdewirt!E28+'Pferdewirt (2)'!E28+Gärtner!E181+'Gaba-Fachwerker'!E28+Revierjäger!E28+Forstwirt!E28+#REF!+'Milchtechnologe-technologin'!E28+Milchw.Laborant!E28+Hauswirtschaft!E28</f>
        <v>#REF!</v>
      </c>
      <c r="F27" s="1056" t="e">
        <f>'A. Ausbildungsverh. Landwirt'!F31+'Fachkraft Agrarservice'!F28+Winzer!F28+'LW-Fachwerker'!F28+Tierwirt!F170+Fischwirt!F28+Pferdewirt!F28+'Pferdewirt (2)'!F28+Gärtner!F181+'Gaba-Fachwerker'!F28+Revierjäger!F28+Forstwirt!F28+#REF!+'Milchtechnologe-technologin'!F28+Milchw.Laborant!F28+Hauswirtschaft!F28</f>
        <v>#REF!</v>
      </c>
      <c r="G27" s="1056" t="e">
        <f>'A. Ausbildungsverh. Landwirt'!G31+'Fachkraft Agrarservice'!G28+Winzer!G28+'LW-Fachwerker'!G28+Tierwirt!G170+Fischwirt!G28+Pferdewirt!G28+'Pferdewirt (2)'!G28+Gärtner!G181+'Gaba-Fachwerker'!G28+Revierjäger!G28+Forstwirt!G28+#REF!+'Milchtechnologe-technologin'!G28+Milchw.Laborant!G28+Hauswirtschaft!G28</f>
        <v>#REF!</v>
      </c>
      <c r="H27" s="1056" t="e">
        <f>'A. Ausbildungsverh. Landwirt'!H31+'Fachkraft Agrarservice'!H28+Winzer!H28+'LW-Fachwerker'!H28+Tierwirt!H170+Fischwirt!H28+Pferdewirt!H28+'Pferdewirt (2)'!H28+Gärtner!H181+'Gaba-Fachwerker'!H28+Revierjäger!H28+Forstwirt!H28+#REF!+'Milchtechnologe-technologin'!H28+Milchw.Laborant!H28+Hauswirtschaft!H28</f>
        <v>#REF!</v>
      </c>
      <c r="I27" s="1056" t="e">
        <f>'A. Ausbildungsverh. Landwirt'!I31+'Fachkraft Agrarservice'!I28+Winzer!I28+'LW-Fachwerker'!I28+Tierwirt!I170+Fischwirt!I28+Pferdewirt!I28+'Pferdewirt (2)'!I28+Gärtner!I181+'Gaba-Fachwerker'!I28+Revierjäger!I28+Forstwirt!I28+#REF!+'Milchtechnologe-technologin'!I28+Milchw.Laborant!I28+Hauswirtschaft!I28</f>
        <v>#REF!</v>
      </c>
      <c r="J27" s="1056" t="e">
        <f>'A. Ausbildungsverh. Landwirt'!J31+'Fachkraft Agrarservice'!J28+Winzer!J28+'LW-Fachwerker'!J28+Tierwirt!J170+Fischwirt!J28+Pferdewirt!J28+'Pferdewirt (2)'!J28+Gärtner!J181+'Gaba-Fachwerker'!J28+Revierjäger!J28+Forstwirt!J28+#REF!+'Milchtechnologe-technologin'!J28+Milchw.Laborant!J28+Hauswirtschaft!J28</f>
        <v>#REF!</v>
      </c>
      <c r="K27" s="1186" t="e">
        <f>'A. Ausbildungsverh. Landwirt'!K31+'Fachkraft Agrarservice'!K28+Winzer!K28+'LW-Fachwerker'!K28+Tierwirt!K170+Fischwirt!K28+Pferdewirt!K28+'Pferdewirt (2)'!K28+Gärtner!K181+'Gaba-Fachwerker'!K28+Revierjäger!K28+Forstwirt!K28+#REF!+'Milchtechnologe-technologin'!K28+Milchw.Laborant!K28+Hauswirtschaft!K28</f>
        <v>#REF!</v>
      </c>
      <c r="L27" s="1056" t="e">
        <f>'A. Ausbildungsverh. Landwirt'!L31+'Fachkraft Agrarservice'!L28+Winzer!L28+'LW-Fachwerker'!L28+Tierwirt!L170+Fischwirt!L28+Pferdewirt!L28+'Pferdewirt (2)'!L28+Gärtner!L181+'Gaba-Fachwerker'!L28+Revierjäger!L28+Forstwirt!L28+#REF!+'Milchtechnologe-technologin'!L28+Milchw.Laborant!L28+Hauswirtschaft!L28</f>
        <v>#REF!</v>
      </c>
      <c r="M27" s="1056" t="e">
        <f>'A. Ausbildungsverh. Landwirt'!M31+'Fachkraft Agrarservice'!M28+Winzer!M28+'LW-Fachwerker'!M28+Tierwirt!M170+Fischwirt!M28+Pferdewirt!M28+'Pferdewirt (2)'!M28+Gärtner!M181+'Gaba-Fachwerker'!M28+Revierjäger!M28+Forstwirt!M28+#REF!+'Milchtechnologe-technologin'!M28+Milchw.Laborant!M28+Hauswirtschaft!M28</f>
        <v>#REF!</v>
      </c>
      <c r="N27" s="1186" t="e">
        <f>'A. Ausbildungsverh. Landwirt'!N31+'Fachkraft Agrarservice'!N28+Winzer!N28+'LW-Fachwerker'!N28+Tierwirt!N170+Fischwirt!N28+Pferdewirt!N28+'Pferdewirt (2)'!N28+Gärtner!N181+'Gaba-Fachwerker'!N28+Revierjäger!N28+Forstwirt!N28+#REF!+'Milchtechnologe-technologin'!N28+Milchw.Laborant!N28+Hauswirtschaft!N28</f>
        <v>#REF!</v>
      </c>
      <c r="O27" s="1056" t="e">
        <f>'A. Ausbildungsverh. Landwirt'!O31+'Fachkraft Agrarservice'!O28+Winzer!O28+'LW-Fachwerker'!O28+Tierwirt!O170+Fischwirt!O28+Pferdewirt!O28+'Pferdewirt (2)'!O28+Gärtner!O181+'Gaba-Fachwerker'!O28+Revierjäger!O28+Forstwirt!O28+#REF!+'Milchtechnologe-technologin'!O28+Milchw.Laborant!O28+Hauswirtschaft!O28</f>
        <v>#REF!</v>
      </c>
      <c r="P27" s="1057" t="e">
        <f>'A. Ausbildungsverh. Landwirt'!P31+'Fachkraft Agrarservice'!P28+Winzer!P28+'LW-Fachwerker'!P28+Tierwirt!P170+Fischwirt!P28+Pferdewirt!P28+'Pferdewirt (2)'!P28+Gärtner!P181+'Gaba-Fachwerker'!P28+Revierjäger!P28+Forstwirt!P28+#REF!+'Milchtechnologe-technologin'!P28+Milchw.Laborant!P28+Hauswirtschaft!P28</f>
        <v>#REF!</v>
      </c>
    </row>
    <row r="28" spans="1:33" s="776" customFormat="1" ht="4.5" customHeight="1">
      <c r="A28" s="825"/>
      <c r="B28" s="742"/>
      <c r="C28" s="1188"/>
      <c r="D28" s="1189"/>
      <c r="E28" s="1188"/>
      <c r="F28" s="1188"/>
      <c r="G28" s="1188"/>
      <c r="H28" s="1188"/>
      <c r="I28" s="1190"/>
      <c r="J28" s="826"/>
      <c r="K28" s="827"/>
      <c r="L28" s="828"/>
      <c r="M28" s="827"/>
      <c r="N28" s="1027"/>
      <c r="O28" s="828"/>
      <c r="P28" s="1191"/>
    </row>
    <row r="29" spans="1:33" s="831" customFormat="1" ht="20.149999999999999" customHeight="1" thickBot="1">
      <c r="A29" s="611" t="s">
        <v>60</v>
      </c>
      <c r="B29" s="829"/>
      <c r="C29" s="830" t="e">
        <f t="shared" ref="C29:P29" si="0">SUM(C12:C27)</f>
        <v>#REF!</v>
      </c>
      <c r="D29" s="830" t="e">
        <f t="shared" si="0"/>
        <v>#REF!</v>
      </c>
      <c r="E29" s="830" t="e">
        <f t="shared" si="0"/>
        <v>#REF!</v>
      </c>
      <c r="F29" s="830" t="e">
        <f t="shared" si="0"/>
        <v>#REF!</v>
      </c>
      <c r="G29" s="830" t="e">
        <f t="shared" si="0"/>
        <v>#REF!</v>
      </c>
      <c r="H29" s="830" t="e">
        <f t="shared" si="0"/>
        <v>#REF!</v>
      </c>
      <c r="I29" s="830" t="e">
        <f t="shared" si="0"/>
        <v>#REF!</v>
      </c>
      <c r="J29" s="830" t="e">
        <f t="shared" si="0"/>
        <v>#REF!</v>
      </c>
      <c r="K29" s="830" t="e">
        <f t="shared" si="0"/>
        <v>#REF!</v>
      </c>
      <c r="L29" s="830" t="e">
        <f t="shared" si="0"/>
        <v>#REF!</v>
      </c>
      <c r="M29" s="830" t="e">
        <f t="shared" si="0"/>
        <v>#REF!</v>
      </c>
      <c r="N29" s="830" t="e">
        <f t="shared" si="0"/>
        <v>#REF!</v>
      </c>
      <c r="O29" s="830" t="e">
        <f t="shared" si="0"/>
        <v>#REF!</v>
      </c>
      <c r="P29" s="1028" t="e">
        <f t="shared" si="0"/>
        <v>#REF!</v>
      </c>
    </row>
    <row r="30" spans="1:33" s="831" customFormat="1" ht="3.65" customHeight="1">
      <c r="A30" s="767"/>
      <c r="B30" s="767"/>
      <c r="C30" s="832"/>
      <c r="D30" s="833"/>
      <c r="E30" s="832"/>
      <c r="F30" s="833"/>
      <c r="G30" s="832"/>
      <c r="H30" s="832"/>
      <c r="I30" s="832"/>
      <c r="J30" s="834"/>
      <c r="K30" s="835"/>
      <c r="L30" s="835"/>
      <c r="M30" s="835"/>
      <c r="N30" s="836"/>
      <c r="O30" s="835"/>
      <c r="P30" s="835"/>
    </row>
    <row r="31" spans="1:33" s="831" customFormat="1" ht="12" customHeight="1">
      <c r="A31" s="388" t="s">
        <v>302</v>
      </c>
      <c r="B31" s="767"/>
      <c r="C31" s="832"/>
      <c r="D31" s="833"/>
      <c r="E31" s="832"/>
      <c r="F31" s="833"/>
      <c r="G31" s="832"/>
      <c r="H31" s="832"/>
      <c r="I31" s="832"/>
      <c r="J31" s="834"/>
      <c r="K31" s="835"/>
      <c r="L31" s="835"/>
      <c r="M31" s="835"/>
      <c r="N31" s="836"/>
      <c r="O31" s="835"/>
      <c r="P31" s="835"/>
    </row>
    <row r="32" spans="1:33" s="831" customFormat="1" ht="12" customHeight="1">
      <c r="A32" s="70" t="s">
        <v>343</v>
      </c>
      <c r="B32" s="388"/>
      <c r="C32" s="832"/>
      <c r="D32" s="833"/>
      <c r="E32" s="832"/>
      <c r="F32" s="833"/>
      <c r="G32" s="832"/>
      <c r="H32" s="832"/>
      <c r="I32" s="832"/>
      <c r="J32" s="834"/>
      <c r="K32" s="835"/>
      <c r="L32" s="835"/>
      <c r="M32" s="835"/>
      <c r="N32" s="836"/>
      <c r="O32" s="835"/>
      <c r="P32" s="835"/>
    </row>
    <row r="33" spans="1:16" s="824" customFormat="1" ht="12" customHeight="1">
      <c r="A33" s="608" t="s">
        <v>344</v>
      </c>
      <c r="B33" s="608"/>
      <c r="C33" s="837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</row>
    <row r="34" spans="1:16" s="831" customFormat="1">
      <c r="E34" s="838"/>
      <c r="G34" s="839"/>
      <c r="M34" s="838"/>
    </row>
    <row r="35" spans="1:16">
      <c r="C35" s="740"/>
    </row>
    <row r="36" spans="1:16">
      <c r="C36" s="841"/>
      <c r="D36" s="841"/>
      <c r="E36" s="841"/>
      <c r="F36" s="841"/>
      <c r="G36" s="841"/>
      <c r="H36" s="841"/>
      <c r="I36" s="841"/>
      <c r="J36" s="841"/>
      <c r="K36" s="841"/>
      <c r="L36" s="841"/>
      <c r="M36" s="841"/>
      <c r="N36" s="841"/>
      <c r="O36" s="841"/>
      <c r="P36" s="841"/>
    </row>
  </sheetData>
  <mergeCells count="7">
    <mergeCell ref="A4:P4"/>
    <mergeCell ref="A6:B11"/>
    <mergeCell ref="C6:H6"/>
    <mergeCell ref="K6:P6"/>
    <mergeCell ref="A2:D2"/>
    <mergeCell ref="N7:P7"/>
    <mergeCell ref="N8:P8"/>
  </mergeCells>
  <printOptions horizontalCentered="1"/>
  <pageMargins left="0.19685039370078741" right="0.19685039370078741" top="0.82677165354330717" bottom="0.70866141732283472" header="0.62992125984251968" footer="0.51181102362204722"/>
  <pageSetup paperSize="9" scale="95" orientation="landscape" r:id="rId1"/>
  <headerFooter alignWithMargins="0">
    <oddHeader>&amp;C&amp;"Arial,Standard"&amp;8- 35 -
&amp;"Times New Roman,Standard"&amp;11
&amp;R&amp;8&amp;D</oddHeader>
    <oddFooter>&amp;R&amp;14...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92D050"/>
  </sheetPr>
  <dimension ref="A1:D751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9.15234375" style="1392" bestFit="1" customWidth="1"/>
    <col min="2" max="2" width="19.53515625" style="1392" bestFit="1" customWidth="1"/>
    <col min="3" max="3" width="14.69140625" style="1393" customWidth="1"/>
    <col min="4" max="4" width="18.15234375" style="1392" customWidth="1"/>
    <col min="5" max="14" width="14.69140625" customWidth="1"/>
  </cols>
  <sheetData>
    <row r="1" spans="1:4" ht="18">
      <c r="A1" s="1404" t="s">
        <v>439</v>
      </c>
      <c r="B1" s="1394"/>
      <c r="C1" s="1394"/>
      <c r="D1" s="1394"/>
    </row>
    <row r="2" spans="1:4">
      <c r="A2" s="1408" t="s">
        <v>408</v>
      </c>
      <c r="B2" s="1408" t="s">
        <v>460</v>
      </c>
      <c r="C2" s="1408" t="s">
        <v>118</v>
      </c>
      <c r="D2" s="1500" t="s">
        <v>451</v>
      </c>
    </row>
    <row r="3" spans="1:4">
      <c r="A3" s="1426" t="s">
        <v>340</v>
      </c>
      <c r="B3" s="1426" t="s">
        <v>404</v>
      </c>
      <c r="C3" s="1426" t="s">
        <v>712</v>
      </c>
      <c r="D3" s="1431">
        <v>34</v>
      </c>
    </row>
    <row r="4" spans="1:4">
      <c r="A4" s="1426" t="s">
        <v>340</v>
      </c>
      <c r="B4" s="1426" t="s">
        <v>404</v>
      </c>
      <c r="C4" s="1426" t="s">
        <v>711</v>
      </c>
      <c r="D4" s="1431">
        <v>40</v>
      </c>
    </row>
    <row r="5" spans="1:4">
      <c r="A5" s="1426" t="s">
        <v>340</v>
      </c>
      <c r="B5" s="1426" t="s">
        <v>404</v>
      </c>
      <c r="C5" s="1426" t="s">
        <v>710</v>
      </c>
      <c r="D5" s="1431">
        <v>29</v>
      </c>
    </row>
    <row r="6" spans="1:4">
      <c r="A6" s="1426" t="s">
        <v>340</v>
      </c>
      <c r="B6" s="1426" t="s">
        <v>404</v>
      </c>
      <c r="C6" s="1426" t="s">
        <v>709</v>
      </c>
      <c r="D6" s="1431">
        <v>35</v>
      </c>
    </row>
    <row r="7" spans="1:4">
      <c r="A7" s="1426" t="s">
        <v>340</v>
      </c>
      <c r="B7" s="1426" t="s">
        <v>404</v>
      </c>
      <c r="C7" s="1426" t="s">
        <v>708</v>
      </c>
      <c r="D7" s="1431">
        <v>41</v>
      </c>
    </row>
    <row r="8" spans="1:4">
      <c r="A8" s="1426" t="s">
        <v>340</v>
      </c>
      <c r="B8" s="1426" t="s">
        <v>404</v>
      </c>
      <c r="C8" s="1426" t="s">
        <v>707</v>
      </c>
      <c r="D8" s="1431">
        <v>40</v>
      </c>
    </row>
    <row r="9" spans="1:4">
      <c r="A9" s="1426" t="s">
        <v>340</v>
      </c>
      <c r="B9" s="1426" t="s">
        <v>404</v>
      </c>
      <c r="C9" s="1426" t="s">
        <v>706</v>
      </c>
      <c r="D9" s="1431">
        <v>33</v>
      </c>
    </row>
    <row r="10" spans="1:4">
      <c r="A10" s="1426" t="s">
        <v>340</v>
      </c>
      <c r="B10" s="1426" t="s">
        <v>404</v>
      </c>
      <c r="C10" s="1426" t="s">
        <v>705</v>
      </c>
      <c r="D10" s="1431">
        <v>29</v>
      </c>
    </row>
    <row r="11" spans="1:4">
      <c r="A11" s="1426" t="s">
        <v>340</v>
      </c>
      <c r="B11" s="1426" t="s">
        <v>404</v>
      </c>
      <c r="C11" s="1426" t="s">
        <v>704</v>
      </c>
      <c r="D11" s="1431">
        <v>41</v>
      </c>
    </row>
    <row r="12" spans="1:4">
      <c r="A12" s="1426" t="s">
        <v>340</v>
      </c>
      <c r="B12" s="1426" t="s">
        <v>404</v>
      </c>
      <c r="C12" s="1426" t="s">
        <v>703</v>
      </c>
      <c r="D12" s="1431">
        <v>40</v>
      </c>
    </row>
    <row r="13" spans="1:4">
      <c r="A13" s="1426" t="s">
        <v>340</v>
      </c>
      <c r="B13" s="1426" t="s">
        <v>404</v>
      </c>
      <c r="C13" s="1426" t="s">
        <v>702</v>
      </c>
      <c r="D13" s="1431">
        <v>35</v>
      </c>
    </row>
    <row r="14" spans="1:4">
      <c r="A14" s="1426" t="s">
        <v>340</v>
      </c>
      <c r="B14" s="1426" t="s">
        <v>407</v>
      </c>
      <c r="C14" s="1426" t="s">
        <v>712</v>
      </c>
      <c r="D14" s="1431">
        <v>32</v>
      </c>
    </row>
    <row r="15" spans="1:4">
      <c r="A15" s="1426" t="s">
        <v>340</v>
      </c>
      <c r="B15" s="1426" t="s">
        <v>407</v>
      </c>
      <c r="C15" s="1426" t="s">
        <v>711</v>
      </c>
      <c r="D15" s="1431">
        <v>29</v>
      </c>
    </row>
    <row r="16" spans="1:4">
      <c r="A16" s="1426" t="s">
        <v>340</v>
      </c>
      <c r="B16" s="1426" t="s">
        <v>407</v>
      </c>
      <c r="C16" s="1426" t="s">
        <v>710</v>
      </c>
      <c r="D16" s="1431">
        <v>23</v>
      </c>
    </row>
    <row r="17" spans="1:4">
      <c r="A17" s="1426" t="s">
        <v>340</v>
      </c>
      <c r="B17" s="1426" t="s">
        <v>407</v>
      </c>
      <c r="C17" s="1426" t="s">
        <v>709</v>
      </c>
      <c r="D17" s="1431">
        <v>30</v>
      </c>
    </row>
    <row r="18" spans="1:4">
      <c r="A18" s="1426" t="s">
        <v>340</v>
      </c>
      <c r="B18" s="1426" t="s">
        <v>407</v>
      </c>
      <c r="C18" s="1426" t="s">
        <v>708</v>
      </c>
      <c r="D18" s="1431">
        <v>31</v>
      </c>
    </row>
    <row r="19" spans="1:4">
      <c r="A19" s="1426" t="s">
        <v>340</v>
      </c>
      <c r="B19" s="1426" t="s">
        <v>407</v>
      </c>
      <c r="C19" s="1426" t="s">
        <v>707</v>
      </c>
      <c r="D19" s="1431">
        <v>36</v>
      </c>
    </row>
    <row r="20" spans="1:4">
      <c r="A20" s="1426" t="s">
        <v>340</v>
      </c>
      <c r="B20" s="1426" t="s">
        <v>407</v>
      </c>
      <c r="C20" s="1426" t="s">
        <v>706</v>
      </c>
      <c r="D20" s="1431">
        <v>31</v>
      </c>
    </row>
    <row r="21" spans="1:4">
      <c r="A21" s="1426" t="s">
        <v>340</v>
      </c>
      <c r="B21" s="1426" t="s">
        <v>407</v>
      </c>
      <c r="C21" s="1426" t="s">
        <v>705</v>
      </c>
      <c r="D21" s="1431">
        <v>28</v>
      </c>
    </row>
    <row r="22" spans="1:4">
      <c r="A22" s="1426" t="s">
        <v>340</v>
      </c>
      <c r="B22" s="1426" t="s">
        <v>407</v>
      </c>
      <c r="C22" s="1426" t="s">
        <v>704</v>
      </c>
      <c r="D22" s="1431">
        <v>35</v>
      </c>
    </row>
    <row r="23" spans="1:4">
      <c r="A23" s="1426" t="s">
        <v>340</v>
      </c>
      <c r="B23" s="1426" t="s">
        <v>407</v>
      </c>
      <c r="C23" s="1426" t="s">
        <v>703</v>
      </c>
      <c r="D23" s="1431">
        <v>33</v>
      </c>
    </row>
    <row r="24" spans="1:4">
      <c r="A24" s="1426" t="s">
        <v>340</v>
      </c>
      <c r="B24" s="1426" t="s">
        <v>407</v>
      </c>
      <c r="C24" s="1426" t="s">
        <v>702</v>
      </c>
      <c r="D24" s="1431">
        <v>35</v>
      </c>
    </row>
    <row r="25" spans="1:4">
      <c r="A25" s="1426" t="s">
        <v>340</v>
      </c>
      <c r="B25" s="1426" t="s">
        <v>406</v>
      </c>
      <c r="C25" s="1426" t="s">
        <v>712</v>
      </c>
      <c r="D25" s="1431">
        <v>31</v>
      </c>
    </row>
    <row r="26" spans="1:4">
      <c r="A26" s="1426" t="s">
        <v>340</v>
      </c>
      <c r="B26" s="1426" t="s">
        <v>406</v>
      </c>
      <c r="C26" s="1426" t="s">
        <v>711</v>
      </c>
      <c r="D26" s="1431">
        <v>33</v>
      </c>
    </row>
    <row r="27" spans="1:4">
      <c r="A27" s="1426" t="s">
        <v>340</v>
      </c>
      <c r="B27" s="1426" t="s">
        <v>406</v>
      </c>
      <c r="C27" s="1426" t="s">
        <v>710</v>
      </c>
      <c r="D27" s="1431">
        <v>29</v>
      </c>
    </row>
    <row r="28" spans="1:4">
      <c r="A28" s="1426" t="s">
        <v>340</v>
      </c>
      <c r="B28" s="1426" t="s">
        <v>406</v>
      </c>
      <c r="C28" s="1426" t="s">
        <v>709</v>
      </c>
      <c r="D28" s="1431">
        <v>23</v>
      </c>
    </row>
    <row r="29" spans="1:4">
      <c r="A29" s="1426" t="s">
        <v>340</v>
      </c>
      <c r="B29" s="1426" t="s">
        <v>406</v>
      </c>
      <c r="C29" s="1426" t="s">
        <v>708</v>
      </c>
      <c r="D29" s="1431">
        <v>31</v>
      </c>
    </row>
    <row r="30" spans="1:4">
      <c r="A30" s="1426" t="s">
        <v>340</v>
      </c>
      <c r="B30" s="1426" t="s">
        <v>406</v>
      </c>
      <c r="C30" s="1426" t="s">
        <v>707</v>
      </c>
      <c r="D30" s="1431">
        <v>27</v>
      </c>
    </row>
    <row r="31" spans="1:4">
      <c r="A31" s="1426" t="s">
        <v>340</v>
      </c>
      <c r="B31" s="1426" t="s">
        <v>406</v>
      </c>
      <c r="C31" s="1426" t="s">
        <v>706</v>
      </c>
      <c r="D31" s="1431">
        <v>29</v>
      </c>
    </row>
    <row r="32" spans="1:4">
      <c r="A32" s="1426" t="s">
        <v>340</v>
      </c>
      <c r="B32" s="1426" t="s">
        <v>406</v>
      </c>
      <c r="C32" s="1426" t="s">
        <v>705</v>
      </c>
      <c r="D32" s="1431">
        <v>24</v>
      </c>
    </row>
    <row r="33" spans="1:4">
      <c r="A33" s="1426" t="s">
        <v>340</v>
      </c>
      <c r="B33" s="1426" t="s">
        <v>406</v>
      </c>
      <c r="C33" s="1426" t="s">
        <v>704</v>
      </c>
      <c r="D33" s="1431">
        <v>34</v>
      </c>
    </row>
    <row r="34" spans="1:4">
      <c r="A34" s="1426" t="s">
        <v>340</v>
      </c>
      <c r="B34" s="1426" t="s">
        <v>406</v>
      </c>
      <c r="C34" s="1426" t="s">
        <v>703</v>
      </c>
      <c r="D34" s="1431">
        <v>27</v>
      </c>
    </row>
    <row r="35" spans="1:4">
      <c r="A35" s="1426" t="s">
        <v>340</v>
      </c>
      <c r="B35" s="1426" t="s">
        <v>406</v>
      </c>
      <c r="C35" s="1426" t="s">
        <v>702</v>
      </c>
      <c r="D35" s="1431">
        <v>0</v>
      </c>
    </row>
    <row r="36" spans="1:4">
      <c r="A36" s="1426" t="s">
        <v>340</v>
      </c>
      <c r="B36" s="1426" t="s">
        <v>405</v>
      </c>
      <c r="C36" s="1426" t="s">
        <v>712</v>
      </c>
      <c r="D36" s="1431">
        <v>20</v>
      </c>
    </row>
    <row r="37" spans="1:4">
      <c r="A37" s="1426" t="s">
        <v>340</v>
      </c>
      <c r="B37" s="1426" t="s">
        <v>405</v>
      </c>
      <c r="C37" s="1426" t="s">
        <v>711</v>
      </c>
      <c r="D37" s="1431">
        <v>22</v>
      </c>
    </row>
    <row r="38" spans="1:4">
      <c r="A38" s="1426" t="s">
        <v>340</v>
      </c>
      <c r="B38" s="1426" t="s">
        <v>405</v>
      </c>
      <c r="C38" s="1426" t="s">
        <v>710</v>
      </c>
      <c r="D38" s="1431">
        <v>18</v>
      </c>
    </row>
    <row r="39" spans="1:4">
      <c r="A39" s="1426" t="s">
        <v>340</v>
      </c>
      <c r="B39" s="1426" t="s">
        <v>405</v>
      </c>
      <c r="C39" s="1426" t="s">
        <v>709</v>
      </c>
      <c r="D39" s="1431">
        <v>17</v>
      </c>
    </row>
    <row r="40" spans="1:4">
      <c r="A40" s="1426" t="s">
        <v>340</v>
      </c>
      <c r="B40" s="1426" t="s">
        <v>405</v>
      </c>
      <c r="C40" s="1426" t="s">
        <v>708</v>
      </c>
      <c r="D40" s="1431">
        <v>18</v>
      </c>
    </row>
    <row r="41" spans="1:4">
      <c r="A41" s="1426" t="s">
        <v>340</v>
      </c>
      <c r="B41" s="1426" t="s">
        <v>405</v>
      </c>
      <c r="C41" s="1426" t="s">
        <v>707</v>
      </c>
      <c r="D41" s="1431">
        <v>15</v>
      </c>
    </row>
    <row r="42" spans="1:4">
      <c r="A42" s="1426" t="s">
        <v>340</v>
      </c>
      <c r="B42" s="1426" t="s">
        <v>405</v>
      </c>
      <c r="C42" s="1426" t="s">
        <v>706</v>
      </c>
      <c r="D42" s="1431">
        <v>12</v>
      </c>
    </row>
    <row r="43" spans="1:4">
      <c r="A43" s="1426" t="s">
        <v>340</v>
      </c>
      <c r="B43" s="1426" t="s">
        <v>405</v>
      </c>
      <c r="C43" s="1426" t="s">
        <v>705</v>
      </c>
      <c r="D43" s="1431">
        <v>10</v>
      </c>
    </row>
    <row r="44" spans="1:4">
      <c r="A44" s="1426" t="s">
        <v>340</v>
      </c>
      <c r="B44" s="1426" t="s">
        <v>405</v>
      </c>
      <c r="C44" s="1426" t="s">
        <v>704</v>
      </c>
      <c r="D44" s="1431">
        <v>18</v>
      </c>
    </row>
    <row r="45" spans="1:4">
      <c r="A45" s="1426" t="s">
        <v>340</v>
      </c>
      <c r="B45" s="1426" t="s">
        <v>405</v>
      </c>
      <c r="C45" s="1426" t="s">
        <v>703</v>
      </c>
      <c r="D45" s="1431">
        <v>18</v>
      </c>
    </row>
    <row r="46" spans="1:4">
      <c r="A46" s="1426" t="s">
        <v>340</v>
      </c>
      <c r="B46" s="1426" t="s">
        <v>405</v>
      </c>
      <c r="C46" s="1426" t="s">
        <v>702</v>
      </c>
      <c r="D46" s="1431">
        <v>13</v>
      </c>
    </row>
    <row r="47" spans="1:4">
      <c r="A47" s="1426" t="s">
        <v>394</v>
      </c>
      <c r="B47" s="1426" t="s">
        <v>404</v>
      </c>
      <c r="C47" s="1426" t="s">
        <v>712</v>
      </c>
      <c r="D47" s="1431">
        <v>24</v>
      </c>
    </row>
    <row r="48" spans="1:4">
      <c r="A48" s="1426" t="s">
        <v>394</v>
      </c>
      <c r="B48" s="1426" t="s">
        <v>404</v>
      </c>
      <c r="C48" s="1426" t="s">
        <v>711</v>
      </c>
      <c r="D48" s="1431">
        <v>34</v>
      </c>
    </row>
    <row r="49" spans="1:4">
      <c r="A49" s="1426" t="s">
        <v>394</v>
      </c>
      <c r="B49" s="1426" t="s">
        <v>404</v>
      </c>
      <c r="C49" s="1426" t="s">
        <v>710</v>
      </c>
      <c r="D49" s="1431">
        <v>22</v>
      </c>
    </row>
    <row r="50" spans="1:4">
      <c r="A50" s="1426" t="s">
        <v>394</v>
      </c>
      <c r="B50" s="1426" t="s">
        <v>404</v>
      </c>
      <c r="C50" s="1426" t="s">
        <v>709</v>
      </c>
      <c r="D50" s="1431">
        <v>31</v>
      </c>
    </row>
    <row r="51" spans="1:4">
      <c r="A51" s="1426" t="s">
        <v>394</v>
      </c>
      <c r="B51" s="1426" t="s">
        <v>404</v>
      </c>
      <c r="C51" s="1426" t="s">
        <v>708</v>
      </c>
      <c r="D51" s="1431">
        <v>31</v>
      </c>
    </row>
    <row r="52" spans="1:4">
      <c r="A52" s="1426" t="s">
        <v>394</v>
      </c>
      <c r="B52" s="1426" t="s">
        <v>404</v>
      </c>
      <c r="C52" s="1426" t="s">
        <v>707</v>
      </c>
      <c r="D52" s="1431">
        <v>30</v>
      </c>
    </row>
    <row r="53" spans="1:4">
      <c r="A53" s="1426" t="s">
        <v>394</v>
      </c>
      <c r="B53" s="1426" t="s">
        <v>404</v>
      </c>
      <c r="C53" s="1426" t="s">
        <v>706</v>
      </c>
      <c r="D53" s="1431">
        <v>31</v>
      </c>
    </row>
    <row r="54" spans="1:4">
      <c r="A54" s="1426" t="s">
        <v>394</v>
      </c>
      <c r="B54" s="1426" t="s">
        <v>404</v>
      </c>
      <c r="C54" s="1426" t="s">
        <v>705</v>
      </c>
      <c r="D54" s="1431">
        <v>32</v>
      </c>
    </row>
    <row r="55" spans="1:4">
      <c r="A55" s="1426" t="s">
        <v>394</v>
      </c>
      <c r="B55" s="1426" t="s">
        <v>404</v>
      </c>
      <c r="C55" s="1426" t="s">
        <v>704</v>
      </c>
      <c r="D55" s="1431">
        <v>31</v>
      </c>
    </row>
    <row r="56" spans="1:4">
      <c r="A56" s="1426" t="s">
        <v>394</v>
      </c>
      <c r="B56" s="1426" t="s">
        <v>404</v>
      </c>
      <c r="C56" s="1426" t="s">
        <v>703</v>
      </c>
      <c r="D56" s="1431">
        <v>42</v>
      </c>
    </row>
    <row r="57" spans="1:4">
      <c r="A57" s="1426" t="s">
        <v>394</v>
      </c>
      <c r="B57" s="1426" t="s">
        <v>404</v>
      </c>
      <c r="C57" s="1426" t="s">
        <v>702</v>
      </c>
      <c r="D57" s="1431">
        <v>33</v>
      </c>
    </row>
    <row r="58" spans="1:4">
      <c r="A58" s="1426" t="s">
        <v>394</v>
      </c>
      <c r="B58" s="1426" t="s">
        <v>407</v>
      </c>
      <c r="C58" s="1426" t="s">
        <v>712</v>
      </c>
      <c r="D58" s="1431">
        <v>37</v>
      </c>
    </row>
    <row r="59" spans="1:4">
      <c r="A59" s="1426" t="s">
        <v>394</v>
      </c>
      <c r="B59" s="1426" t="s">
        <v>407</v>
      </c>
      <c r="C59" s="1426" t="s">
        <v>711</v>
      </c>
      <c r="D59" s="1431">
        <v>29</v>
      </c>
    </row>
    <row r="60" spans="1:4">
      <c r="A60" s="1426" t="s">
        <v>394</v>
      </c>
      <c r="B60" s="1426" t="s">
        <v>407</v>
      </c>
      <c r="C60" s="1426" t="s">
        <v>710</v>
      </c>
      <c r="D60" s="1431">
        <v>19</v>
      </c>
    </row>
    <row r="61" spans="1:4">
      <c r="A61" s="1426" t="s">
        <v>394</v>
      </c>
      <c r="B61" s="1426" t="s">
        <v>407</v>
      </c>
      <c r="C61" s="1426" t="s">
        <v>709</v>
      </c>
      <c r="D61" s="1431">
        <v>32</v>
      </c>
    </row>
    <row r="62" spans="1:4">
      <c r="A62" s="1426" t="s">
        <v>394</v>
      </c>
      <c r="B62" s="1426" t="s">
        <v>407</v>
      </c>
      <c r="C62" s="1426" t="s">
        <v>708</v>
      </c>
      <c r="D62" s="1431">
        <v>26</v>
      </c>
    </row>
    <row r="63" spans="1:4">
      <c r="A63" s="1426" t="s">
        <v>394</v>
      </c>
      <c r="B63" s="1426" t="s">
        <v>407</v>
      </c>
      <c r="C63" s="1426" t="s">
        <v>707</v>
      </c>
      <c r="D63" s="1431">
        <v>34</v>
      </c>
    </row>
    <row r="64" spans="1:4">
      <c r="A64" s="1426" t="s">
        <v>394</v>
      </c>
      <c r="B64" s="1426" t="s">
        <v>407</v>
      </c>
      <c r="C64" s="1426" t="s">
        <v>706</v>
      </c>
      <c r="D64" s="1431">
        <v>36</v>
      </c>
    </row>
    <row r="65" spans="1:4">
      <c r="A65" s="1426" t="s">
        <v>394</v>
      </c>
      <c r="B65" s="1426" t="s">
        <v>407</v>
      </c>
      <c r="C65" s="1426" t="s">
        <v>705</v>
      </c>
      <c r="D65" s="1431">
        <v>36</v>
      </c>
    </row>
    <row r="66" spans="1:4">
      <c r="A66" s="1426" t="s">
        <v>394</v>
      </c>
      <c r="B66" s="1426" t="s">
        <v>407</v>
      </c>
      <c r="C66" s="1426" t="s">
        <v>704</v>
      </c>
      <c r="D66" s="1431">
        <v>36</v>
      </c>
    </row>
    <row r="67" spans="1:4">
      <c r="A67" s="1426" t="s">
        <v>394</v>
      </c>
      <c r="B67" s="1426" t="s">
        <v>407</v>
      </c>
      <c r="C67" s="1426" t="s">
        <v>703</v>
      </c>
      <c r="D67" s="1431">
        <v>33</v>
      </c>
    </row>
    <row r="68" spans="1:4">
      <c r="A68" s="1426" t="s">
        <v>394</v>
      </c>
      <c r="B68" s="1426" t="s">
        <v>407</v>
      </c>
      <c r="C68" s="1426" t="s">
        <v>702</v>
      </c>
      <c r="D68" s="1431">
        <v>39</v>
      </c>
    </row>
    <row r="69" spans="1:4">
      <c r="A69" s="1426" t="s">
        <v>394</v>
      </c>
      <c r="B69" s="1426" t="s">
        <v>406</v>
      </c>
      <c r="C69" s="1426" t="s">
        <v>712</v>
      </c>
      <c r="D69" s="1431">
        <v>32</v>
      </c>
    </row>
    <row r="70" spans="1:4">
      <c r="A70" s="1426" t="s">
        <v>394</v>
      </c>
      <c r="B70" s="1426" t="s">
        <v>406</v>
      </c>
      <c r="C70" s="1426" t="s">
        <v>711</v>
      </c>
      <c r="D70" s="1431">
        <v>32</v>
      </c>
    </row>
    <row r="71" spans="1:4">
      <c r="A71" s="1426" t="s">
        <v>394</v>
      </c>
      <c r="B71" s="1426" t="s">
        <v>406</v>
      </c>
      <c r="C71" s="1426" t="s">
        <v>710</v>
      </c>
      <c r="D71" s="1431">
        <v>26</v>
      </c>
    </row>
    <row r="72" spans="1:4">
      <c r="A72" s="1426" t="s">
        <v>394</v>
      </c>
      <c r="B72" s="1426" t="s">
        <v>406</v>
      </c>
      <c r="C72" s="1426" t="s">
        <v>709</v>
      </c>
      <c r="D72" s="1431">
        <v>22</v>
      </c>
    </row>
    <row r="73" spans="1:4">
      <c r="A73" s="1426" t="s">
        <v>394</v>
      </c>
      <c r="B73" s="1426" t="s">
        <v>406</v>
      </c>
      <c r="C73" s="1426" t="s">
        <v>708</v>
      </c>
      <c r="D73" s="1431">
        <v>32</v>
      </c>
    </row>
    <row r="74" spans="1:4">
      <c r="A74" s="1426" t="s">
        <v>394</v>
      </c>
      <c r="B74" s="1426" t="s">
        <v>406</v>
      </c>
      <c r="C74" s="1426" t="s">
        <v>707</v>
      </c>
      <c r="D74" s="1431">
        <v>23</v>
      </c>
    </row>
    <row r="75" spans="1:4">
      <c r="A75" s="1426" t="s">
        <v>394</v>
      </c>
      <c r="B75" s="1426" t="s">
        <v>406</v>
      </c>
      <c r="C75" s="1426" t="s">
        <v>706</v>
      </c>
      <c r="D75" s="1431">
        <v>30</v>
      </c>
    </row>
    <row r="76" spans="1:4">
      <c r="A76" s="1426" t="s">
        <v>394</v>
      </c>
      <c r="B76" s="1426" t="s">
        <v>406</v>
      </c>
      <c r="C76" s="1426" t="s">
        <v>705</v>
      </c>
      <c r="D76" s="1431">
        <v>26</v>
      </c>
    </row>
    <row r="77" spans="1:4">
      <c r="A77" s="1426" t="s">
        <v>394</v>
      </c>
      <c r="B77" s="1426" t="s">
        <v>406</v>
      </c>
      <c r="C77" s="1426" t="s">
        <v>704</v>
      </c>
      <c r="D77" s="1431">
        <v>37</v>
      </c>
    </row>
    <row r="78" spans="1:4">
      <c r="A78" s="1426" t="s">
        <v>394</v>
      </c>
      <c r="B78" s="1426" t="s">
        <v>406</v>
      </c>
      <c r="C78" s="1426" t="s">
        <v>703</v>
      </c>
      <c r="D78" s="1431">
        <v>28</v>
      </c>
    </row>
    <row r="79" spans="1:4">
      <c r="A79" s="1426" t="s">
        <v>394</v>
      </c>
      <c r="B79" s="1426" t="s">
        <v>406</v>
      </c>
      <c r="C79" s="1426" t="s">
        <v>702</v>
      </c>
      <c r="D79" s="1431">
        <v>0</v>
      </c>
    </row>
    <row r="80" spans="1:4">
      <c r="A80" s="1426" t="s">
        <v>394</v>
      </c>
      <c r="B80" s="1426" t="s">
        <v>405</v>
      </c>
      <c r="C80" s="1426" t="s">
        <v>712</v>
      </c>
      <c r="D80" s="1431">
        <v>0</v>
      </c>
    </row>
    <row r="81" spans="1:4">
      <c r="A81" s="1426" t="s">
        <v>394</v>
      </c>
      <c r="B81" s="1426" t="s">
        <v>405</v>
      </c>
      <c r="C81" s="1426" t="s">
        <v>711</v>
      </c>
      <c r="D81" s="1431">
        <v>20</v>
      </c>
    </row>
    <row r="82" spans="1:4">
      <c r="A82" s="1426" t="s">
        <v>394</v>
      </c>
      <c r="B82" s="1426" t="s">
        <v>405</v>
      </c>
      <c r="C82" s="1426" t="s">
        <v>710</v>
      </c>
      <c r="D82" s="1431">
        <v>21</v>
      </c>
    </row>
    <row r="83" spans="1:4">
      <c r="A83" s="1426" t="s">
        <v>394</v>
      </c>
      <c r="B83" s="1426" t="s">
        <v>405</v>
      </c>
      <c r="C83" s="1426" t="s">
        <v>709</v>
      </c>
      <c r="D83" s="1431">
        <v>18</v>
      </c>
    </row>
    <row r="84" spans="1:4">
      <c r="A84" s="1426" t="s">
        <v>394</v>
      </c>
      <c r="B84" s="1426" t="s">
        <v>405</v>
      </c>
      <c r="C84" s="1426" t="s">
        <v>708</v>
      </c>
      <c r="D84" s="1431">
        <v>30</v>
      </c>
    </row>
    <row r="85" spans="1:4">
      <c r="A85" s="1426" t="s">
        <v>394</v>
      </c>
      <c r="B85" s="1426" t="s">
        <v>405</v>
      </c>
      <c r="C85" s="1426" t="s">
        <v>707</v>
      </c>
      <c r="D85" s="1431">
        <v>0</v>
      </c>
    </row>
    <row r="86" spans="1:4">
      <c r="A86" s="1426" t="s">
        <v>394</v>
      </c>
      <c r="B86" s="1426" t="s">
        <v>405</v>
      </c>
      <c r="C86" s="1426" t="s">
        <v>706</v>
      </c>
      <c r="D86" s="1431">
        <v>0</v>
      </c>
    </row>
    <row r="87" spans="1:4">
      <c r="A87" s="1426" t="s">
        <v>394</v>
      </c>
      <c r="B87" s="1426" t="s">
        <v>405</v>
      </c>
      <c r="C87" s="1426" t="s">
        <v>705</v>
      </c>
      <c r="D87" s="1431">
        <v>0</v>
      </c>
    </row>
    <row r="88" spans="1:4">
      <c r="A88" s="1426" t="s">
        <v>394</v>
      </c>
      <c r="B88" s="1426" t="s">
        <v>405</v>
      </c>
      <c r="C88" s="1426" t="s">
        <v>704</v>
      </c>
      <c r="D88" s="1431">
        <v>0</v>
      </c>
    </row>
    <row r="89" spans="1:4">
      <c r="A89" s="1426" t="s">
        <v>394</v>
      </c>
      <c r="B89" s="1426" t="s">
        <v>405</v>
      </c>
      <c r="C89" s="1426" t="s">
        <v>703</v>
      </c>
      <c r="D89" s="1431">
        <v>0</v>
      </c>
    </row>
    <row r="90" spans="1:4">
      <c r="A90" s="1426" t="s">
        <v>394</v>
      </c>
      <c r="B90" s="1426" t="s">
        <v>405</v>
      </c>
      <c r="C90" s="1426" t="s">
        <v>702</v>
      </c>
      <c r="D90" s="1431">
        <v>0</v>
      </c>
    </row>
    <row r="91" spans="1:4">
      <c r="A91" s="1426" t="s">
        <v>395</v>
      </c>
      <c r="B91" s="1426" t="s">
        <v>404</v>
      </c>
      <c r="C91" s="1426" t="s">
        <v>712</v>
      </c>
      <c r="D91" s="1431">
        <v>23</v>
      </c>
    </row>
    <row r="92" spans="1:4">
      <c r="A92" s="1426" t="s">
        <v>395</v>
      </c>
      <c r="B92" s="1426" t="s">
        <v>404</v>
      </c>
      <c r="C92" s="1426" t="s">
        <v>711</v>
      </c>
      <c r="D92" s="1431">
        <v>26</v>
      </c>
    </row>
    <row r="93" spans="1:4">
      <c r="A93" s="1426" t="s">
        <v>395</v>
      </c>
      <c r="B93" s="1426" t="s">
        <v>404</v>
      </c>
      <c r="C93" s="1426" t="s">
        <v>710</v>
      </c>
      <c r="D93" s="1431">
        <v>22</v>
      </c>
    </row>
    <row r="94" spans="1:4">
      <c r="A94" s="1426" t="s">
        <v>395</v>
      </c>
      <c r="B94" s="1426" t="s">
        <v>404</v>
      </c>
      <c r="C94" s="1426" t="s">
        <v>709</v>
      </c>
      <c r="D94" s="1431">
        <v>26</v>
      </c>
    </row>
    <row r="95" spans="1:4">
      <c r="A95" s="1426" t="s">
        <v>395</v>
      </c>
      <c r="B95" s="1426" t="s">
        <v>404</v>
      </c>
      <c r="C95" s="1426" t="s">
        <v>708</v>
      </c>
      <c r="D95" s="1431">
        <v>30</v>
      </c>
    </row>
    <row r="96" spans="1:4">
      <c r="A96" s="1426" t="s">
        <v>395</v>
      </c>
      <c r="B96" s="1426" t="s">
        <v>404</v>
      </c>
      <c r="C96" s="1426" t="s">
        <v>707</v>
      </c>
      <c r="D96" s="1431">
        <v>25</v>
      </c>
    </row>
    <row r="97" spans="1:4">
      <c r="A97" s="1426" t="s">
        <v>395</v>
      </c>
      <c r="B97" s="1426" t="s">
        <v>404</v>
      </c>
      <c r="C97" s="1426" t="s">
        <v>706</v>
      </c>
      <c r="D97" s="1431">
        <v>23</v>
      </c>
    </row>
    <row r="98" spans="1:4">
      <c r="A98" s="1426" t="s">
        <v>395</v>
      </c>
      <c r="B98" s="1426" t="s">
        <v>404</v>
      </c>
      <c r="C98" s="1426" t="s">
        <v>705</v>
      </c>
      <c r="D98" s="1431">
        <v>23</v>
      </c>
    </row>
    <row r="99" spans="1:4">
      <c r="A99" s="1426" t="s">
        <v>395</v>
      </c>
      <c r="B99" s="1426" t="s">
        <v>404</v>
      </c>
      <c r="C99" s="1426" t="s">
        <v>704</v>
      </c>
      <c r="D99" s="1431">
        <v>28</v>
      </c>
    </row>
    <row r="100" spans="1:4">
      <c r="A100" s="1426" t="s">
        <v>395</v>
      </c>
      <c r="B100" s="1426" t="s">
        <v>404</v>
      </c>
      <c r="C100" s="1426" t="s">
        <v>703</v>
      </c>
      <c r="D100" s="1431">
        <v>36</v>
      </c>
    </row>
    <row r="101" spans="1:4">
      <c r="A101" s="1426" t="s">
        <v>395</v>
      </c>
      <c r="B101" s="1426" t="s">
        <v>404</v>
      </c>
      <c r="C101" s="1426" t="s">
        <v>702</v>
      </c>
      <c r="D101" s="1431">
        <v>33</v>
      </c>
    </row>
    <row r="102" spans="1:4">
      <c r="A102" s="1426" t="s">
        <v>395</v>
      </c>
      <c r="B102" s="1426" t="s">
        <v>407</v>
      </c>
      <c r="C102" s="1426" t="s">
        <v>712</v>
      </c>
      <c r="D102" s="1431">
        <v>31</v>
      </c>
    </row>
    <row r="103" spans="1:4">
      <c r="A103" s="1426" t="s">
        <v>395</v>
      </c>
      <c r="B103" s="1426" t="s">
        <v>407</v>
      </c>
      <c r="C103" s="1426" t="s">
        <v>711</v>
      </c>
      <c r="D103" s="1431">
        <v>26</v>
      </c>
    </row>
    <row r="104" spans="1:4">
      <c r="A104" s="1426" t="s">
        <v>395</v>
      </c>
      <c r="B104" s="1426" t="s">
        <v>407</v>
      </c>
      <c r="C104" s="1426" t="s">
        <v>710</v>
      </c>
      <c r="D104" s="1431">
        <v>20</v>
      </c>
    </row>
    <row r="105" spans="1:4">
      <c r="A105" s="1426" t="s">
        <v>395</v>
      </c>
      <c r="B105" s="1426" t="s">
        <v>407</v>
      </c>
      <c r="C105" s="1426" t="s">
        <v>709</v>
      </c>
      <c r="D105" s="1431">
        <v>27</v>
      </c>
    </row>
    <row r="106" spans="1:4">
      <c r="A106" s="1426" t="s">
        <v>395</v>
      </c>
      <c r="B106" s="1426" t="s">
        <v>407</v>
      </c>
      <c r="C106" s="1426" t="s">
        <v>708</v>
      </c>
      <c r="D106" s="1431">
        <v>30</v>
      </c>
    </row>
    <row r="107" spans="1:4">
      <c r="A107" s="1426" t="s">
        <v>395</v>
      </c>
      <c r="B107" s="1426" t="s">
        <v>407</v>
      </c>
      <c r="C107" s="1426" t="s">
        <v>707</v>
      </c>
      <c r="D107" s="1431">
        <v>34</v>
      </c>
    </row>
    <row r="108" spans="1:4">
      <c r="A108" s="1426" t="s">
        <v>395</v>
      </c>
      <c r="B108" s="1426" t="s">
        <v>407</v>
      </c>
      <c r="C108" s="1426" t="s">
        <v>706</v>
      </c>
      <c r="D108" s="1431">
        <v>27</v>
      </c>
    </row>
    <row r="109" spans="1:4">
      <c r="A109" s="1426" t="s">
        <v>395</v>
      </c>
      <c r="B109" s="1426" t="s">
        <v>407</v>
      </c>
      <c r="C109" s="1426" t="s">
        <v>705</v>
      </c>
      <c r="D109" s="1431">
        <v>27</v>
      </c>
    </row>
    <row r="110" spans="1:4">
      <c r="A110" s="1426" t="s">
        <v>395</v>
      </c>
      <c r="B110" s="1426" t="s">
        <v>407</v>
      </c>
      <c r="C110" s="1426" t="s">
        <v>704</v>
      </c>
      <c r="D110" s="1431">
        <v>31</v>
      </c>
    </row>
    <row r="111" spans="1:4">
      <c r="A111" s="1426" t="s">
        <v>395</v>
      </c>
      <c r="B111" s="1426" t="s">
        <v>407</v>
      </c>
      <c r="C111" s="1426" t="s">
        <v>703</v>
      </c>
      <c r="D111" s="1431">
        <v>30</v>
      </c>
    </row>
    <row r="112" spans="1:4">
      <c r="A112" s="1426" t="s">
        <v>395</v>
      </c>
      <c r="B112" s="1426" t="s">
        <v>407</v>
      </c>
      <c r="C112" s="1426" t="s">
        <v>702</v>
      </c>
      <c r="D112" s="1431">
        <v>33</v>
      </c>
    </row>
    <row r="113" spans="1:4">
      <c r="A113" s="1426" t="s">
        <v>395</v>
      </c>
      <c r="B113" s="1426" t="s">
        <v>406</v>
      </c>
      <c r="C113" s="1426" t="s">
        <v>712</v>
      </c>
      <c r="D113" s="1431">
        <v>34</v>
      </c>
    </row>
    <row r="114" spans="1:4">
      <c r="A114" s="1426" t="s">
        <v>395</v>
      </c>
      <c r="B114" s="1426" t="s">
        <v>406</v>
      </c>
      <c r="C114" s="1426" t="s">
        <v>711</v>
      </c>
      <c r="D114" s="1431">
        <v>36</v>
      </c>
    </row>
    <row r="115" spans="1:4">
      <c r="A115" s="1426" t="s">
        <v>395</v>
      </c>
      <c r="B115" s="1426" t="s">
        <v>406</v>
      </c>
      <c r="C115" s="1426" t="s">
        <v>710</v>
      </c>
      <c r="D115" s="1431">
        <v>31</v>
      </c>
    </row>
    <row r="116" spans="1:4">
      <c r="A116" s="1426" t="s">
        <v>395</v>
      </c>
      <c r="B116" s="1426" t="s">
        <v>406</v>
      </c>
      <c r="C116" s="1426" t="s">
        <v>709</v>
      </c>
      <c r="D116" s="1431">
        <v>26</v>
      </c>
    </row>
    <row r="117" spans="1:4">
      <c r="A117" s="1426" t="s">
        <v>395</v>
      </c>
      <c r="B117" s="1426" t="s">
        <v>406</v>
      </c>
      <c r="C117" s="1426" t="s">
        <v>708</v>
      </c>
      <c r="D117" s="1431">
        <v>32</v>
      </c>
    </row>
    <row r="118" spans="1:4">
      <c r="A118" s="1426" t="s">
        <v>395</v>
      </c>
      <c r="B118" s="1426" t="s">
        <v>406</v>
      </c>
      <c r="C118" s="1426" t="s">
        <v>707</v>
      </c>
      <c r="D118" s="1431">
        <v>31</v>
      </c>
    </row>
    <row r="119" spans="1:4">
      <c r="A119" s="1426" t="s">
        <v>395</v>
      </c>
      <c r="B119" s="1426" t="s">
        <v>406</v>
      </c>
      <c r="C119" s="1426" t="s">
        <v>706</v>
      </c>
      <c r="D119" s="1431">
        <v>32</v>
      </c>
    </row>
    <row r="120" spans="1:4">
      <c r="A120" s="1426" t="s">
        <v>395</v>
      </c>
      <c r="B120" s="1426" t="s">
        <v>406</v>
      </c>
      <c r="C120" s="1426" t="s">
        <v>705</v>
      </c>
      <c r="D120" s="1431">
        <v>27</v>
      </c>
    </row>
    <row r="121" spans="1:4">
      <c r="A121" s="1426" t="s">
        <v>395</v>
      </c>
      <c r="B121" s="1426" t="s">
        <v>406</v>
      </c>
      <c r="C121" s="1426" t="s">
        <v>704</v>
      </c>
      <c r="D121" s="1431">
        <v>35</v>
      </c>
    </row>
    <row r="122" spans="1:4">
      <c r="A122" s="1426" t="s">
        <v>395</v>
      </c>
      <c r="B122" s="1426" t="s">
        <v>406</v>
      </c>
      <c r="C122" s="1426" t="s">
        <v>703</v>
      </c>
      <c r="D122" s="1431">
        <v>0</v>
      </c>
    </row>
    <row r="123" spans="1:4">
      <c r="A123" s="1426" t="s">
        <v>395</v>
      </c>
      <c r="B123" s="1426" t="s">
        <v>406</v>
      </c>
      <c r="C123" s="1426" t="s">
        <v>702</v>
      </c>
      <c r="D123" s="1431">
        <v>0</v>
      </c>
    </row>
    <row r="124" spans="1:4">
      <c r="A124" s="1426" t="s">
        <v>395</v>
      </c>
      <c r="B124" s="1426" t="s">
        <v>405</v>
      </c>
      <c r="C124" s="1426" t="s">
        <v>712</v>
      </c>
      <c r="D124" s="1431">
        <v>29</v>
      </c>
    </row>
    <row r="125" spans="1:4">
      <c r="A125" s="1426" t="s">
        <v>395</v>
      </c>
      <c r="B125" s="1426" t="s">
        <v>405</v>
      </c>
      <c r="C125" s="1426" t="s">
        <v>711</v>
      </c>
      <c r="D125" s="1431">
        <v>29</v>
      </c>
    </row>
    <row r="126" spans="1:4">
      <c r="A126" s="1426" t="s">
        <v>395</v>
      </c>
      <c r="B126" s="1426" t="s">
        <v>405</v>
      </c>
      <c r="C126" s="1426" t="s">
        <v>710</v>
      </c>
      <c r="D126" s="1431">
        <v>17</v>
      </c>
    </row>
    <row r="127" spans="1:4">
      <c r="A127" s="1426" t="s">
        <v>395</v>
      </c>
      <c r="B127" s="1426" t="s">
        <v>405</v>
      </c>
      <c r="C127" s="1426" t="s">
        <v>709</v>
      </c>
      <c r="D127" s="1431">
        <v>20</v>
      </c>
    </row>
    <row r="128" spans="1:4">
      <c r="A128" s="1426" t="s">
        <v>395</v>
      </c>
      <c r="B128" s="1426" t="s">
        <v>405</v>
      </c>
      <c r="C128" s="1426" t="s">
        <v>708</v>
      </c>
      <c r="D128" s="1431">
        <v>27</v>
      </c>
    </row>
    <row r="129" spans="1:4">
      <c r="A129" s="1426" t="s">
        <v>395</v>
      </c>
      <c r="B129" s="1426" t="s">
        <v>405</v>
      </c>
      <c r="C129" s="1426" t="s">
        <v>707</v>
      </c>
      <c r="D129" s="1431">
        <v>27</v>
      </c>
    </row>
    <row r="130" spans="1:4">
      <c r="A130" s="1426" t="s">
        <v>395</v>
      </c>
      <c r="B130" s="1426" t="s">
        <v>405</v>
      </c>
      <c r="C130" s="1426" t="s">
        <v>706</v>
      </c>
      <c r="D130" s="1431">
        <v>28</v>
      </c>
    </row>
    <row r="131" spans="1:4">
      <c r="A131" s="1426" t="s">
        <v>395</v>
      </c>
      <c r="B131" s="1426" t="s">
        <v>405</v>
      </c>
      <c r="C131" s="1426" t="s">
        <v>705</v>
      </c>
      <c r="D131" s="1431">
        <v>33</v>
      </c>
    </row>
    <row r="132" spans="1:4">
      <c r="A132" s="1426" t="s">
        <v>395</v>
      </c>
      <c r="B132" s="1426" t="s">
        <v>405</v>
      </c>
      <c r="C132" s="1426" t="s">
        <v>704</v>
      </c>
      <c r="D132" s="1431">
        <v>29</v>
      </c>
    </row>
    <row r="133" spans="1:4">
      <c r="A133" s="1426" t="s">
        <v>395</v>
      </c>
      <c r="B133" s="1426" t="s">
        <v>405</v>
      </c>
      <c r="C133" s="1426" t="s">
        <v>703</v>
      </c>
      <c r="D133" s="1431">
        <v>26</v>
      </c>
    </row>
    <row r="134" spans="1:4">
      <c r="A134" s="1426" t="s">
        <v>395</v>
      </c>
      <c r="B134" s="1426" t="s">
        <v>405</v>
      </c>
      <c r="C134" s="1426" t="s">
        <v>702</v>
      </c>
      <c r="D134" s="1431">
        <v>25</v>
      </c>
    </row>
    <row r="135" spans="1:4">
      <c r="A135" s="1426" t="s">
        <v>397</v>
      </c>
      <c r="B135" s="1426" t="s">
        <v>404</v>
      </c>
      <c r="C135" s="1426" t="s">
        <v>712</v>
      </c>
      <c r="D135" s="1431">
        <v>0</v>
      </c>
    </row>
    <row r="136" spans="1:4">
      <c r="A136" s="1426" t="s">
        <v>397</v>
      </c>
      <c r="B136" s="1426" t="s">
        <v>404</v>
      </c>
      <c r="C136" s="1426" t="s">
        <v>711</v>
      </c>
      <c r="D136" s="1431">
        <v>0</v>
      </c>
    </row>
    <row r="137" spans="1:4">
      <c r="A137" s="1426" t="s">
        <v>397</v>
      </c>
      <c r="B137" s="1426" t="s">
        <v>404</v>
      </c>
      <c r="C137" s="1426" t="s">
        <v>710</v>
      </c>
      <c r="D137" s="1431">
        <v>0</v>
      </c>
    </row>
    <row r="138" spans="1:4">
      <c r="A138" s="1426" t="s">
        <v>397</v>
      </c>
      <c r="B138" s="1426" t="s">
        <v>404</v>
      </c>
      <c r="C138" s="1426" t="s">
        <v>709</v>
      </c>
      <c r="D138" s="1431">
        <v>0</v>
      </c>
    </row>
    <row r="139" spans="1:4">
      <c r="A139" s="1426" t="s">
        <v>397</v>
      </c>
      <c r="B139" s="1426" t="s">
        <v>404</v>
      </c>
      <c r="C139" s="1426" t="s">
        <v>708</v>
      </c>
      <c r="D139" s="1431">
        <v>0</v>
      </c>
    </row>
    <row r="140" spans="1:4">
      <c r="A140" s="1426" t="s">
        <v>397</v>
      </c>
      <c r="B140" s="1426" t="s">
        <v>404</v>
      </c>
      <c r="C140" s="1426" t="s">
        <v>707</v>
      </c>
      <c r="D140" s="1431">
        <v>0</v>
      </c>
    </row>
    <row r="141" spans="1:4">
      <c r="A141" s="1426" t="s">
        <v>397</v>
      </c>
      <c r="B141" s="1426" t="s">
        <v>404</v>
      </c>
      <c r="C141" s="1426" t="s">
        <v>706</v>
      </c>
      <c r="D141" s="1431">
        <v>0</v>
      </c>
    </row>
    <row r="142" spans="1:4">
      <c r="A142" s="1426" t="s">
        <v>397</v>
      </c>
      <c r="B142" s="1426" t="s">
        <v>404</v>
      </c>
      <c r="C142" s="1426" t="s">
        <v>705</v>
      </c>
      <c r="D142" s="1431">
        <v>0</v>
      </c>
    </row>
    <row r="143" spans="1:4">
      <c r="A143" s="1426" t="s">
        <v>397</v>
      </c>
      <c r="B143" s="1426" t="s">
        <v>404</v>
      </c>
      <c r="C143" s="1426" t="s">
        <v>704</v>
      </c>
      <c r="D143" s="1431">
        <v>0</v>
      </c>
    </row>
    <row r="144" spans="1:4">
      <c r="A144" s="1426" t="s">
        <v>397</v>
      </c>
      <c r="B144" s="1426" t="s">
        <v>404</v>
      </c>
      <c r="C144" s="1426" t="s">
        <v>703</v>
      </c>
      <c r="D144" s="1431">
        <v>0</v>
      </c>
    </row>
    <row r="145" spans="1:4">
      <c r="A145" s="1426" t="s">
        <v>397</v>
      </c>
      <c r="B145" s="1426" t="s">
        <v>404</v>
      </c>
      <c r="C145" s="1426" t="s">
        <v>702</v>
      </c>
      <c r="D145" s="1431">
        <v>0</v>
      </c>
    </row>
    <row r="146" spans="1:4">
      <c r="A146" s="1426" t="s">
        <v>397</v>
      </c>
      <c r="B146" s="1426" t="s">
        <v>407</v>
      </c>
      <c r="C146" s="1426" t="s">
        <v>712</v>
      </c>
      <c r="D146" s="1431">
        <v>0</v>
      </c>
    </row>
    <row r="147" spans="1:4">
      <c r="A147" s="1426" t="s">
        <v>397</v>
      </c>
      <c r="B147" s="1426" t="s">
        <v>407</v>
      </c>
      <c r="C147" s="1426" t="s">
        <v>711</v>
      </c>
      <c r="D147" s="1431">
        <v>0</v>
      </c>
    </row>
    <row r="148" spans="1:4">
      <c r="A148" s="1426" t="s">
        <v>397</v>
      </c>
      <c r="B148" s="1426" t="s">
        <v>407</v>
      </c>
      <c r="C148" s="1426" t="s">
        <v>710</v>
      </c>
      <c r="D148" s="1431">
        <v>0</v>
      </c>
    </row>
    <row r="149" spans="1:4">
      <c r="A149" s="1426" t="s">
        <v>397</v>
      </c>
      <c r="B149" s="1426" t="s">
        <v>407</v>
      </c>
      <c r="C149" s="1426" t="s">
        <v>709</v>
      </c>
      <c r="D149" s="1431">
        <v>0</v>
      </c>
    </row>
    <row r="150" spans="1:4">
      <c r="A150" s="1426" t="s">
        <v>397</v>
      </c>
      <c r="B150" s="1426" t="s">
        <v>407</v>
      </c>
      <c r="C150" s="1426" t="s">
        <v>708</v>
      </c>
      <c r="D150" s="1431">
        <v>0</v>
      </c>
    </row>
    <row r="151" spans="1:4">
      <c r="A151" s="1426" t="s">
        <v>397</v>
      </c>
      <c r="B151" s="1426" t="s">
        <v>407</v>
      </c>
      <c r="C151" s="1426" t="s">
        <v>707</v>
      </c>
      <c r="D151" s="1431">
        <v>0</v>
      </c>
    </row>
    <row r="152" spans="1:4">
      <c r="A152" s="1426" t="s">
        <v>397</v>
      </c>
      <c r="B152" s="1426" t="s">
        <v>407</v>
      </c>
      <c r="C152" s="1426" t="s">
        <v>706</v>
      </c>
      <c r="D152" s="1431">
        <v>0</v>
      </c>
    </row>
    <row r="153" spans="1:4">
      <c r="A153" s="1426" t="s">
        <v>397</v>
      </c>
      <c r="B153" s="1426" t="s">
        <v>407</v>
      </c>
      <c r="C153" s="1426" t="s">
        <v>705</v>
      </c>
      <c r="D153" s="1431">
        <v>0</v>
      </c>
    </row>
    <row r="154" spans="1:4">
      <c r="A154" s="1426" t="s">
        <v>397</v>
      </c>
      <c r="B154" s="1426" t="s">
        <v>407</v>
      </c>
      <c r="C154" s="1426" t="s">
        <v>704</v>
      </c>
      <c r="D154" s="1431">
        <v>0</v>
      </c>
    </row>
    <row r="155" spans="1:4">
      <c r="A155" s="1426" t="s">
        <v>397</v>
      </c>
      <c r="B155" s="1426" t="s">
        <v>407</v>
      </c>
      <c r="C155" s="1426" t="s">
        <v>703</v>
      </c>
      <c r="D155" s="1431">
        <v>0</v>
      </c>
    </row>
    <row r="156" spans="1:4">
      <c r="A156" s="1426" t="s">
        <v>397</v>
      </c>
      <c r="B156" s="1426" t="s">
        <v>407</v>
      </c>
      <c r="C156" s="1426" t="s">
        <v>702</v>
      </c>
      <c r="D156" s="1431">
        <v>0</v>
      </c>
    </row>
    <row r="157" spans="1:4">
      <c r="A157" s="1426" t="s">
        <v>397</v>
      </c>
      <c r="B157" s="1426" t="s">
        <v>406</v>
      </c>
      <c r="C157" s="1426" t="s">
        <v>712</v>
      </c>
      <c r="D157" s="1431">
        <v>0</v>
      </c>
    </row>
    <row r="158" spans="1:4">
      <c r="A158" s="1426" t="s">
        <v>397</v>
      </c>
      <c r="B158" s="1426" t="s">
        <v>406</v>
      </c>
      <c r="C158" s="1426" t="s">
        <v>711</v>
      </c>
      <c r="D158" s="1431">
        <v>0</v>
      </c>
    </row>
    <row r="159" spans="1:4">
      <c r="A159" s="1426" t="s">
        <v>397</v>
      </c>
      <c r="B159" s="1426" t="s">
        <v>406</v>
      </c>
      <c r="C159" s="1426" t="s">
        <v>710</v>
      </c>
      <c r="D159" s="1431">
        <v>0</v>
      </c>
    </row>
    <row r="160" spans="1:4">
      <c r="A160" s="1426" t="s">
        <v>397</v>
      </c>
      <c r="B160" s="1426" t="s">
        <v>406</v>
      </c>
      <c r="C160" s="1426" t="s">
        <v>709</v>
      </c>
      <c r="D160" s="1431">
        <v>0</v>
      </c>
    </row>
    <row r="161" spans="1:4">
      <c r="A161" s="1426" t="s">
        <v>397</v>
      </c>
      <c r="B161" s="1426" t="s">
        <v>406</v>
      </c>
      <c r="C161" s="1426" t="s">
        <v>708</v>
      </c>
      <c r="D161" s="1431">
        <v>0</v>
      </c>
    </row>
    <row r="162" spans="1:4">
      <c r="A162" s="1426" t="s">
        <v>397</v>
      </c>
      <c r="B162" s="1426" t="s">
        <v>406</v>
      </c>
      <c r="C162" s="1426" t="s">
        <v>707</v>
      </c>
      <c r="D162" s="1431">
        <v>0</v>
      </c>
    </row>
    <row r="163" spans="1:4">
      <c r="A163" s="1426" t="s">
        <v>397</v>
      </c>
      <c r="B163" s="1426" t="s">
        <v>406</v>
      </c>
      <c r="C163" s="1426" t="s">
        <v>706</v>
      </c>
      <c r="D163" s="1431">
        <v>0</v>
      </c>
    </row>
    <row r="164" spans="1:4">
      <c r="A164" s="1426" t="s">
        <v>397</v>
      </c>
      <c r="B164" s="1426" t="s">
        <v>406</v>
      </c>
      <c r="C164" s="1426" t="s">
        <v>705</v>
      </c>
      <c r="D164" s="1431">
        <v>0</v>
      </c>
    </row>
    <row r="165" spans="1:4">
      <c r="A165" s="1426" t="s">
        <v>397</v>
      </c>
      <c r="B165" s="1426" t="s">
        <v>406</v>
      </c>
      <c r="C165" s="1426" t="s">
        <v>704</v>
      </c>
      <c r="D165" s="1431">
        <v>0</v>
      </c>
    </row>
    <row r="166" spans="1:4">
      <c r="A166" s="1426" t="s">
        <v>397</v>
      </c>
      <c r="B166" s="1426" t="s">
        <v>406</v>
      </c>
      <c r="C166" s="1426" t="s">
        <v>703</v>
      </c>
      <c r="D166" s="1431">
        <v>0</v>
      </c>
    </row>
    <row r="167" spans="1:4">
      <c r="A167" s="1426" t="s">
        <v>397</v>
      </c>
      <c r="B167" s="1426" t="s">
        <v>406</v>
      </c>
      <c r="C167" s="1426" t="s">
        <v>702</v>
      </c>
      <c r="D167" s="1431">
        <v>0</v>
      </c>
    </row>
    <row r="168" spans="1:4">
      <c r="A168" s="1426" t="s">
        <v>397</v>
      </c>
      <c r="B168" s="1426" t="s">
        <v>405</v>
      </c>
      <c r="C168" s="1426" t="s">
        <v>712</v>
      </c>
      <c r="D168" s="1431">
        <v>0</v>
      </c>
    </row>
    <row r="169" spans="1:4">
      <c r="A169" s="1426" t="s">
        <v>397</v>
      </c>
      <c r="B169" s="1426" t="s">
        <v>405</v>
      </c>
      <c r="C169" s="1426" t="s">
        <v>711</v>
      </c>
      <c r="D169" s="1431">
        <v>0</v>
      </c>
    </row>
    <row r="170" spans="1:4">
      <c r="A170" s="1426" t="s">
        <v>397</v>
      </c>
      <c r="B170" s="1426" t="s">
        <v>405</v>
      </c>
      <c r="C170" s="1426" t="s">
        <v>710</v>
      </c>
      <c r="D170" s="1431">
        <v>0</v>
      </c>
    </row>
    <row r="171" spans="1:4">
      <c r="A171" s="1426" t="s">
        <v>397</v>
      </c>
      <c r="B171" s="1426" t="s">
        <v>405</v>
      </c>
      <c r="C171" s="1426" t="s">
        <v>709</v>
      </c>
      <c r="D171" s="1431">
        <v>0</v>
      </c>
    </row>
    <row r="172" spans="1:4">
      <c r="A172" s="1426" t="s">
        <v>397</v>
      </c>
      <c r="B172" s="1426" t="s">
        <v>405</v>
      </c>
      <c r="C172" s="1426" t="s">
        <v>708</v>
      </c>
      <c r="D172" s="1431">
        <v>0</v>
      </c>
    </row>
    <row r="173" spans="1:4">
      <c r="A173" s="1426" t="s">
        <v>397</v>
      </c>
      <c r="B173" s="1426" t="s">
        <v>405</v>
      </c>
      <c r="C173" s="1426" t="s">
        <v>707</v>
      </c>
      <c r="D173" s="1431">
        <v>0</v>
      </c>
    </row>
    <row r="174" spans="1:4">
      <c r="A174" s="1426" t="s">
        <v>397</v>
      </c>
      <c r="B174" s="1426" t="s">
        <v>405</v>
      </c>
      <c r="C174" s="1426" t="s">
        <v>706</v>
      </c>
      <c r="D174" s="1431">
        <v>0</v>
      </c>
    </row>
    <row r="175" spans="1:4">
      <c r="A175" s="1426" t="s">
        <v>397</v>
      </c>
      <c r="B175" s="1426" t="s">
        <v>405</v>
      </c>
      <c r="C175" s="1426" t="s">
        <v>705</v>
      </c>
      <c r="D175" s="1431">
        <v>0</v>
      </c>
    </row>
    <row r="176" spans="1:4">
      <c r="A176" s="1426" t="s">
        <v>397</v>
      </c>
      <c r="B176" s="1426" t="s">
        <v>405</v>
      </c>
      <c r="C176" s="1426" t="s">
        <v>704</v>
      </c>
      <c r="D176" s="1431">
        <v>0</v>
      </c>
    </row>
    <row r="177" spans="1:4">
      <c r="A177" s="1426" t="s">
        <v>397</v>
      </c>
      <c r="B177" s="1426" t="s">
        <v>405</v>
      </c>
      <c r="C177" s="1426" t="s">
        <v>703</v>
      </c>
      <c r="D177" s="1431">
        <v>0</v>
      </c>
    </row>
    <row r="178" spans="1:4">
      <c r="A178" s="1426" t="s">
        <v>397</v>
      </c>
      <c r="B178" s="1426" t="s">
        <v>405</v>
      </c>
      <c r="C178" s="1426" t="s">
        <v>702</v>
      </c>
      <c r="D178" s="1431">
        <v>0</v>
      </c>
    </row>
    <row r="179" spans="1:4">
      <c r="A179" s="1426" t="s">
        <v>398</v>
      </c>
      <c r="B179" s="1426" t="s">
        <v>404</v>
      </c>
      <c r="C179" s="1426" t="s">
        <v>712</v>
      </c>
      <c r="D179" s="1431">
        <v>15</v>
      </c>
    </row>
    <row r="180" spans="1:4">
      <c r="A180" s="1426" t="s">
        <v>398</v>
      </c>
      <c r="B180" s="1426" t="s">
        <v>404</v>
      </c>
      <c r="C180" s="1426" t="s">
        <v>711</v>
      </c>
      <c r="D180" s="1431">
        <v>18</v>
      </c>
    </row>
    <row r="181" spans="1:4">
      <c r="A181" s="1426" t="s">
        <v>398</v>
      </c>
      <c r="B181" s="1426" t="s">
        <v>404</v>
      </c>
      <c r="C181" s="1426" t="s">
        <v>710</v>
      </c>
      <c r="D181" s="1431">
        <v>9</v>
      </c>
    </row>
    <row r="182" spans="1:4">
      <c r="A182" s="1426" t="s">
        <v>398</v>
      </c>
      <c r="B182" s="1426" t="s">
        <v>404</v>
      </c>
      <c r="C182" s="1426" t="s">
        <v>709</v>
      </c>
      <c r="D182" s="1431">
        <v>15</v>
      </c>
    </row>
    <row r="183" spans="1:4">
      <c r="A183" s="1426" t="s">
        <v>398</v>
      </c>
      <c r="B183" s="1426" t="s">
        <v>404</v>
      </c>
      <c r="C183" s="1426" t="s">
        <v>708</v>
      </c>
      <c r="D183" s="1431">
        <v>22</v>
      </c>
    </row>
    <row r="184" spans="1:4">
      <c r="A184" s="1426" t="s">
        <v>398</v>
      </c>
      <c r="B184" s="1426" t="s">
        <v>404</v>
      </c>
      <c r="C184" s="1426" t="s">
        <v>707</v>
      </c>
      <c r="D184" s="1431">
        <v>27</v>
      </c>
    </row>
    <row r="185" spans="1:4">
      <c r="A185" s="1426" t="s">
        <v>398</v>
      </c>
      <c r="B185" s="1426" t="s">
        <v>404</v>
      </c>
      <c r="C185" s="1426" t="s">
        <v>706</v>
      </c>
      <c r="D185" s="1431">
        <v>18</v>
      </c>
    </row>
    <row r="186" spans="1:4">
      <c r="A186" s="1426" t="s">
        <v>398</v>
      </c>
      <c r="B186" s="1426" t="s">
        <v>404</v>
      </c>
      <c r="C186" s="1426" t="s">
        <v>705</v>
      </c>
      <c r="D186" s="1431">
        <v>9</v>
      </c>
    </row>
    <row r="187" spans="1:4">
      <c r="A187" s="1426" t="s">
        <v>398</v>
      </c>
      <c r="B187" s="1426" t="s">
        <v>404</v>
      </c>
      <c r="C187" s="1426" t="s">
        <v>704</v>
      </c>
      <c r="D187" s="1431">
        <v>18</v>
      </c>
    </row>
    <row r="188" spans="1:4">
      <c r="A188" s="1426" t="s">
        <v>398</v>
      </c>
      <c r="B188" s="1426" t="s">
        <v>404</v>
      </c>
      <c r="C188" s="1426" t="s">
        <v>703</v>
      </c>
      <c r="D188" s="1431">
        <v>32</v>
      </c>
    </row>
    <row r="189" spans="1:4">
      <c r="A189" s="1426" t="s">
        <v>398</v>
      </c>
      <c r="B189" s="1426" t="s">
        <v>404</v>
      </c>
      <c r="C189" s="1426" t="s">
        <v>702</v>
      </c>
      <c r="D189" s="1431">
        <v>24</v>
      </c>
    </row>
    <row r="190" spans="1:4">
      <c r="A190" s="1426" t="s">
        <v>398</v>
      </c>
      <c r="B190" s="1426" t="s">
        <v>407</v>
      </c>
      <c r="C190" s="1426" t="s">
        <v>712</v>
      </c>
      <c r="D190" s="1431">
        <v>23</v>
      </c>
    </row>
    <row r="191" spans="1:4">
      <c r="A191" s="1426" t="s">
        <v>398</v>
      </c>
      <c r="B191" s="1426" t="s">
        <v>407</v>
      </c>
      <c r="C191" s="1426" t="s">
        <v>711</v>
      </c>
      <c r="D191" s="1431">
        <v>21</v>
      </c>
    </row>
    <row r="192" spans="1:4">
      <c r="A192" s="1426" t="s">
        <v>398</v>
      </c>
      <c r="B192" s="1426" t="s">
        <v>407</v>
      </c>
      <c r="C192" s="1426" t="s">
        <v>710</v>
      </c>
      <c r="D192" s="1431">
        <v>17</v>
      </c>
    </row>
    <row r="193" spans="1:4">
      <c r="A193" s="1426" t="s">
        <v>398</v>
      </c>
      <c r="B193" s="1426" t="s">
        <v>407</v>
      </c>
      <c r="C193" s="1426" t="s">
        <v>709</v>
      </c>
      <c r="D193" s="1431">
        <v>24</v>
      </c>
    </row>
    <row r="194" spans="1:4">
      <c r="A194" s="1426" t="s">
        <v>398</v>
      </c>
      <c r="B194" s="1426" t="s">
        <v>407</v>
      </c>
      <c r="C194" s="1426" t="s">
        <v>708</v>
      </c>
      <c r="D194" s="1431">
        <v>22</v>
      </c>
    </row>
    <row r="195" spans="1:4">
      <c r="A195" s="1426" t="s">
        <v>398</v>
      </c>
      <c r="B195" s="1426" t="s">
        <v>407</v>
      </c>
      <c r="C195" s="1426" t="s">
        <v>707</v>
      </c>
      <c r="D195" s="1431">
        <v>30</v>
      </c>
    </row>
    <row r="196" spans="1:4">
      <c r="A196" s="1426" t="s">
        <v>398</v>
      </c>
      <c r="B196" s="1426" t="s">
        <v>407</v>
      </c>
      <c r="C196" s="1426" t="s">
        <v>706</v>
      </c>
      <c r="D196" s="1431">
        <v>26</v>
      </c>
    </row>
    <row r="197" spans="1:4">
      <c r="A197" s="1426" t="s">
        <v>398</v>
      </c>
      <c r="B197" s="1426" t="s">
        <v>407</v>
      </c>
      <c r="C197" s="1426" t="s">
        <v>705</v>
      </c>
      <c r="D197" s="1431">
        <v>18</v>
      </c>
    </row>
    <row r="198" spans="1:4">
      <c r="A198" s="1426" t="s">
        <v>398</v>
      </c>
      <c r="B198" s="1426" t="s">
        <v>407</v>
      </c>
      <c r="C198" s="1426" t="s">
        <v>704</v>
      </c>
      <c r="D198" s="1431">
        <v>28</v>
      </c>
    </row>
    <row r="199" spans="1:4">
      <c r="A199" s="1426" t="s">
        <v>398</v>
      </c>
      <c r="B199" s="1426" t="s">
        <v>407</v>
      </c>
      <c r="C199" s="1426" t="s">
        <v>703</v>
      </c>
      <c r="D199" s="1431">
        <v>28</v>
      </c>
    </row>
    <row r="200" spans="1:4">
      <c r="A200" s="1426" t="s">
        <v>398</v>
      </c>
      <c r="B200" s="1426" t="s">
        <v>407</v>
      </c>
      <c r="C200" s="1426" t="s">
        <v>702</v>
      </c>
      <c r="D200" s="1431">
        <v>26</v>
      </c>
    </row>
    <row r="201" spans="1:4">
      <c r="A201" s="1426" t="s">
        <v>398</v>
      </c>
      <c r="B201" s="1426" t="s">
        <v>406</v>
      </c>
      <c r="C201" s="1426" t="s">
        <v>712</v>
      </c>
      <c r="D201" s="1431">
        <v>29</v>
      </c>
    </row>
    <row r="202" spans="1:4">
      <c r="A202" s="1426" t="s">
        <v>398</v>
      </c>
      <c r="B202" s="1426" t="s">
        <v>406</v>
      </c>
      <c r="C202" s="1426" t="s">
        <v>711</v>
      </c>
      <c r="D202" s="1431">
        <v>25</v>
      </c>
    </row>
    <row r="203" spans="1:4">
      <c r="A203" s="1426" t="s">
        <v>398</v>
      </c>
      <c r="B203" s="1426" t="s">
        <v>406</v>
      </c>
      <c r="C203" s="1426" t="s">
        <v>710</v>
      </c>
      <c r="D203" s="1431">
        <v>27</v>
      </c>
    </row>
    <row r="204" spans="1:4">
      <c r="A204" s="1426" t="s">
        <v>398</v>
      </c>
      <c r="B204" s="1426" t="s">
        <v>406</v>
      </c>
      <c r="C204" s="1426" t="s">
        <v>709</v>
      </c>
      <c r="D204" s="1431">
        <v>18</v>
      </c>
    </row>
    <row r="205" spans="1:4">
      <c r="A205" s="1426" t="s">
        <v>398</v>
      </c>
      <c r="B205" s="1426" t="s">
        <v>406</v>
      </c>
      <c r="C205" s="1426" t="s">
        <v>708</v>
      </c>
      <c r="D205" s="1431">
        <v>20</v>
      </c>
    </row>
    <row r="206" spans="1:4">
      <c r="A206" s="1426" t="s">
        <v>398</v>
      </c>
      <c r="B206" s="1426" t="s">
        <v>406</v>
      </c>
      <c r="C206" s="1426" t="s">
        <v>707</v>
      </c>
      <c r="D206" s="1431">
        <v>14</v>
      </c>
    </row>
    <row r="207" spans="1:4">
      <c r="A207" s="1426" t="s">
        <v>398</v>
      </c>
      <c r="B207" s="1426" t="s">
        <v>406</v>
      </c>
      <c r="C207" s="1426" t="s">
        <v>706</v>
      </c>
      <c r="D207" s="1431">
        <v>18</v>
      </c>
    </row>
    <row r="208" spans="1:4">
      <c r="A208" s="1426" t="s">
        <v>398</v>
      </c>
      <c r="B208" s="1426" t="s">
        <v>406</v>
      </c>
      <c r="C208" s="1426" t="s">
        <v>705</v>
      </c>
      <c r="D208" s="1431">
        <v>12</v>
      </c>
    </row>
    <row r="209" spans="1:4">
      <c r="A209" s="1426" t="s">
        <v>398</v>
      </c>
      <c r="B209" s="1426" t="s">
        <v>406</v>
      </c>
      <c r="C209" s="1426" t="s">
        <v>704</v>
      </c>
      <c r="D209" s="1431">
        <v>22</v>
      </c>
    </row>
    <row r="210" spans="1:4">
      <c r="A210" s="1426" t="s">
        <v>398</v>
      </c>
      <c r="B210" s="1426" t="s">
        <v>406</v>
      </c>
      <c r="C210" s="1426" t="s">
        <v>703</v>
      </c>
      <c r="D210" s="1431">
        <v>14</v>
      </c>
    </row>
    <row r="211" spans="1:4">
      <c r="A211" s="1426" t="s">
        <v>398</v>
      </c>
      <c r="B211" s="1426" t="s">
        <v>406</v>
      </c>
      <c r="C211" s="1426" t="s">
        <v>702</v>
      </c>
      <c r="D211" s="1431">
        <v>0</v>
      </c>
    </row>
    <row r="212" spans="1:4">
      <c r="A212" s="1426" t="s">
        <v>398</v>
      </c>
      <c r="B212" s="1426" t="s">
        <v>405</v>
      </c>
      <c r="C212" s="1426" t="s">
        <v>712</v>
      </c>
      <c r="D212" s="1431">
        <v>13</v>
      </c>
    </row>
    <row r="213" spans="1:4">
      <c r="A213" s="1426" t="s">
        <v>398</v>
      </c>
      <c r="B213" s="1426" t="s">
        <v>405</v>
      </c>
      <c r="C213" s="1426" t="s">
        <v>711</v>
      </c>
      <c r="D213" s="1431">
        <v>14</v>
      </c>
    </row>
    <row r="214" spans="1:4">
      <c r="A214" s="1426" t="s">
        <v>398</v>
      </c>
      <c r="B214" s="1426" t="s">
        <v>405</v>
      </c>
      <c r="C214" s="1426" t="s">
        <v>710</v>
      </c>
      <c r="D214" s="1431">
        <v>11</v>
      </c>
    </row>
    <row r="215" spans="1:4">
      <c r="A215" s="1426" t="s">
        <v>398</v>
      </c>
      <c r="B215" s="1426" t="s">
        <v>405</v>
      </c>
      <c r="C215" s="1426" t="s">
        <v>709</v>
      </c>
      <c r="D215" s="1431">
        <v>9</v>
      </c>
    </row>
    <row r="216" spans="1:4">
      <c r="A216" s="1426" t="s">
        <v>398</v>
      </c>
      <c r="B216" s="1426" t="s">
        <v>405</v>
      </c>
      <c r="C216" s="1426" t="s">
        <v>708</v>
      </c>
      <c r="D216" s="1431">
        <v>8</v>
      </c>
    </row>
    <row r="217" spans="1:4">
      <c r="A217" s="1426" t="s">
        <v>398</v>
      </c>
      <c r="B217" s="1426" t="s">
        <v>405</v>
      </c>
      <c r="C217" s="1426" t="s">
        <v>707</v>
      </c>
      <c r="D217" s="1431">
        <v>9</v>
      </c>
    </row>
    <row r="218" spans="1:4">
      <c r="A218" s="1426" t="s">
        <v>398</v>
      </c>
      <c r="B218" s="1426" t="s">
        <v>405</v>
      </c>
      <c r="C218" s="1426" t="s">
        <v>706</v>
      </c>
      <c r="D218" s="1431">
        <v>8</v>
      </c>
    </row>
    <row r="219" spans="1:4">
      <c r="A219" s="1426" t="s">
        <v>398</v>
      </c>
      <c r="B219" s="1426" t="s">
        <v>405</v>
      </c>
      <c r="C219" s="1426" t="s">
        <v>705</v>
      </c>
      <c r="D219" s="1431">
        <v>6</v>
      </c>
    </row>
    <row r="220" spans="1:4">
      <c r="A220" s="1426" t="s">
        <v>398</v>
      </c>
      <c r="B220" s="1426" t="s">
        <v>405</v>
      </c>
      <c r="C220" s="1426" t="s">
        <v>704</v>
      </c>
      <c r="D220" s="1431">
        <v>12</v>
      </c>
    </row>
    <row r="221" spans="1:4">
      <c r="A221" s="1426" t="s">
        <v>398</v>
      </c>
      <c r="B221" s="1426" t="s">
        <v>405</v>
      </c>
      <c r="C221" s="1426" t="s">
        <v>703</v>
      </c>
      <c r="D221" s="1431">
        <v>14</v>
      </c>
    </row>
    <row r="222" spans="1:4">
      <c r="A222" s="1426" t="s">
        <v>398</v>
      </c>
      <c r="B222" s="1426" t="s">
        <v>405</v>
      </c>
      <c r="C222" s="1426" t="s">
        <v>702</v>
      </c>
      <c r="D222" s="1431">
        <v>10</v>
      </c>
    </row>
    <row r="223" spans="1:4">
      <c r="A223" s="1426" t="s">
        <v>390</v>
      </c>
      <c r="B223" s="1426" t="s">
        <v>404</v>
      </c>
      <c r="C223" s="1426" t="s">
        <v>712</v>
      </c>
      <c r="D223" s="1431">
        <v>0</v>
      </c>
    </row>
    <row r="224" spans="1:4">
      <c r="A224" s="1426" t="s">
        <v>390</v>
      </c>
      <c r="B224" s="1426" t="s">
        <v>404</v>
      </c>
      <c r="C224" s="1426" t="s">
        <v>711</v>
      </c>
      <c r="D224" s="1431">
        <v>0</v>
      </c>
    </row>
    <row r="225" spans="1:4">
      <c r="A225" s="1426" t="s">
        <v>390</v>
      </c>
      <c r="B225" s="1426" t="s">
        <v>404</v>
      </c>
      <c r="C225" s="1426" t="s">
        <v>710</v>
      </c>
      <c r="D225" s="1431">
        <v>0</v>
      </c>
    </row>
    <row r="226" spans="1:4">
      <c r="A226" s="1426" t="s">
        <v>390</v>
      </c>
      <c r="B226" s="1426" t="s">
        <v>404</v>
      </c>
      <c r="C226" s="1426" t="s">
        <v>709</v>
      </c>
      <c r="D226" s="1431">
        <v>0</v>
      </c>
    </row>
    <row r="227" spans="1:4">
      <c r="A227" s="1426" t="s">
        <v>390</v>
      </c>
      <c r="B227" s="1426" t="s">
        <v>404</v>
      </c>
      <c r="C227" s="1426" t="s">
        <v>708</v>
      </c>
      <c r="D227" s="1431">
        <v>0</v>
      </c>
    </row>
    <row r="228" spans="1:4">
      <c r="A228" s="1426" t="s">
        <v>390</v>
      </c>
      <c r="B228" s="1426" t="s">
        <v>404</v>
      </c>
      <c r="C228" s="1426" t="s">
        <v>707</v>
      </c>
      <c r="D228" s="1431">
        <v>0</v>
      </c>
    </row>
    <row r="229" spans="1:4">
      <c r="A229" s="1426" t="s">
        <v>390</v>
      </c>
      <c r="B229" s="1426" t="s">
        <v>404</v>
      </c>
      <c r="C229" s="1426" t="s">
        <v>706</v>
      </c>
      <c r="D229" s="1431">
        <v>0</v>
      </c>
    </row>
    <row r="230" spans="1:4">
      <c r="A230" s="1426" t="s">
        <v>390</v>
      </c>
      <c r="B230" s="1426" t="s">
        <v>404</v>
      </c>
      <c r="C230" s="1426" t="s">
        <v>705</v>
      </c>
      <c r="D230" s="1431">
        <v>0</v>
      </c>
    </row>
    <row r="231" spans="1:4">
      <c r="A231" s="1426" t="s">
        <v>390</v>
      </c>
      <c r="B231" s="1426" t="s">
        <v>404</v>
      </c>
      <c r="C231" s="1426" t="s">
        <v>704</v>
      </c>
      <c r="D231" s="1431">
        <v>0</v>
      </c>
    </row>
    <row r="232" spans="1:4">
      <c r="A232" s="1426" t="s">
        <v>390</v>
      </c>
      <c r="B232" s="1426" t="s">
        <v>404</v>
      </c>
      <c r="C232" s="1426" t="s">
        <v>703</v>
      </c>
      <c r="D232" s="1431">
        <v>0</v>
      </c>
    </row>
    <row r="233" spans="1:4">
      <c r="A233" s="1426" t="s">
        <v>390</v>
      </c>
      <c r="B233" s="1426" t="s">
        <v>404</v>
      </c>
      <c r="C233" s="1426" t="s">
        <v>702</v>
      </c>
      <c r="D233" s="1431">
        <v>0</v>
      </c>
    </row>
    <row r="234" spans="1:4">
      <c r="A234" s="1426" t="s">
        <v>390</v>
      </c>
      <c r="B234" s="1426" t="s">
        <v>407</v>
      </c>
      <c r="C234" s="1426" t="s">
        <v>712</v>
      </c>
      <c r="D234" s="1431">
        <v>0</v>
      </c>
    </row>
    <row r="235" spans="1:4">
      <c r="A235" s="1426" t="s">
        <v>390</v>
      </c>
      <c r="B235" s="1426" t="s">
        <v>407</v>
      </c>
      <c r="C235" s="1426" t="s">
        <v>711</v>
      </c>
      <c r="D235" s="1431">
        <v>0</v>
      </c>
    </row>
    <row r="236" spans="1:4">
      <c r="A236" s="1426" t="s">
        <v>390</v>
      </c>
      <c r="B236" s="1426" t="s">
        <v>407</v>
      </c>
      <c r="C236" s="1426" t="s">
        <v>710</v>
      </c>
      <c r="D236" s="1431">
        <v>0</v>
      </c>
    </row>
    <row r="237" spans="1:4">
      <c r="A237" s="1426" t="s">
        <v>390</v>
      </c>
      <c r="B237" s="1426" t="s">
        <v>407</v>
      </c>
      <c r="C237" s="1426" t="s">
        <v>709</v>
      </c>
      <c r="D237" s="1431">
        <v>0</v>
      </c>
    </row>
    <row r="238" spans="1:4">
      <c r="A238" s="1426" t="s">
        <v>390</v>
      </c>
      <c r="B238" s="1426" t="s">
        <v>407</v>
      </c>
      <c r="C238" s="1426" t="s">
        <v>708</v>
      </c>
      <c r="D238" s="1431">
        <v>0</v>
      </c>
    </row>
    <row r="239" spans="1:4">
      <c r="A239" s="1426" t="s">
        <v>390</v>
      </c>
      <c r="B239" s="1426" t="s">
        <v>407</v>
      </c>
      <c r="C239" s="1426" t="s">
        <v>707</v>
      </c>
      <c r="D239" s="1431">
        <v>0</v>
      </c>
    </row>
    <row r="240" spans="1:4">
      <c r="A240" s="1426" t="s">
        <v>390</v>
      </c>
      <c r="B240" s="1426" t="s">
        <v>407</v>
      </c>
      <c r="C240" s="1426" t="s">
        <v>706</v>
      </c>
      <c r="D240" s="1431">
        <v>0</v>
      </c>
    </row>
    <row r="241" spans="1:4">
      <c r="A241" s="1426" t="s">
        <v>390</v>
      </c>
      <c r="B241" s="1426" t="s">
        <v>407</v>
      </c>
      <c r="C241" s="1426" t="s">
        <v>705</v>
      </c>
      <c r="D241" s="1431">
        <v>0</v>
      </c>
    </row>
    <row r="242" spans="1:4">
      <c r="A242" s="1426" t="s">
        <v>390</v>
      </c>
      <c r="B242" s="1426" t="s">
        <v>407</v>
      </c>
      <c r="C242" s="1426" t="s">
        <v>704</v>
      </c>
      <c r="D242" s="1431">
        <v>0</v>
      </c>
    </row>
    <row r="243" spans="1:4">
      <c r="A243" s="1426" t="s">
        <v>390</v>
      </c>
      <c r="B243" s="1426" t="s">
        <v>407</v>
      </c>
      <c r="C243" s="1426" t="s">
        <v>703</v>
      </c>
      <c r="D243" s="1431">
        <v>0</v>
      </c>
    </row>
    <row r="244" spans="1:4">
      <c r="A244" s="1426" t="s">
        <v>390</v>
      </c>
      <c r="B244" s="1426" t="s">
        <v>407</v>
      </c>
      <c r="C244" s="1426" t="s">
        <v>702</v>
      </c>
      <c r="D244" s="1431">
        <v>0</v>
      </c>
    </row>
    <row r="245" spans="1:4">
      <c r="A245" s="1426" t="s">
        <v>390</v>
      </c>
      <c r="B245" s="1426" t="s">
        <v>406</v>
      </c>
      <c r="C245" s="1426" t="s">
        <v>712</v>
      </c>
      <c r="D245" s="1431">
        <v>0</v>
      </c>
    </row>
    <row r="246" spans="1:4">
      <c r="A246" s="1426" t="s">
        <v>390</v>
      </c>
      <c r="B246" s="1426" t="s">
        <v>406</v>
      </c>
      <c r="C246" s="1426" t="s">
        <v>711</v>
      </c>
      <c r="D246" s="1431">
        <v>0</v>
      </c>
    </row>
    <row r="247" spans="1:4">
      <c r="A247" s="1426" t="s">
        <v>390</v>
      </c>
      <c r="B247" s="1426" t="s">
        <v>406</v>
      </c>
      <c r="C247" s="1426" t="s">
        <v>710</v>
      </c>
      <c r="D247" s="1431">
        <v>0</v>
      </c>
    </row>
    <row r="248" spans="1:4">
      <c r="A248" s="1426" t="s">
        <v>390</v>
      </c>
      <c r="B248" s="1426" t="s">
        <v>406</v>
      </c>
      <c r="C248" s="1426" t="s">
        <v>709</v>
      </c>
      <c r="D248" s="1431">
        <v>0</v>
      </c>
    </row>
    <row r="249" spans="1:4">
      <c r="A249" s="1426" t="s">
        <v>390</v>
      </c>
      <c r="B249" s="1426" t="s">
        <v>406</v>
      </c>
      <c r="C249" s="1426" t="s">
        <v>708</v>
      </c>
      <c r="D249" s="1431">
        <v>0</v>
      </c>
    </row>
    <row r="250" spans="1:4">
      <c r="A250" s="1426" t="s">
        <v>390</v>
      </c>
      <c r="B250" s="1426" t="s">
        <v>406</v>
      </c>
      <c r="C250" s="1426" t="s">
        <v>707</v>
      </c>
      <c r="D250" s="1431">
        <v>0</v>
      </c>
    </row>
    <row r="251" spans="1:4">
      <c r="A251" s="1426" t="s">
        <v>390</v>
      </c>
      <c r="B251" s="1426" t="s">
        <v>406</v>
      </c>
      <c r="C251" s="1426" t="s">
        <v>706</v>
      </c>
      <c r="D251" s="1431">
        <v>0</v>
      </c>
    </row>
    <row r="252" spans="1:4">
      <c r="A252" s="1426" t="s">
        <v>390</v>
      </c>
      <c r="B252" s="1426" t="s">
        <v>406</v>
      </c>
      <c r="C252" s="1426" t="s">
        <v>705</v>
      </c>
      <c r="D252" s="1431">
        <v>0</v>
      </c>
    </row>
    <row r="253" spans="1:4">
      <c r="A253" s="1426" t="s">
        <v>390</v>
      </c>
      <c r="B253" s="1426" t="s">
        <v>406</v>
      </c>
      <c r="C253" s="1426" t="s">
        <v>704</v>
      </c>
      <c r="D253" s="1431">
        <v>0</v>
      </c>
    </row>
    <row r="254" spans="1:4">
      <c r="A254" s="1426" t="s">
        <v>390</v>
      </c>
      <c r="B254" s="1426" t="s">
        <v>406</v>
      </c>
      <c r="C254" s="1426" t="s">
        <v>703</v>
      </c>
      <c r="D254" s="1431">
        <v>0</v>
      </c>
    </row>
    <row r="255" spans="1:4">
      <c r="A255" s="1426" t="s">
        <v>390</v>
      </c>
      <c r="B255" s="1426" t="s">
        <v>406</v>
      </c>
      <c r="C255" s="1426" t="s">
        <v>702</v>
      </c>
      <c r="D255" s="1431">
        <v>0</v>
      </c>
    </row>
    <row r="256" spans="1:4">
      <c r="A256" s="1426" t="s">
        <v>390</v>
      </c>
      <c r="B256" s="1426" t="s">
        <v>405</v>
      </c>
      <c r="C256" s="1426" t="s">
        <v>712</v>
      </c>
      <c r="D256" s="1431">
        <v>0</v>
      </c>
    </row>
    <row r="257" spans="1:4">
      <c r="A257" s="1426" t="s">
        <v>390</v>
      </c>
      <c r="B257" s="1426" t="s">
        <v>405</v>
      </c>
      <c r="C257" s="1426" t="s">
        <v>711</v>
      </c>
      <c r="D257" s="1431">
        <v>0</v>
      </c>
    </row>
    <row r="258" spans="1:4">
      <c r="A258" s="1426" t="s">
        <v>390</v>
      </c>
      <c r="B258" s="1426" t="s">
        <v>405</v>
      </c>
      <c r="C258" s="1426" t="s">
        <v>710</v>
      </c>
      <c r="D258" s="1431">
        <v>0</v>
      </c>
    </row>
    <row r="259" spans="1:4">
      <c r="A259" s="1426" t="s">
        <v>390</v>
      </c>
      <c r="B259" s="1426" t="s">
        <v>405</v>
      </c>
      <c r="C259" s="1426" t="s">
        <v>709</v>
      </c>
      <c r="D259" s="1431">
        <v>0</v>
      </c>
    </row>
    <row r="260" spans="1:4">
      <c r="A260" s="1426" t="s">
        <v>390</v>
      </c>
      <c r="B260" s="1426" t="s">
        <v>405</v>
      </c>
      <c r="C260" s="1426" t="s">
        <v>708</v>
      </c>
      <c r="D260" s="1431">
        <v>0</v>
      </c>
    </row>
    <row r="261" spans="1:4">
      <c r="A261" s="1426" t="s">
        <v>390</v>
      </c>
      <c r="B261" s="1426" t="s">
        <v>405</v>
      </c>
      <c r="C261" s="1426" t="s">
        <v>707</v>
      </c>
      <c r="D261" s="1431">
        <v>0</v>
      </c>
    </row>
    <row r="262" spans="1:4">
      <c r="A262" s="1426" t="s">
        <v>390</v>
      </c>
      <c r="B262" s="1426" t="s">
        <v>405</v>
      </c>
      <c r="C262" s="1426" t="s">
        <v>706</v>
      </c>
      <c r="D262" s="1431">
        <v>0</v>
      </c>
    </row>
    <row r="263" spans="1:4">
      <c r="A263" s="1426" t="s">
        <v>390</v>
      </c>
      <c r="B263" s="1426" t="s">
        <v>405</v>
      </c>
      <c r="C263" s="1426" t="s">
        <v>705</v>
      </c>
      <c r="D263" s="1431">
        <v>0</v>
      </c>
    </row>
    <row r="264" spans="1:4">
      <c r="A264" s="1426" t="s">
        <v>390</v>
      </c>
      <c r="B264" s="1426" t="s">
        <v>405</v>
      </c>
      <c r="C264" s="1426" t="s">
        <v>704</v>
      </c>
      <c r="D264" s="1431">
        <v>0</v>
      </c>
    </row>
    <row r="265" spans="1:4">
      <c r="A265" s="1426" t="s">
        <v>390</v>
      </c>
      <c r="B265" s="1426" t="s">
        <v>405</v>
      </c>
      <c r="C265" s="1426" t="s">
        <v>703</v>
      </c>
      <c r="D265" s="1431">
        <v>0</v>
      </c>
    </row>
    <row r="266" spans="1:4">
      <c r="A266" s="1426" t="s">
        <v>390</v>
      </c>
      <c r="B266" s="1426" t="s">
        <v>405</v>
      </c>
      <c r="C266" s="1426" t="s">
        <v>702</v>
      </c>
      <c r="D266" s="1431">
        <v>0</v>
      </c>
    </row>
    <row r="267" spans="1:4">
      <c r="A267" s="1426" t="s">
        <v>388</v>
      </c>
      <c r="B267" s="1426" t="s">
        <v>404</v>
      </c>
      <c r="C267" s="1426" t="s">
        <v>712</v>
      </c>
      <c r="D267" s="1431">
        <v>0</v>
      </c>
    </row>
    <row r="268" spans="1:4">
      <c r="A268" s="1426" t="s">
        <v>388</v>
      </c>
      <c r="B268" s="1426" t="s">
        <v>404</v>
      </c>
      <c r="C268" s="1426" t="s">
        <v>711</v>
      </c>
      <c r="D268" s="1431">
        <v>0</v>
      </c>
    </row>
    <row r="269" spans="1:4">
      <c r="A269" s="1426" t="s">
        <v>388</v>
      </c>
      <c r="B269" s="1426" t="s">
        <v>404</v>
      </c>
      <c r="C269" s="1426" t="s">
        <v>710</v>
      </c>
      <c r="D269" s="1431">
        <v>0</v>
      </c>
    </row>
    <row r="270" spans="1:4">
      <c r="A270" s="1426" t="s">
        <v>388</v>
      </c>
      <c r="B270" s="1426" t="s">
        <v>404</v>
      </c>
      <c r="C270" s="1426" t="s">
        <v>709</v>
      </c>
      <c r="D270" s="1431">
        <v>0</v>
      </c>
    </row>
    <row r="271" spans="1:4">
      <c r="A271" s="1426" t="s">
        <v>388</v>
      </c>
      <c r="B271" s="1426" t="s">
        <v>404</v>
      </c>
      <c r="C271" s="1426" t="s">
        <v>708</v>
      </c>
      <c r="D271" s="1431">
        <v>0</v>
      </c>
    </row>
    <row r="272" spans="1:4">
      <c r="A272" s="1426" t="s">
        <v>388</v>
      </c>
      <c r="B272" s="1426" t="s">
        <v>404</v>
      </c>
      <c r="C272" s="1426" t="s">
        <v>707</v>
      </c>
      <c r="D272" s="1431">
        <v>0</v>
      </c>
    </row>
    <row r="273" spans="1:4">
      <c r="A273" s="1426" t="s">
        <v>388</v>
      </c>
      <c r="B273" s="1426" t="s">
        <v>404</v>
      </c>
      <c r="C273" s="1426" t="s">
        <v>706</v>
      </c>
      <c r="D273" s="1431">
        <v>0</v>
      </c>
    </row>
    <row r="274" spans="1:4">
      <c r="A274" s="1426" t="s">
        <v>388</v>
      </c>
      <c r="B274" s="1426" t="s">
        <v>404</v>
      </c>
      <c r="C274" s="1426" t="s">
        <v>705</v>
      </c>
      <c r="D274" s="1431">
        <v>0</v>
      </c>
    </row>
    <row r="275" spans="1:4">
      <c r="A275" s="1426" t="s">
        <v>388</v>
      </c>
      <c r="B275" s="1426" t="s">
        <v>404</v>
      </c>
      <c r="C275" s="1426" t="s">
        <v>704</v>
      </c>
      <c r="D275" s="1431">
        <v>0</v>
      </c>
    </row>
    <row r="276" spans="1:4">
      <c r="A276" s="1426" t="s">
        <v>388</v>
      </c>
      <c r="B276" s="1426" t="s">
        <v>404</v>
      </c>
      <c r="C276" s="1426" t="s">
        <v>703</v>
      </c>
      <c r="D276" s="1431">
        <v>0</v>
      </c>
    </row>
    <row r="277" spans="1:4">
      <c r="A277" s="1426" t="s">
        <v>388</v>
      </c>
      <c r="B277" s="1426" t="s">
        <v>404</v>
      </c>
      <c r="C277" s="1426" t="s">
        <v>702</v>
      </c>
      <c r="D277" s="1431">
        <v>0</v>
      </c>
    </row>
    <row r="278" spans="1:4">
      <c r="A278" s="1426" t="s">
        <v>388</v>
      </c>
      <c r="B278" s="1426" t="s">
        <v>407</v>
      </c>
      <c r="C278" s="1426" t="s">
        <v>712</v>
      </c>
      <c r="D278" s="1431">
        <v>0</v>
      </c>
    </row>
    <row r="279" spans="1:4">
      <c r="A279" s="1426" t="s">
        <v>388</v>
      </c>
      <c r="B279" s="1426" t="s">
        <v>407</v>
      </c>
      <c r="C279" s="1426" t="s">
        <v>711</v>
      </c>
      <c r="D279" s="1431">
        <v>0</v>
      </c>
    </row>
    <row r="280" spans="1:4">
      <c r="A280" s="1426" t="s">
        <v>388</v>
      </c>
      <c r="B280" s="1426" t="s">
        <v>407</v>
      </c>
      <c r="C280" s="1426" t="s">
        <v>710</v>
      </c>
      <c r="D280" s="1431">
        <v>0</v>
      </c>
    </row>
    <row r="281" spans="1:4">
      <c r="A281" s="1426" t="s">
        <v>388</v>
      </c>
      <c r="B281" s="1426" t="s">
        <v>407</v>
      </c>
      <c r="C281" s="1426" t="s">
        <v>709</v>
      </c>
      <c r="D281" s="1431">
        <v>0</v>
      </c>
    </row>
    <row r="282" spans="1:4">
      <c r="A282" s="1426" t="s">
        <v>388</v>
      </c>
      <c r="B282" s="1426" t="s">
        <v>407</v>
      </c>
      <c r="C282" s="1426" t="s">
        <v>708</v>
      </c>
      <c r="D282" s="1431">
        <v>0</v>
      </c>
    </row>
    <row r="283" spans="1:4">
      <c r="A283" s="1426" t="s">
        <v>388</v>
      </c>
      <c r="B283" s="1426" t="s">
        <v>407</v>
      </c>
      <c r="C283" s="1426" t="s">
        <v>707</v>
      </c>
      <c r="D283" s="1431">
        <v>0</v>
      </c>
    </row>
    <row r="284" spans="1:4">
      <c r="A284" s="1426" t="s">
        <v>388</v>
      </c>
      <c r="B284" s="1426" t="s">
        <v>407</v>
      </c>
      <c r="C284" s="1426" t="s">
        <v>706</v>
      </c>
      <c r="D284" s="1431">
        <v>0</v>
      </c>
    </row>
    <row r="285" spans="1:4">
      <c r="A285" s="1426" t="s">
        <v>388</v>
      </c>
      <c r="B285" s="1426" t="s">
        <v>407</v>
      </c>
      <c r="C285" s="1426" t="s">
        <v>705</v>
      </c>
      <c r="D285" s="1431">
        <v>0</v>
      </c>
    </row>
    <row r="286" spans="1:4">
      <c r="A286" s="1426" t="s">
        <v>388</v>
      </c>
      <c r="B286" s="1426" t="s">
        <v>407</v>
      </c>
      <c r="C286" s="1426" t="s">
        <v>704</v>
      </c>
      <c r="D286" s="1431">
        <v>0</v>
      </c>
    </row>
    <row r="287" spans="1:4">
      <c r="A287" s="1426" t="s">
        <v>388</v>
      </c>
      <c r="B287" s="1426" t="s">
        <v>407</v>
      </c>
      <c r="C287" s="1426" t="s">
        <v>703</v>
      </c>
      <c r="D287" s="1431">
        <v>0</v>
      </c>
    </row>
    <row r="288" spans="1:4">
      <c r="A288" s="1426" t="s">
        <v>388</v>
      </c>
      <c r="B288" s="1426" t="s">
        <v>407</v>
      </c>
      <c r="C288" s="1426" t="s">
        <v>702</v>
      </c>
      <c r="D288" s="1431">
        <v>0</v>
      </c>
    </row>
    <row r="289" spans="1:4">
      <c r="A289" s="1426" t="s">
        <v>388</v>
      </c>
      <c r="B289" s="1426" t="s">
        <v>406</v>
      </c>
      <c r="C289" s="1426" t="s">
        <v>712</v>
      </c>
      <c r="D289" s="1431">
        <v>0</v>
      </c>
    </row>
    <row r="290" spans="1:4">
      <c r="A290" s="1426" t="s">
        <v>388</v>
      </c>
      <c r="B290" s="1426" t="s">
        <v>406</v>
      </c>
      <c r="C290" s="1426" t="s">
        <v>711</v>
      </c>
      <c r="D290" s="1431">
        <v>0</v>
      </c>
    </row>
    <row r="291" spans="1:4">
      <c r="A291" s="1426" t="s">
        <v>388</v>
      </c>
      <c r="B291" s="1426" t="s">
        <v>406</v>
      </c>
      <c r="C291" s="1426" t="s">
        <v>710</v>
      </c>
      <c r="D291" s="1431">
        <v>0</v>
      </c>
    </row>
    <row r="292" spans="1:4">
      <c r="A292" s="1426" t="s">
        <v>388</v>
      </c>
      <c r="B292" s="1426" t="s">
        <v>406</v>
      </c>
      <c r="C292" s="1426" t="s">
        <v>709</v>
      </c>
      <c r="D292" s="1431">
        <v>0</v>
      </c>
    </row>
    <row r="293" spans="1:4">
      <c r="A293" s="1426" t="s">
        <v>388</v>
      </c>
      <c r="B293" s="1426" t="s">
        <v>406</v>
      </c>
      <c r="C293" s="1426" t="s">
        <v>708</v>
      </c>
      <c r="D293" s="1431">
        <v>0</v>
      </c>
    </row>
    <row r="294" spans="1:4">
      <c r="A294" s="1426" t="s">
        <v>388</v>
      </c>
      <c r="B294" s="1426" t="s">
        <v>406</v>
      </c>
      <c r="C294" s="1426" t="s">
        <v>707</v>
      </c>
      <c r="D294" s="1431">
        <v>0</v>
      </c>
    </row>
    <row r="295" spans="1:4">
      <c r="A295" s="1426" t="s">
        <v>388</v>
      </c>
      <c r="B295" s="1426" t="s">
        <v>406</v>
      </c>
      <c r="C295" s="1426" t="s">
        <v>706</v>
      </c>
      <c r="D295" s="1431">
        <v>0</v>
      </c>
    </row>
    <row r="296" spans="1:4">
      <c r="A296" s="1426" t="s">
        <v>388</v>
      </c>
      <c r="B296" s="1426" t="s">
        <v>406</v>
      </c>
      <c r="C296" s="1426" t="s">
        <v>705</v>
      </c>
      <c r="D296" s="1431">
        <v>0</v>
      </c>
    </row>
    <row r="297" spans="1:4">
      <c r="A297" s="1426" t="s">
        <v>388</v>
      </c>
      <c r="B297" s="1426" t="s">
        <v>406</v>
      </c>
      <c r="C297" s="1426" t="s">
        <v>704</v>
      </c>
      <c r="D297" s="1431">
        <v>0</v>
      </c>
    </row>
    <row r="298" spans="1:4">
      <c r="A298" s="1426" t="s">
        <v>388</v>
      </c>
      <c r="B298" s="1426" t="s">
        <v>406</v>
      </c>
      <c r="C298" s="1426" t="s">
        <v>703</v>
      </c>
      <c r="D298" s="1431">
        <v>0</v>
      </c>
    </row>
    <row r="299" spans="1:4">
      <c r="A299" s="1426" t="s">
        <v>388</v>
      </c>
      <c r="B299" s="1426" t="s">
        <v>406</v>
      </c>
      <c r="C299" s="1426" t="s">
        <v>702</v>
      </c>
      <c r="D299" s="1431">
        <v>0</v>
      </c>
    </row>
    <row r="300" spans="1:4">
      <c r="A300" s="1426" t="s">
        <v>388</v>
      </c>
      <c r="B300" s="1426" t="s">
        <v>405</v>
      </c>
      <c r="C300" s="1426" t="s">
        <v>712</v>
      </c>
      <c r="D300" s="1431">
        <v>0</v>
      </c>
    </row>
    <row r="301" spans="1:4">
      <c r="A301" s="1426" t="s">
        <v>388</v>
      </c>
      <c r="B301" s="1426" t="s">
        <v>405</v>
      </c>
      <c r="C301" s="1426" t="s">
        <v>711</v>
      </c>
      <c r="D301" s="1431">
        <v>0</v>
      </c>
    </row>
    <row r="302" spans="1:4">
      <c r="A302" s="1426" t="s">
        <v>388</v>
      </c>
      <c r="B302" s="1426" t="s">
        <v>405</v>
      </c>
      <c r="C302" s="1426" t="s">
        <v>710</v>
      </c>
      <c r="D302" s="1431">
        <v>0</v>
      </c>
    </row>
    <row r="303" spans="1:4">
      <c r="A303" s="1426" t="s">
        <v>388</v>
      </c>
      <c r="B303" s="1426" t="s">
        <v>405</v>
      </c>
      <c r="C303" s="1426" t="s">
        <v>709</v>
      </c>
      <c r="D303" s="1431">
        <v>0</v>
      </c>
    </row>
    <row r="304" spans="1:4">
      <c r="A304" s="1426" t="s">
        <v>388</v>
      </c>
      <c r="B304" s="1426" t="s">
        <v>405</v>
      </c>
      <c r="C304" s="1426" t="s">
        <v>708</v>
      </c>
      <c r="D304" s="1431">
        <v>0</v>
      </c>
    </row>
    <row r="305" spans="1:4">
      <c r="A305" s="1426" t="s">
        <v>388</v>
      </c>
      <c r="B305" s="1426" t="s">
        <v>405</v>
      </c>
      <c r="C305" s="1426" t="s">
        <v>707</v>
      </c>
      <c r="D305" s="1431">
        <v>0</v>
      </c>
    </row>
    <row r="306" spans="1:4">
      <c r="A306" s="1426" t="s">
        <v>388</v>
      </c>
      <c r="B306" s="1426" t="s">
        <v>405</v>
      </c>
      <c r="C306" s="1426" t="s">
        <v>706</v>
      </c>
      <c r="D306" s="1431">
        <v>0</v>
      </c>
    </row>
    <row r="307" spans="1:4">
      <c r="A307" s="1426" t="s">
        <v>388</v>
      </c>
      <c r="B307" s="1426" t="s">
        <v>405</v>
      </c>
      <c r="C307" s="1426" t="s">
        <v>705</v>
      </c>
      <c r="D307" s="1431">
        <v>0</v>
      </c>
    </row>
    <row r="308" spans="1:4">
      <c r="A308" s="1426" t="s">
        <v>388</v>
      </c>
      <c r="B308" s="1426" t="s">
        <v>405</v>
      </c>
      <c r="C308" s="1426" t="s">
        <v>704</v>
      </c>
      <c r="D308" s="1431">
        <v>0</v>
      </c>
    </row>
    <row r="309" spans="1:4">
      <c r="A309" s="1426" t="s">
        <v>388</v>
      </c>
      <c r="B309" s="1426" t="s">
        <v>405</v>
      </c>
      <c r="C309" s="1426" t="s">
        <v>703</v>
      </c>
      <c r="D309" s="1431">
        <v>0</v>
      </c>
    </row>
    <row r="310" spans="1:4">
      <c r="A310" s="1426" t="s">
        <v>388</v>
      </c>
      <c r="B310" s="1426" t="s">
        <v>405</v>
      </c>
      <c r="C310" s="1426" t="s">
        <v>702</v>
      </c>
      <c r="D310" s="1431">
        <v>0</v>
      </c>
    </row>
    <row r="311" spans="1:4">
      <c r="A311" s="1426" t="s">
        <v>392</v>
      </c>
      <c r="B311" s="1426" t="s">
        <v>404</v>
      </c>
      <c r="C311" s="1426" t="s">
        <v>712</v>
      </c>
      <c r="D311" s="1431">
        <v>28</v>
      </c>
    </row>
    <row r="312" spans="1:4">
      <c r="A312" s="1426" t="s">
        <v>392</v>
      </c>
      <c r="B312" s="1426" t="s">
        <v>404</v>
      </c>
      <c r="C312" s="1426" t="s">
        <v>711</v>
      </c>
      <c r="D312" s="1431">
        <v>40</v>
      </c>
    </row>
    <row r="313" spans="1:4">
      <c r="A313" s="1426" t="s">
        <v>392</v>
      </c>
      <c r="B313" s="1426" t="s">
        <v>404</v>
      </c>
      <c r="C313" s="1426" t="s">
        <v>710</v>
      </c>
      <c r="D313" s="1431">
        <v>17</v>
      </c>
    </row>
    <row r="314" spans="1:4">
      <c r="A314" s="1426" t="s">
        <v>392</v>
      </c>
      <c r="B314" s="1426" t="s">
        <v>404</v>
      </c>
      <c r="C314" s="1426" t="s">
        <v>709</v>
      </c>
      <c r="D314" s="1431">
        <v>26</v>
      </c>
    </row>
    <row r="315" spans="1:4">
      <c r="A315" s="1426" t="s">
        <v>392</v>
      </c>
      <c r="B315" s="1426" t="s">
        <v>404</v>
      </c>
      <c r="C315" s="1426" t="s">
        <v>708</v>
      </c>
      <c r="D315" s="1431">
        <v>38</v>
      </c>
    </row>
    <row r="316" spans="1:4">
      <c r="A316" s="1426" t="s">
        <v>392</v>
      </c>
      <c r="B316" s="1426" t="s">
        <v>404</v>
      </c>
      <c r="C316" s="1426" t="s">
        <v>707</v>
      </c>
      <c r="D316" s="1431">
        <v>36</v>
      </c>
    </row>
    <row r="317" spans="1:4">
      <c r="A317" s="1426" t="s">
        <v>392</v>
      </c>
      <c r="B317" s="1426" t="s">
        <v>404</v>
      </c>
      <c r="C317" s="1426" t="s">
        <v>706</v>
      </c>
      <c r="D317" s="1431">
        <v>27</v>
      </c>
    </row>
    <row r="318" spans="1:4">
      <c r="A318" s="1426" t="s">
        <v>392</v>
      </c>
      <c r="B318" s="1426" t="s">
        <v>404</v>
      </c>
      <c r="C318" s="1426" t="s">
        <v>705</v>
      </c>
      <c r="D318" s="1431">
        <v>28</v>
      </c>
    </row>
    <row r="319" spans="1:4">
      <c r="A319" s="1426" t="s">
        <v>392</v>
      </c>
      <c r="B319" s="1426" t="s">
        <v>404</v>
      </c>
      <c r="C319" s="1426" t="s">
        <v>704</v>
      </c>
      <c r="D319" s="1431">
        <v>40</v>
      </c>
    </row>
    <row r="320" spans="1:4">
      <c r="A320" s="1426" t="s">
        <v>392</v>
      </c>
      <c r="B320" s="1426" t="s">
        <v>404</v>
      </c>
      <c r="C320" s="1426" t="s">
        <v>703</v>
      </c>
      <c r="D320" s="1431">
        <v>38</v>
      </c>
    </row>
    <row r="321" spans="1:4">
      <c r="A321" s="1426" t="s">
        <v>392</v>
      </c>
      <c r="B321" s="1426" t="s">
        <v>404</v>
      </c>
      <c r="C321" s="1426" t="s">
        <v>702</v>
      </c>
      <c r="D321" s="1431">
        <v>31</v>
      </c>
    </row>
    <row r="322" spans="1:4">
      <c r="A322" s="1426" t="s">
        <v>392</v>
      </c>
      <c r="B322" s="1426" t="s">
        <v>407</v>
      </c>
      <c r="C322" s="1426" t="s">
        <v>712</v>
      </c>
      <c r="D322" s="1431">
        <v>38</v>
      </c>
    </row>
    <row r="323" spans="1:4">
      <c r="A323" s="1426" t="s">
        <v>392</v>
      </c>
      <c r="B323" s="1426" t="s">
        <v>407</v>
      </c>
      <c r="C323" s="1426" t="s">
        <v>711</v>
      </c>
      <c r="D323" s="1431">
        <v>30</v>
      </c>
    </row>
    <row r="324" spans="1:4">
      <c r="A324" s="1426" t="s">
        <v>392</v>
      </c>
      <c r="B324" s="1426" t="s">
        <v>407</v>
      </c>
      <c r="C324" s="1426" t="s">
        <v>710</v>
      </c>
      <c r="D324" s="1431">
        <v>22</v>
      </c>
    </row>
    <row r="325" spans="1:4">
      <c r="A325" s="1426" t="s">
        <v>392</v>
      </c>
      <c r="B325" s="1426" t="s">
        <v>407</v>
      </c>
      <c r="C325" s="1426" t="s">
        <v>709</v>
      </c>
      <c r="D325" s="1431">
        <v>35</v>
      </c>
    </row>
    <row r="326" spans="1:4">
      <c r="A326" s="1426" t="s">
        <v>392</v>
      </c>
      <c r="B326" s="1426" t="s">
        <v>407</v>
      </c>
      <c r="C326" s="1426" t="s">
        <v>708</v>
      </c>
      <c r="D326" s="1431">
        <v>35</v>
      </c>
    </row>
    <row r="327" spans="1:4">
      <c r="A327" s="1426" t="s">
        <v>392</v>
      </c>
      <c r="B327" s="1426" t="s">
        <v>407</v>
      </c>
      <c r="C327" s="1426" t="s">
        <v>707</v>
      </c>
      <c r="D327" s="1431">
        <v>38</v>
      </c>
    </row>
    <row r="328" spans="1:4">
      <c r="A328" s="1426" t="s">
        <v>392</v>
      </c>
      <c r="B328" s="1426" t="s">
        <v>407</v>
      </c>
      <c r="C328" s="1426" t="s">
        <v>706</v>
      </c>
      <c r="D328" s="1431">
        <v>30</v>
      </c>
    </row>
    <row r="329" spans="1:4">
      <c r="A329" s="1426" t="s">
        <v>392</v>
      </c>
      <c r="B329" s="1426" t="s">
        <v>407</v>
      </c>
      <c r="C329" s="1426" t="s">
        <v>705</v>
      </c>
      <c r="D329" s="1431">
        <v>34</v>
      </c>
    </row>
    <row r="330" spans="1:4">
      <c r="A330" s="1426" t="s">
        <v>392</v>
      </c>
      <c r="B330" s="1426" t="s">
        <v>407</v>
      </c>
      <c r="C330" s="1426" t="s">
        <v>704</v>
      </c>
      <c r="D330" s="1431">
        <v>38</v>
      </c>
    </row>
    <row r="331" spans="1:4">
      <c r="A331" s="1426" t="s">
        <v>392</v>
      </c>
      <c r="B331" s="1426" t="s">
        <v>407</v>
      </c>
      <c r="C331" s="1426" t="s">
        <v>703</v>
      </c>
      <c r="D331" s="1431">
        <v>32</v>
      </c>
    </row>
    <row r="332" spans="1:4">
      <c r="A332" s="1426" t="s">
        <v>392</v>
      </c>
      <c r="B332" s="1426" t="s">
        <v>407</v>
      </c>
      <c r="C332" s="1426" t="s">
        <v>702</v>
      </c>
      <c r="D332" s="1431">
        <v>40</v>
      </c>
    </row>
    <row r="333" spans="1:4">
      <c r="A333" s="1426" t="s">
        <v>392</v>
      </c>
      <c r="B333" s="1426" t="s">
        <v>406</v>
      </c>
      <c r="C333" s="1426" t="s">
        <v>712</v>
      </c>
      <c r="D333" s="1431">
        <v>24</v>
      </c>
    </row>
    <row r="334" spans="1:4">
      <c r="A334" s="1426" t="s">
        <v>392</v>
      </c>
      <c r="B334" s="1426" t="s">
        <v>406</v>
      </c>
      <c r="C334" s="1426" t="s">
        <v>711</v>
      </c>
      <c r="D334" s="1431">
        <v>30</v>
      </c>
    </row>
    <row r="335" spans="1:4">
      <c r="A335" s="1426" t="s">
        <v>392</v>
      </c>
      <c r="B335" s="1426" t="s">
        <v>406</v>
      </c>
      <c r="C335" s="1426" t="s">
        <v>710</v>
      </c>
      <c r="D335" s="1431">
        <v>17</v>
      </c>
    </row>
    <row r="336" spans="1:4">
      <c r="A336" s="1426" t="s">
        <v>392</v>
      </c>
      <c r="B336" s="1426" t="s">
        <v>406</v>
      </c>
      <c r="C336" s="1426" t="s">
        <v>709</v>
      </c>
      <c r="D336" s="1431">
        <v>20</v>
      </c>
    </row>
    <row r="337" spans="1:4">
      <c r="A337" s="1426" t="s">
        <v>392</v>
      </c>
      <c r="B337" s="1426" t="s">
        <v>406</v>
      </c>
      <c r="C337" s="1426" t="s">
        <v>708</v>
      </c>
      <c r="D337" s="1431">
        <v>34</v>
      </c>
    </row>
    <row r="338" spans="1:4">
      <c r="A338" s="1426" t="s">
        <v>392</v>
      </c>
      <c r="B338" s="1426" t="s">
        <v>406</v>
      </c>
      <c r="C338" s="1426" t="s">
        <v>707</v>
      </c>
      <c r="D338" s="1431">
        <v>22</v>
      </c>
    </row>
    <row r="339" spans="1:4">
      <c r="A339" s="1426" t="s">
        <v>392</v>
      </c>
      <c r="B339" s="1426" t="s">
        <v>406</v>
      </c>
      <c r="C339" s="1426" t="s">
        <v>706</v>
      </c>
      <c r="D339" s="1431">
        <v>30</v>
      </c>
    </row>
    <row r="340" spans="1:4">
      <c r="A340" s="1426" t="s">
        <v>392</v>
      </c>
      <c r="B340" s="1426" t="s">
        <v>406</v>
      </c>
      <c r="C340" s="1426" t="s">
        <v>705</v>
      </c>
      <c r="D340" s="1431">
        <v>20</v>
      </c>
    </row>
    <row r="341" spans="1:4">
      <c r="A341" s="1426" t="s">
        <v>392</v>
      </c>
      <c r="B341" s="1426" t="s">
        <v>406</v>
      </c>
      <c r="C341" s="1426" t="s">
        <v>704</v>
      </c>
      <c r="D341" s="1431">
        <v>37</v>
      </c>
    </row>
    <row r="342" spans="1:4">
      <c r="A342" s="1426" t="s">
        <v>392</v>
      </c>
      <c r="B342" s="1426" t="s">
        <v>406</v>
      </c>
      <c r="C342" s="1426" t="s">
        <v>703</v>
      </c>
      <c r="D342" s="1431">
        <v>26</v>
      </c>
    </row>
    <row r="343" spans="1:4">
      <c r="A343" s="1426" t="s">
        <v>392</v>
      </c>
      <c r="B343" s="1426" t="s">
        <v>406</v>
      </c>
      <c r="C343" s="1426" t="s">
        <v>702</v>
      </c>
      <c r="D343" s="1431">
        <v>0</v>
      </c>
    </row>
    <row r="344" spans="1:4">
      <c r="A344" s="1426" t="s">
        <v>392</v>
      </c>
      <c r="B344" s="1426" t="s">
        <v>405</v>
      </c>
      <c r="C344" s="1426" t="s">
        <v>712</v>
      </c>
      <c r="D344" s="1431">
        <v>0</v>
      </c>
    </row>
    <row r="345" spans="1:4">
      <c r="A345" s="1426" t="s">
        <v>392</v>
      </c>
      <c r="B345" s="1426" t="s">
        <v>405</v>
      </c>
      <c r="C345" s="1426" t="s">
        <v>711</v>
      </c>
      <c r="D345" s="1431">
        <v>23</v>
      </c>
    </row>
    <row r="346" spans="1:4">
      <c r="A346" s="1426" t="s">
        <v>392</v>
      </c>
      <c r="B346" s="1426" t="s">
        <v>405</v>
      </c>
      <c r="C346" s="1426" t="s">
        <v>710</v>
      </c>
      <c r="D346" s="1431">
        <v>14</v>
      </c>
    </row>
    <row r="347" spans="1:4">
      <c r="A347" s="1426" t="s">
        <v>392</v>
      </c>
      <c r="B347" s="1426" t="s">
        <v>405</v>
      </c>
      <c r="C347" s="1426" t="s">
        <v>709</v>
      </c>
      <c r="D347" s="1431">
        <v>23</v>
      </c>
    </row>
    <row r="348" spans="1:4">
      <c r="A348" s="1426" t="s">
        <v>392</v>
      </c>
      <c r="B348" s="1426" t="s">
        <v>405</v>
      </c>
      <c r="C348" s="1426" t="s">
        <v>708</v>
      </c>
      <c r="D348" s="1431">
        <v>34</v>
      </c>
    </row>
    <row r="349" spans="1:4">
      <c r="A349" s="1426" t="s">
        <v>392</v>
      </c>
      <c r="B349" s="1426" t="s">
        <v>405</v>
      </c>
      <c r="C349" s="1426" t="s">
        <v>707</v>
      </c>
      <c r="D349" s="1431">
        <v>17</v>
      </c>
    </row>
    <row r="350" spans="1:4">
      <c r="A350" s="1426" t="s">
        <v>392</v>
      </c>
      <c r="B350" s="1426" t="s">
        <v>405</v>
      </c>
      <c r="C350" s="1426" t="s">
        <v>706</v>
      </c>
      <c r="D350" s="1431">
        <v>0</v>
      </c>
    </row>
    <row r="351" spans="1:4">
      <c r="A351" s="1426" t="s">
        <v>392</v>
      </c>
      <c r="B351" s="1426" t="s">
        <v>405</v>
      </c>
      <c r="C351" s="1426" t="s">
        <v>705</v>
      </c>
      <c r="D351" s="1431">
        <v>0</v>
      </c>
    </row>
    <row r="352" spans="1:4">
      <c r="A352" s="1426" t="s">
        <v>392</v>
      </c>
      <c r="B352" s="1426" t="s">
        <v>405</v>
      </c>
      <c r="C352" s="1426" t="s">
        <v>704</v>
      </c>
      <c r="D352" s="1431">
        <v>0</v>
      </c>
    </row>
    <row r="353" spans="1:4">
      <c r="A353" s="1426" t="s">
        <v>392</v>
      </c>
      <c r="B353" s="1426" t="s">
        <v>405</v>
      </c>
      <c r="C353" s="1426" t="s">
        <v>703</v>
      </c>
      <c r="D353" s="1431">
        <v>0</v>
      </c>
    </row>
    <row r="354" spans="1:4">
      <c r="A354" s="1426" t="s">
        <v>392</v>
      </c>
      <c r="B354" s="1426" t="s">
        <v>405</v>
      </c>
      <c r="C354" s="1426" t="s">
        <v>702</v>
      </c>
      <c r="D354" s="1431">
        <v>34</v>
      </c>
    </row>
    <row r="355" spans="1:4">
      <c r="A355" s="1426" t="s">
        <v>399</v>
      </c>
      <c r="B355" s="1426" t="s">
        <v>404</v>
      </c>
      <c r="C355" s="1426" t="s">
        <v>712</v>
      </c>
      <c r="D355" s="1431">
        <v>38</v>
      </c>
    </row>
    <row r="356" spans="1:4">
      <c r="A356" s="1426" t="s">
        <v>399</v>
      </c>
      <c r="B356" s="1426" t="s">
        <v>404</v>
      </c>
      <c r="C356" s="1426" t="s">
        <v>711</v>
      </c>
      <c r="D356" s="1431">
        <v>51</v>
      </c>
    </row>
    <row r="357" spans="1:4">
      <c r="A357" s="1426" t="s">
        <v>399</v>
      </c>
      <c r="B357" s="1426" t="s">
        <v>404</v>
      </c>
      <c r="C357" s="1426" t="s">
        <v>710</v>
      </c>
      <c r="D357" s="1431">
        <v>20</v>
      </c>
    </row>
    <row r="358" spans="1:4">
      <c r="A358" s="1426" t="s">
        <v>399</v>
      </c>
      <c r="B358" s="1426" t="s">
        <v>404</v>
      </c>
      <c r="C358" s="1426" t="s">
        <v>709</v>
      </c>
      <c r="D358" s="1431">
        <v>32</v>
      </c>
    </row>
    <row r="359" spans="1:4">
      <c r="A359" s="1426" t="s">
        <v>399</v>
      </c>
      <c r="B359" s="1426" t="s">
        <v>404</v>
      </c>
      <c r="C359" s="1426" t="s">
        <v>708</v>
      </c>
      <c r="D359" s="1431">
        <v>31</v>
      </c>
    </row>
    <row r="360" spans="1:4">
      <c r="A360" s="1426" t="s">
        <v>399</v>
      </c>
      <c r="B360" s="1426" t="s">
        <v>404</v>
      </c>
      <c r="C360" s="1426" t="s">
        <v>707</v>
      </c>
      <c r="D360" s="1431">
        <v>43</v>
      </c>
    </row>
    <row r="361" spans="1:4">
      <c r="A361" s="1426" t="s">
        <v>399</v>
      </c>
      <c r="B361" s="1426" t="s">
        <v>404</v>
      </c>
      <c r="C361" s="1426" t="s">
        <v>706</v>
      </c>
      <c r="D361" s="1431">
        <v>25</v>
      </c>
    </row>
    <row r="362" spans="1:4">
      <c r="A362" s="1426" t="s">
        <v>399</v>
      </c>
      <c r="B362" s="1426" t="s">
        <v>404</v>
      </c>
      <c r="C362" s="1426" t="s">
        <v>705</v>
      </c>
      <c r="D362" s="1431">
        <v>21</v>
      </c>
    </row>
    <row r="363" spans="1:4">
      <c r="A363" s="1426" t="s">
        <v>399</v>
      </c>
      <c r="B363" s="1426" t="s">
        <v>404</v>
      </c>
      <c r="C363" s="1426" t="s">
        <v>704</v>
      </c>
      <c r="D363" s="1431">
        <v>46</v>
      </c>
    </row>
    <row r="364" spans="1:4">
      <c r="A364" s="1426" t="s">
        <v>399</v>
      </c>
      <c r="B364" s="1426" t="s">
        <v>404</v>
      </c>
      <c r="C364" s="1426" t="s">
        <v>703</v>
      </c>
      <c r="D364" s="1431">
        <v>35</v>
      </c>
    </row>
    <row r="365" spans="1:4">
      <c r="A365" s="1426" t="s">
        <v>399</v>
      </c>
      <c r="B365" s="1426" t="s">
        <v>404</v>
      </c>
      <c r="C365" s="1426" t="s">
        <v>702</v>
      </c>
      <c r="D365" s="1431">
        <v>36</v>
      </c>
    </row>
    <row r="366" spans="1:4">
      <c r="A366" s="1426" t="s">
        <v>399</v>
      </c>
      <c r="B366" s="1426" t="s">
        <v>407</v>
      </c>
      <c r="C366" s="1426" t="s">
        <v>712</v>
      </c>
      <c r="D366" s="1431">
        <v>32</v>
      </c>
    </row>
    <row r="367" spans="1:4">
      <c r="A367" s="1426" t="s">
        <v>399</v>
      </c>
      <c r="B367" s="1426" t="s">
        <v>407</v>
      </c>
      <c r="C367" s="1426" t="s">
        <v>711</v>
      </c>
      <c r="D367" s="1431">
        <v>31</v>
      </c>
    </row>
    <row r="368" spans="1:4">
      <c r="A368" s="1426" t="s">
        <v>399</v>
      </c>
      <c r="B368" s="1426" t="s">
        <v>407</v>
      </c>
      <c r="C368" s="1426" t="s">
        <v>710</v>
      </c>
      <c r="D368" s="1431">
        <v>21</v>
      </c>
    </row>
    <row r="369" spans="1:4">
      <c r="A369" s="1426" t="s">
        <v>399</v>
      </c>
      <c r="B369" s="1426" t="s">
        <v>407</v>
      </c>
      <c r="C369" s="1426" t="s">
        <v>709</v>
      </c>
      <c r="D369" s="1431">
        <v>29</v>
      </c>
    </row>
    <row r="370" spans="1:4">
      <c r="A370" s="1426" t="s">
        <v>399</v>
      </c>
      <c r="B370" s="1426" t="s">
        <v>407</v>
      </c>
      <c r="C370" s="1426" t="s">
        <v>708</v>
      </c>
      <c r="D370" s="1431">
        <v>26</v>
      </c>
    </row>
    <row r="371" spans="1:4">
      <c r="A371" s="1426" t="s">
        <v>399</v>
      </c>
      <c r="B371" s="1426" t="s">
        <v>407</v>
      </c>
      <c r="C371" s="1426" t="s">
        <v>707</v>
      </c>
      <c r="D371" s="1431">
        <v>35</v>
      </c>
    </row>
    <row r="372" spans="1:4">
      <c r="A372" s="1426" t="s">
        <v>399</v>
      </c>
      <c r="B372" s="1426" t="s">
        <v>407</v>
      </c>
      <c r="C372" s="1426" t="s">
        <v>706</v>
      </c>
      <c r="D372" s="1431">
        <v>34</v>
      </c>
    </row>
    <row r="373" spans="1:4">
      <c r="A373" s="1426" t="s">
        <v>399</v>
      </c>
      <c r="B373" s="1426" t="s">
        <v>407</v>
      </c>
      <c r="C373" s="1426" t="s">
        <v>705</v>
      </c>
      <c r="D373" s="1431">
        <v>23</v>
      </c>
    </row>
    <row r="374" spans="1:4">
      <c r="A374" s="1426" t="s">
        <v>399</v>
      </c>
      <c r="B374" s="1426" t="s">
        <v>407</v>
      </c>
      <c r="C374" s="1426" t="s">
        <v>704</v>
      </c>
      <c r="D374" s="1431">
        <v>35</v>
      </c>
    </row>
    <row r="375" spans="1:4">
      <c r="A375" s="1426" t="s">
        <v>399</v>
      </c>
      <c r="B375" s="1426" t="s">
        <v>407</v>
      </c>
      <c r="C375" s="1426" t="s">
        <v>703</v>
      </c>
      <c r="D375" s="1431">
        <v>32</v>
      </c>
    </row>
    <row r="376" spans="1:4">
      <c r="A376" s="1426" t="s">
        <v>399</v>
      </c>
      <c r="B376" s="1426" t="s">
        <v>407</v>
      </c>
      <c r="C376" s="1426" t="s">
        <v>702</v>
      </c>
      <c r="D376" s="1431">
        <v>32</v>
      </c>
    </row>
    <row r="377" spans="1:4">
      <c r="A377" s="1426" t="s">
        <v>399</v>
      </c>
      <c r="B377" s="1426" t="s">
        <v>406</v>
      </c>
      <c r="C377" s="1426" t="s">
        <v>712</v>
      </c>
      <c r="D377" s="1431">
        <v>18</v>
      </c>
    </row>
    <row r="378" spans="1:4">
      <c r="A378" s="1426" t="s">
        <v>399</v>
      </c>
      <c r="B378" s="1426" t="s">
        <v>406</v>
      </c>
      <c r="C378" s="1426" t="s">
        <v>711</v>
      </c>
      <c r="D378" s="1431">
        <v>0</v>
      </c>
    </row>
    <row r="379" spans="1:4">
      <c r="A379" s="1426" t="s">
        <v>399</v>
      </c>
      <c r="B379" s="1426" t="s">
        <v>406</v>
      </c>
      <c r="C379" s="1426" t="s">
        <v>710</v>
      </c>
      <c r="D379" s="1431">
        <v>29</v>
      </c>
    </row>
    <row r="380" spans="1:4">
      <c r="A380" s="1426" t="s">
        <v>399</v>
      </c>
      <c r="B380" s="1426" t="s">
        <v>406</v>
      </c>
      <c r="C380" s="1426" t="s">
        <v>709</v>
      </c>
      <c r="D380" s="1431">
        <v>16</v>
      </c>
    </row>
    <row r="381" spans="1:4">
      <c r="A381" s="1426" t="s">
        <v>399</v>
      </c>
      <c r="B381" s="1426" t="s">
        <v>406</v>
      </c>
      <c r="C381" s="1426" t="s">
        <v>708</v>
      </c>
      <c r="D381" s="1431">
        <v>10</v>
      </c>
    </row>
    <row r="382" spans="1:4">
      <c r="A382" s="1426" t="s">
        <v>399</v>
      </c>
      <c r="B382" s="1426" t="s">
        <v>406</v>
      </c>
      <c r="C382" s="1426" t="s">
        <v>707</v>
      </c>
      <c r="D382" s="1431">
        <v>8</v>
      </c>
    </row>
    <row r="383" spans="1:4">
      <c r="A383" s="1426" t="s">
        <v>399</v>
      </c>
      <c r="B383" s="1426" t="s">
        <v>406</v>
      </c>
      <c r="C383" s="1426" t="s">
        <v>706</v>
      </c>
      <c r="D383" s="1431">
        <v>18</v>
      </c>
    </row>
    <row r="384" spans="1:4">
      <c r="A384" s="1426" t="s">
        <v>399</v>
      </c>
      <c r="B384" s="1426" t="s">
        <v>406</v>
      </c>
      <c r="C384" s="1426" t="s">
        <v>705</v>
      </c>
      <c r="D384" s="1431">
        <v>14</v>
      </c>
    </row>
    <row r="385" spans="1:4">
      <c r="A385" s="1426" t="s">
        <v>399</v>
      </c>
      <c r="B385" s="1426" t="s">
        <v>406</v>
      </c>
      <c r="C385" s="1426" t="s">
        <v>704</v>
      </c>
      <c r="D385" s="1431">
        <v>29</v>
      </c>
    </row>
    <row r="386" spans="1:4">
      <c r="A386" s="1426" t="s">
        <v>399</v>
      </c>
      <c r="B386" s="1426" t="s">
        <v>406</v>
      </c>
      <c r="C386" s="1426" t="s">
        <v>703</v>
      </c>
      <c r="D386" s="1431">
        <v>22</v>
      </c>
    </row>
    <row r="387" spans="1:4">
      <c r="A387" s="1426" t="s">
        <v>399</v>
      </c>
      <c r="B387" s="1426" t="s">
        <v>406</v>
      </c>
      <c r="C387" s="1426" t="s">
        <v>702</v>
      </c>
      <c r="D387" s="1431">
        <v>0</v>
      </c>
    </row>
    <row r="388" spans="1:4">
      <c r="A388" s="1426" t="s">
        <v>399</v>
      </c>
      <c r="B388" s="1426" t="s">
        <v>405</v>
      </c>
      <c r="C388" s="1426" t="s">
        <v>712</v>
      </c>
      <c r="D388" s="1431">
        <v>23</v>
      </c>
    </row>
    <row r="389" spans="1:4">
      <c r="A389" s="1426" t="s">
        <v>399</v>
      </c>
      <c r="B389" s="1426" t="s">
        <v>405</v>
      </c>
      <c r="C389" s="1426" t="s">
        <v>711</v>
      </c>
      <c r="D389" s="1431">
        <v>23</v>
      </c>
    </row>
    <row r="390" spans="1:4">
      <c r="A390" s="1426" t="s">
        <v>399</v>
      </c>
      <c r="B390" s="1426" t="s">
        <v>405</v>
      </c>
      <c r="C390" s="1426" t="s">
        <v>710</v>
      </c>
      <c r="D390" s="1431">
        <v>21</v>
      </c>
    </row>
    <row r="391" spans="1:4">
      <c r="A391" s="1426" t="s">
        <v>399</v>
      </c>
      <c r="B391" s="1426" t="s">
        <v>405</v>
      </c>
      <c r="C391" s="1426" t="s">
        <v>709</v>
      </c>
      <c r="D391" s="1431">
        <v>20</v>
      </c>
    </row>
    <row r="392" spans="1:4">
      <c r="A392" s="1426" t="s">
        <v>399</v>
      </c>
      <c r="B392" s="1426" t="s">
        <v>405</v>
      </c>
      <c r="C392" s="1426" t="s">
        <v>708</v>
      </c>
      <c r="D392" s="1431">
        <v>17</v>
      </c>
    </row>
    <row r="393" spans="1:4">
      <c r="A393" s="1426" t="s">
        <v>399</v>
      </c>
      <c r="B393" s="1426" t="s">
        <v>405</v>
      </c>
      <c r="C393" s="1426" t="s">
        <v>707</v>
      </c>
      <c r="D393" s="1431">
        <v>18</v>
      </c>
    </row>
    <row r="394" spans="1:4">
      <c r="A394" s="1426" t="s">
        <v>399</v>
      </c>
      <c r="B394" s="1426" t="s">
        <v>405</v>
      </c>
      <c r="C394" s="1426" t="s">
        <v>706</v>
      </c>
      <c r="D394" s="1431">
        <v>17</v>
      </c>
    </row>
    <row r="395" spans="1:4">
      <c r="A395" s="1426" t="s">
        <v>399</v>
      </c>
      <c r="B395" s="1426" t="s">
        <v>405</v>
      </c>
      <c r="C395" s="1426" t="s">
        <v>705</v>
      </c>
      <c r="D395" s="1431">
        <v>15</v>
      </c>
    </row>
    <row r="396" spans="1:4">
      <c r="A396" s="1426" t="s">
        <v>399</v>
      </c>
      <c r="B396" s="1426" t="s">
        <v>405</v>
      </c>
      <c r="C396" s="1426" t="s">
        <v>704</v>
      </c>
      <c r="D396" s="1431">
        <v>30</v>
      </c>
    </row>
    <row r="397" spans="1:4">
      <c r="A397" s="1426" t="s">
        <v>399</v>
      </c>
      <c r="B397" s="1426" t="s">
        <v>405</v>
      </c>
      <c r="C397" s="1426" t="s">
        <v>703</v>
      </c>
      <c r="D397" s="1431">
        <v>21</v>
      </c>
    </row>
    <row r="398" spans="1:4">
      <c r="A398" s="1426" t="s">
        <v>399</v>
      </c>
      <c r="B398" s="1426" t="s">
        <v>405</v>
      </c>
      <c r="C398" s="1426" t="s">
        <v>702</v>
      </c>
      <c r="D398" s="1431">
        <v>18</v>
      </c>
    </row>
    <row r="399" spans="1:4">
      <c r="A399" s="1426" t="s">
        <v>389</v>
      </c>
      <c r="B399" s="1426" t="s">
        <v>404</v>
      </c>
      <c r="C399" s="1426" t="s">
        <v>712</v>
      </c>
      <c r="D399" s="1431">
        <v>35</v>
      </c>
    </row>
    <row r="400" spans="1:4">
      <c r="A400" s="1426" t="s">
        <v>389</v>
      </c>
      <c r="B400" s="1426" t="s">
        <v>404</v>
      </c>
      <c r="C400" s="1426" t="s">
        <v>711</v>
      </c>
      <c r="D400" s="1431">
        <v>37</v>
      </c>
    </row>
    <row r="401" spans="1:4">
      <c r="A401" s="1426" t="s">
        <v>389</v>
      </c>
      <c r="B401" s="1426" t="s">
        <v>404</v>
      </c>
      <c r="C401" s="1426" t="s">
        <v>710</v>
      </c>
      <c r="D401" s="1431">
        <v>33</v>
      </c>
    </row>
    <row r="402" spans="1:4">
      <c r="A402" s="1426" t="s">
        <v>389</v>
      </c>
      <c r="B402" s="1426" t="s">
        <v>404</v>
      </c>
      <c r="C402" s="1426" t="s">
        <v>709</v>
      </c>
      <c r="D402" s="1431">
        <v>42</v>
      </c>
    </row>
    <row r="403" spans="1:4">
      <c r="A403" s="1426" t="s">
        <v>389</v>
      </c>
      <c r="B403" s="1426" t="s">
        <v>404</v>
      </c>
      <c r="C403" s="1426" t="s">
        <v>708</v>
      </c>
      <c r="D403" s="1431">
        <v>47</v>
      </c>
    </row>
    <row r="404" spans="1:4">
      <c r="A404" s="1426" t="s">
        <v>389</v>
      </c>
      <c r="B404" s="1426" t="s">
        <v>404</v>
      </c>
      <c r="C404" s="1426" t="s">
        <v>707</v>
      </c>
      <c r="D404" s="1431">
        <v>46</v>
      </c>
    </row>
    <row r="405" spans="1:4">
      <c r="A405" s="1426" t="s">
        <v>389</v>
      </c>
      <c r="B405" s="1426" t="s">
        <v>404</v>
      </c>
      <c r="C405" s="1426" t="s">
        <v>706</v>
      </c>
      <c r="D405" s="1431">
        <v>41</v>
      </c>
    </row>
    <row r="406" spans="1:4">
      <c r="A406" s="1426" t="s">
        <v>389</v>
      </c>
      <c r="B406" s="1426" t="s">
        <v>404</v>
      </c>
      <c r="C406" s="1426" t="s">
        <v>705</v>
      </c>
      <c r="D406" s="1431">
        <v>39</v>
      </c>
    </row>
    <row r="407" spans="1:4">
      <c r="A407" s="1426" t="s">
        <v>389</v>
      </c>
      <c r="B407" s="1426" t="s">
        <v>404</v>
      </c>
      <c r="C407" s="1426" t="s">
        <v>704</v>
      </c>
      <c r="D407" s="1431">
        <v>53</v>
      </c>
    </row>
    <row r="408" spans="1:4">
      <c r="A408" s="1426" t="s">
        <v>389</v>
      </c>
      <c r="B408" s="1426" t="s">
        <v>404</v>
      </c>
      <c r="C408" s="1426" t="s">
        <v>703</v>
      </c>
      <c r="D408" s="1431">
        <v>42</v>
      </c>
    </row>
    <row r="409" spans="1:4">
      <c r="A409" s="1426" t="s">
        <v>389</v>
      </c>
      <c r="B409" s="1426" t="s">
        <v>404</v>
      </c>
      <c r="C409" s="1426" t="s">
        <v>702</v>
      </c>
      <c r="D409" s="1431">
        <v>45</v>
      </c>
    </row>
    <row r="410" spans="1:4">
      <c r="A410" s="1426" t="s">
        <v>389</v>
      </c>
      <c r="B410" s="1426" t="s">
        <v>407</v>
      </c>
      <c r="C410" s="1426" t="s">
        <v>712</v>
      </c>
      <c r="D410" s="1431">
        <v>39</v>
      </c>
    </row>
    <row r="411" spans="1:4">
      <c r="A411" s="1426" t="s">
        <v>389</v>
      </c>
      <c r="B411" s="1426" t="s">
        <v>407</v>
      </c>
      <c r="C411" s="1426" t="s">
        <v>711</v>
      </c>
      <c r="D411" s="1431">
        <v>31</v>
      </c>
    </row>
    <row r="412" spans="1:4">
      <c r="A412" s="1426" t="s">
        <v>389</v>
      </c>
      <c r="B412" s="1426" t="s">
        <v>407</v>
      </c>
      <c r="C412" s="1426" t="s">
        <v>710</v>
      </c>
      <c r="D412" s="1431">
        <v>27</v>
      </c>
    </row>
    <row r="413" spans="1:4">
      <c r="A413" s="1426" t="s">
        <v>389</v>
      </c>
      <c r="B413" s="1426" t="s">
        <v>407</v>
      </c>
      <c r="C413" s="1426" t="s">
        <v>709</v>
      </c>
      <c r="D413" s="1431">
        <v>35</v>
      </c>
    </row>
    <row r="414" spans="1:4">
      <c r="A414" s="1426" t="s">
        <v>389</v>
      </c>
      <c r="B414" s="1426" t="s">
        <v>407</v>
      </c>
      <c r="C414" s="1426" t="s">
        <v>708</v>
      </c>
      <c r="D414" s="1431">
        <v>36</v>
      </c>
    </row>
    <row r="415" spans="1:4">
      <c r="A415" s="1426" t="s">
        <v>389</v>
      </c>
      <c r="B415" s="1426" t="s">
        <v>407</v>
      </c>
      <c r="C415" s="1426" t="s">
        <v>707</v>
      </c>
      <c r="D415" s="1431">
        <v>41</v>
      </c>
    </row>
    <row r="416" spans="1:4">
      <c r="A416" s="1426" t="s">
        <v>389</v>
      </c>
      <c r="B416" s="1426" t="s">
        <v>407</v>
      </c>
      <c r="C416" s="1426" t="s">
        <v>706</v>
      </c>
      <c r="D416" s="1431">
        <v>37</v>
      </c>
    </row>
    <row r="417" spans="1:4">
      <c r="A417" s="1426" t="s">
        <v>389</v>
      </c>
      <c r="B417" s="1426" t="s">
        <v>407</v>
      </c>
      <c r="C417" s="1426" t="s">
        <v>705</v>
      </c>
      <c r="D417" s="1431">
        <v>35</v>
      </c>
    </row>
    <row r="418" spans="1:4">
      <c r="A418" s="1426" t="s">
        <v>389</v>
      </c>
      <c r="B418" s="1426" t="s">
        <v>407</v>
      </c>
      <c r="C418" s="1426" t="s">
        <v>704</v>
      </c>
      <c r="D418" s="1431">
        <v>36</v>
      </c>
    </row>
    <row r="419" spans="1:4">
      <c r="A419" s="1426" t="s">
        <v>389</v>
      </c>
      <c r="B419" s="1426" t="s">
        <v>407</v>
      </c>
      <c r="C419" s="1426" t="s">
        <v>703</v>
      </c>
      <c r="D419" s="1431">
        <v>35</v>
      </c>
    </row>
    <row r="420" spans="1:4">
      <c r="A420" s="1426" t="s">
        <v>389</v>
      </c>
      <c r="B420" s="1426" t="s">
        <v>407</v>
      </c>
      <c r="C420" s="1426" t="s">
        <v>702</v>
      </c>
      <c r="D420" s="1431">
        <v>41</v>
      </c>
    </row>
    <row r="421" spans="1:4">
      <c r="A421" s="1426" t="s">
        <v>389</v>
      </c>
      <c r="B421" s="1426" t="s">
        <v>406</v>
      </c>
      <c r="C421" s="1426" t="s">
        <v>712</v>
      </c>
      <c r="D421" s="1431">
        <v>26</v>
      </c>
    </row>
    <row r="422" spans="1:4">
      <c r="A422" s="1426" t="s">
        <v>389</v>
      </c>
      <c r="B422" s="1426" t="s">
        <v>406</v>
      </c>
      <c r="C422" s="1426" t="s">
        <v>711</v>
      </c>
      <c r="D422" s="1431">
        <v>29</v>
      </c>
    </row>
    <row r="423" spans="1:4">
      <c r="A423" s="1426" t="s">
        <v>389</v>
      </c>
      <c r="B423" s="1426" t="s">
        <v>406</v>
      </c>
      <c r="C423" s="1426" t="s">
        <v>710</v>
      </c>
      <c r="D423" s="1431">
        <v>26</v>
      </c>
    </row>
    <row r="424" spans="1:4">
      <c r="A424" s="1426" t="s">
        <v>389</v>
      </c>
      <c r="B424" s="1426" t="s">
        <v>406</v>
      </c>
      <c r="C424" s="1426" t="s">
        <v>709</v>
      </c>
      <c r="D424" s="1431">
        <v>26</v>
      </c>
    </row>
    <row r="425" spans="1:4">
      <c r="A425" s="1426" t="s">
        <v>389</v>
      </c>
      <c r="B425" s="1426" t="s">
        <v>406</v>
      </c>
      <c r="C425" s="1426" t="s">
        <v>708</v>
      </c>
      <c r="D425" s="1431">
        <v>29</v>
      </c>
    </row>
    <row r="426" spans="1:4">
      <c r="A426" s="1426" t="s">
        <v>389</v>
      </c>
      <c r="B426" s="1426" t="s">
        <v>406</v>
      </c>
      <c r="C426" s="1426" t="s">
        <v>707</v>
      </c>
      <c r="D426" s="1431">
        <v>24</v>
      </c>
    </row>
    <row r="427" spans="1:4">
      <c r="A427" s="1426" t="s">
        <v>389</v>
      </c>
      <c r="B427" s="1426" t="s">
        <v>406</v>
      </c>
      <c r="C427" s="1426" t="s">
        <v>706</v>
      </c>
      <c r="D427" s="1431">
        <v>19</v>
      </c>
    </row>
    <row r="428" spans="1:4">
      <c r="A428" s="1426" t="s">
        <v>389</v>
      </c>
      <c r="B428" s="1426" t="s">
        <v>406</v>
      </c>
      <c r="C428" s="1426" t="s">
        <v>705</v>
      </c>
      <c r="D428" s="1431">
        <v>20</v>
      </c>
    </row>
    <row r="429" spans="1:4">
      <c r="A429" s="1426" t="s">
        <v>389</v>
      </c>
      <c r="B429" s="1426" t="s">
        <v>406</v>
      </c>
      <c r="C429" s="1426" t="s">
        <v>704</v>
      </c>
      <c r="D429" s="1431">
        <v>26</v>
      </c>
    </row>
    <row r="430" spans="1:4">
      <c r="A430" s="1426" t="s">
        <v>389</v>
      </c>
      <c r="B430" s="1426" t="s">
        <v>406</v>
      </c>
      <c r="C430" s="1426" t="s">
        <v>703</v>
      </c>
      <c r="D430" s="1431">
        <v>0</v>
      </c>
    </row>
    <row r="431" spans="1:4">
      <c r="A431" s="1426" t="s">
        <v>389</v>
      </c>
      <c r="B431" s="1426" t="s">
        <v>406</v>
      </c>
      <c r="C431" s="1426" t="s">
        <v>702</v>
      </c>
      <c r="D431" s="1431">
        <v>0</v>
      </c>
    </row>
    <row r="432" spans="1:4">
      <c r="A432" s="1426" t="s">
        <v>389</v>
      </c>
      <c r="B432" s="1426" t="s">
        <v>405</v>
      </c>
      <c r="C432" s="1426" t="s">
        <v>712</v>
      </c>
      <c r="D432" s="1431">
        <v>25</v>
      </c>
    </row>
    <row r="433" spans="1:4">
      <c r="A433" s="1426" t="s">
        <v>389</v>
      </c>
      <c r="B433" s="1426" t="s">
        <v>405</v>
      </c>
      <c r="C433" s="1426" t="s">
        <v>711</v>
      </c>
      <c r="D433" s="1431">
        <v>34</v>
      </c>
    </row>
    <row r="434" spans="1:4">
      <c r="A434" s="1426" t="s">
        <v>389</v>
      </c>
      <c r="B434" s="1426" t="s">
        <v>405</v>
      </c>
      <c r="C434" s="1426" t="s">
        <v>710</v>
      </c>
      <c r="D434" s="1431">
        <v>34</v>
      </c>
    </row>
    <row r="435" spans="1:4">
      <c r="A435" s="1426" t="s">
        <v>389</v>
      </c>
      <c r="B435" s="1426" t="s">
        <v>405</v>
      </c>
      <c r="C435" s="1426" t="s">
        <v>709</v>
      </c>
      <c r="D435" s="1431">
        <v>24</v>
      </c>
    </row>
    <row r="436" spans="1:4">
      <c r="A436" s="1426" t="s">
        <v>389</v>
      </c>
      <c r="B436" s="1426" t="s">
        <v>405</v>
      </c>
      <c r="C436" s="1426" t="s">
        <v>708</v>
      </c>
      <c r="D436" s="1431">
        <v>35</v>
      </c>
    </row>
    <row r="437" spans="1:4">
      <c r="A437" s="1426" t="s">
        <v>389</v>
      </c>
      <c r="B437" s="1426" t="s">
        <v>405</v>
      </c>
      <c r="C437" s="1426" t="s">
        <v>707</v>
      </c>
      <c r="D437" s="1431">
        <v>36</v>
      </c>
    </row>
    <row r="438" spans="1:4">
      <c r="A438" s="1426" t="s">
        <v>389</v>
      </c>
      <c r="B438" s="1426" t="s">
        <v>405</v>
      </c>
      <c r="C438" s="1426" t="s">
        <v>706</v>
      </c>
      <c r="D438" s="1431">
        <v>0</v>
      </c>
    </row>
    <row r="439" spans="1:4">
      <c r="A439" s="1426" t="s">
        <v>389</v>
      </c>
      <c r="B439" s="1426" t="s">
        <v>405</v>
      </c>
      <c r="C439" s="1426" t="s">
        <v>705</v>
      </c>
      <c r="D439" s="1431">
        <v>0</v>
      </c>
    </row>
    <row r="440" spans="1:4">
      <c r="A440" s="1426" t="s">
        <v>389</v>
      </c>
      <c r="B440" s="1426" t="s">
        <v>405</v>
      </c>
      <c r="C440" s="1426" t="s">
        <v>704</v>
      </c>
      <c r="D440" s="1431">
        <v>0</v>
      </c>
    </row>
    <row r="441" spans="1:4">
      <c r="A441" s="1426" t="s">
        <v>389</v>
      </c>
      <c r="B441" s="1426" t="s">
        <v>405</v>
      </c>
      <c r="C441" s="1426" t="s">
        <v>703</v>
      </c>
      <c r="D441" s="1431">
        <v>28</v>
      </c>
    </row>
    <row r="442" spans="1:4">
      <c r="A442" s="1426" t="s">
        <v>389</v>
      </c>
      <c r="B442" s="1426" t="s">
        <v>405</v>
      </c>
      <c r="C442" s="1426" t="s">
        <v>702</v>
      </c>
      <c r="D442" s="1431">
        <v>22</v>
      </c>
    </row>
    <row r="443" spans="1:4">
      <c r="A443" s="1426" t="s">
        <v>391</v>
      </c>
      <c r="B443" s="1426" t="s">
        <v>404</v>
      </c>
      <c r="C443" s="1426" t="s">
        <v>712</v>
      </c>
      <c r="D443" s="1431">
        <v>38</v>
      </c>
    </row>
    <row r="444" spans="1:4">
      <c r="A444" s="1426" t="s">
        <v>391</v>
      </c>
      <c r="B444" s="1426" t="s">
        <v>404</v>
      </c>
      <c r="C444" s="1426" t="s">
        <v>711</v>
      </c>
      <c r="D444" s="1431">
        <v>44</v>
      </c>
    </row>
    <row r="445" spans="1:4">
      <c r="A445" s="1426" t="s">
        <v>391</v>
      </c>
      <c r="B445" s="1426" t="s">
        <v>404</v>
      </c>
      <c r="C445" s="1426" t="s">
        <v>710</v>
      </c>
      <c r="D445" s="1431">
        <v>38</v>
      </c>
    </row>
    <row r="446" spans="1:4">
      <c r="A446" s="1426" t="s">
        <v>391</v>
      </c>
      <c r="B446" s="1426" t="s">
        <v>404</v>
      </c>
      <c r="C446" s="1426" t="s">
        <v>709</v>
      </c>
      <c r="D446" s="1431">
        <v>37</v>
      </c>
    </row>
    <row r="447" spans="1:4">
      <c r="A447" s="1426" t="s">
        <v>391</v>
      </c>
      <c r="B447" s="1426" t="s">
        <v>404</v>
      </c>
      <c r="C447" s="1426" t="s">
        <v>708</v>
      </c>
      <c r="D447" s="1431">
        <v>45</v>
      </c>
    </row>
    <row r="448" spans="1:4">
      <c r="A448" s="1426" t="s">
        <v>391</v>
      </c>
      <c r="B448" s="1426" t="s">
        <v>404</v>
      </c>
      <c r="C448" s="1426" t="s">
        <v>707</v>
      </c>
      <c r="D448" s="1431">
        <v>40</v>
      </c>
    </row>
    <row r="449" spans="1:4">
      <c r="A449" s="1426" t="s">
        <v>391</v>
      </c>
      <c r="B449" s="1426" t="s">
        <v>404</v>
      </c>
      <c r="C449" s="1426" t="s">
        <v>706</v>
      </c>
      <c r="D449" s="1431">
        <v>38</v>
      </c>
    </row>
    <row r="450" spans="1:4">
      <c r="A450" s="1426" t="s">
        <v>391</v>
      </c>
      <c r="B450" s="1426" t="s">
        <v>404</v>
      </c>
      <c r="C450" s="1426" t="s">
        <v>705</v>
      </c>
      <c r="D450" s="1431">
        <v>36</v>
      </c>
    </row>
    <row r="451" spans="1:4">
      <c r="A451" s="1426" t="s">
        <v>391</v>
      </c>
      <c r="B451" s="1426" t="s">
        <v>404</v>
      </c>
      <c r="C451" s="1426" t="s">
        <v>704</v>
      </c>
      <c r="D451" s="1431">
        <v>43</v>
      </c>
    </row>
    <row r="452" spans="1:4">
      <c r="A452" s="1426" t="s">
        <v>391</v>
      </c>
      <c r="B452" s="1426" t="s">
        <v>404</v>
      </c>
      <c r="C452" s="1426" t="s">
        <v>703</v>
      </c>
      <c r="D452" s="1431">
        <v>45</v>
      </c>
    </row>
    <row r="453" spans="1:4">
      <c r="A453" s="1426" t="s">
        <v>391</v>
      </c>
      <c r="B453" s="1426" t="s">
        <v>404</v>
      </c>
      <c r="C453" s="1426" t="s">
        <v>702</v>
      </c>
      <c r="D453" s="1431">
        <v>39</v>
      </c>
    </row>
    <row r="454" spans="1:4">
      <c r="A454" s="1426" t="s">
        <v>391</v>
      </c>
      <c r="B454" s="1426" t="s">
        <v>407</v>
      </c>
      <c r="C454" s="1426" t="s">
        <v>712</v>
      </c>
      <c r="D454" s="1431">
        <v>44</v>
      </c>
    </row>
    <row r="455" spans="1:4">
      <c r="A455" s="1426" t="s">
        <v>391</v>
      </c>
      <c r="B455" s="1426" t="s">
        <v>407</v>
      </c>
      <c r="C455" s="1426" t="s">
        <v>711</v>
      </c>
      <c r="D455" s="1431">
        <v>37</v>
      </c>
    </row>
    <row r="456" spans="1:4">
      <c r="A456" s="1426" t="s">
        <v>391</v>
      </c>
      <c r="B456" s="1426" t="s">
        <v>407</v>
      </c>
      <c r="C456" s="1426" t="s">
        <v>710</v>
      </c>
      <c r="D456" s="1431">
        <v>33</v>
      </c>
    </row>
    <row r="457" spans="1:4">
      <c r="A457" s="1426" t="s">
        <v>391</v>
      </c>
      <c r="B457" s="1426" t="s">
        <v>407</v>
      </c>
      <c r="C457" s="1426" t="s">
        <v>709</v>
      </c>
      <c r="D457" s="1431">
        <v>45</v>
      </c>
    </row>
    <row r="458" spans="1:4">
      <c r="A458" s="1426" t="s">
        <v>391</v>
      </c>
      <c r="B458" s="1426" t="s">
        <v>407</v>
      </c>
      <c r="C458" s="1426" t="s">
        <v>708</v>
      </c>
      <c r="D458" s="1431">
        <v>40</v>
      </c>
    </row>
    <row r="459" spans="1:4">
      <c r="A459" s="1426" t="s">
        <v>391</v>
      </c>
      <c r="B459" s="1426" t="s">
        <v>407</v>
      </c>
      <c r="C459" s="1426" t="s">
        <v>707</v>
      </c>
      <c r="D459" s="1431">
        <v>43</v>
      </c>
    </row>
    <row r="460" spans="1:4">
      <c r="A460" s="1426" t="s">
        <v>391</v>
      </c>
      <c r="B460" s="1426" t="s">
        <v>407</v>
      </c>
      <c r="C460" s="1426" t="s">
        <v>706</v>
      </c>
      <c r="D460" s="1431">
        <v>42</v>
      </c>
    </row>
    <row r="461" spans="1:4">
      <c r="A461" s="1426" t="s">
        <v>391</v>
      </c>
      <c r="B461" s="1426" t="s">
        <v>407</v>
      </c>
      <c r="C461" s="1426" t="s">
        <v>705</v>
      </c>
      <c r="D461" s="1431">
        <v>45</v>
      </c>
    </row>
    <row r="462" spans="1:4">
      <c r="A462" s="1426" t="s">
        <v>391</v>
      </c>
      <c r="B462" s="1426" t="s">
        <v>407</v>
      </c>
      <c r="C462" s="1426" t="s">
        <v>704</v>
      </c>
      <c r="D462" s="1431">
        <v>44</v>
      </c>
    </row>
    <row r="463" spans="1:4">
      <c r="A463" s="1426" t="s">
        <v>391</v>
      </c>
      <c r="B463" s="1426" t="s">
        <v>407</v>
      </c>
      <c r="C463" s="1426" t="s">
        <v>703</v>
      </c>
      <c r="D463" s="1431">
        <v>42</v>
      </c>
    </row>
    <row r="464" spans="1:4">
      <c r="A464" s="1426" t="s">
        <v>391</v>
      </c>
      <c r="B464" s="1426" t="s">
        <v>407</v>
      </c>
      <c r="C464" s="1426" t="s">
        <v>702</v>
      </c>
      <c r="D464" s="1431">
        <v>45</v>
      </c>
    </row>
    <row r="465" spans="1:4">
      <c r="A465" s="1426" t="s">
        <v>391</v>
      </c>
      <c r="B465" s="1426" t="s">
        <v>406</v>
      </c>
      <c r="C465" s="1426" t="s">
        <v>712</v>
      </c>
      <c r="D465" s="1431">
        <v>31</v>
      </c>
    </row>
    <row r="466" spans="1:4">
      <c r="A466" s="1426" t="s">
        <v>391</v>
      </c>
      <c r="B466" s="1426" t="s">
        <v>406</v>
      </c>
      <c r="C466" s="1426" t="s">
        <v>711</v>
      </c>
      <c r="D466" s="1431">
        <v>24</v>
      </c>
    </row>
    <row r="467" spans="1:4">
      <c r="A467" s="1426" t="s">
        <v>391</v>
      </c>
      <c r="B467" s="1426" t="s">
        <v>406</v>
      </c>
      <c r="C467" s="1426" t="s">
        <v>710</v>
      </c>
      <c r="D467" s="1431">
        <v>30</v>
      </c>
    </row>
    <row r="468" spans="1:4">
      <c r="A468" s="1426" t="s">
        <v>391</v>
      </c>
      <c r="B468" s="1426" t="s">
        <v>406</v>
      </c>
      <c r="C468" s="1426" t="s">
        <v>709</v>
      </c>
      <c r="D468" s="1431">
        <v>27</v>
      </c>
    </row>
    <row r="469" spans="1:4">
      <c r="A469" s="1426" t="s">
        <v>391</v>
      </c>
      <c r="B469" s="1426" t="s">
        <v>406</v>
      </c>
      <c r="C469" s="1426" t="s">
        <v>708</v>
      </c>
      <c r="D469" s="1431">
        <v>33</v>
      </c>
    </row>
    <row r="470" spans="1:4">
      <c r="A470" s="1426" t="s">
        <v>391</v>
      </c>
      <c r="B470" s="1426" t="s">
        <v>406</v>
      </c>
      <c r="C470" s="1426" t="s">
        <v>707</v>
      </c>
      <c r="D470" s="1431">
        <v>29</v>
      </c>
    </row>
    <row r="471" spans="1:4">
      <c r="A471" s="1426" t="s">
        <v>391</v>
      </c>
      <c r="B471" s="1426" t="s">
        <v>406</v>
      </c>
      <c r="C471" s="1426" t="s">
        <v>706</v>
      </c>
      <c r="D471" s="1431">
        <v>28</v>
      </c>
    </row>
    <row r="472" spans="1:4">
      <c r="A472" s="1426" t="s">
        <v>391</v>
      </c>
      <c r="B472" s="1426" t="s">
        <v>406</v>
      </c>
      <c r="C472" s="1426" t="s">
        <v>705</v>
      </c>
      <c r="D472" s="1431">
        <v>22</v>
      </c>
    </row>
    <row r="473" spans="1:4">
      <c r="A473" s="1426" t="s">
        <v>391</v>
      </c>
      <c r="B473" s="1426" t="s">
        <v>406</v>
      </c>
      <c r="C473" s="1426" t="s">
        <v>704</v>
      </c>
      <c r="D473" s="1431">
        <v>0</v>
      </c>
    </row>
    <row r="474" spans="1:4">
      <c r="A474" s="1426" t="s">
        <v>391</v>
      </c>
      <c r="B474" s="1426" t="s">
        <v>406</v>
      </c>
      <c r="C474" s="1426" t="s">
        <v>703</v>
      </c>
      <c r="D474" s="1431">
        <v>43</v>
      </c>
    </row>
    <row r="475" spans="1:4">
      <c r="A475" s="1426" t="s">
        <v>391</v>
      </c>
      <c r="B475" s="1426" t="s">
        <v>406</v>
      </c>
      <c r="C475" s="1426" t="s">
        <v>702</v>
      </c>
      <c r="D475" s="1431">
        <v>0</v>
      </c>
    </row>
    <row r="476" spans="1:4">
      <c r="A476" s="1426" t="s">
        <v>391</v>
      </c>
      <c r="B476" s="1426" t="s">
        <v>405</v>
      </c>
      <c r="C476" s="1426" t="s">
        <v>712</v>
      </c>
      <c r="D476" s="1431">
        <v>0</v>
      </c>
    </row>
    <row r="477" spans="1:4">
      <c r="A477" s="1426" t="s">
        <v>391</v>
      </c>
      <c r="B477" s="1426" t="s">
        <v>405</v>
      </c>
      <c r="C477" s="1426" t="s">
        <v>711</v>
      </c>
      <c r="D477" s="1431">
        <v>0</v>
      </c>
    </row>
    <row r="478" spans="1:4">
      <c r="A478" s="1426" t="s">
        <v>391</v>
      </c>
      <c r="B478" s="1426" t="s">
        <v>405</v>
      </c>
      <c r="C478" s="1426" t="s">
        <v>710</v>
      </c>
      <c r="D478" s="1431">
        <v>0</v>
      </c>
    </row>
    <row r="479" spans="1:4">
      <c r="A479" s="1426" t="s">
        <v>391</v>
      </c>
      <c r="B479" s="1426" t="s">
        <v>405</v>
      </c>
      <c r="C479" s="1426" t="s">
        <v>709</v>
      </c>
      <c r="D479" s="1431">
        <v>32</v>
      </c>
    </row>
    <row r="480" spans="1:4">
      <c r="A480" s="1426" t="s">
        <v>391</v>
      </c>
      <c r="B480" s="1426" t="s">
        <v>405</v>
      </c>
      <c r="C480" s="1426" t="s">
        <v>708</v>
      </c>
      <c r="D480" s="1431">
        <v>27</v>
      </c>
    </row>
    <row r="481" spans="1:4">
      <c r="A481" s="1426" t="s">
        <v>391</v>
      </c>
      <c r="B481" s="1426" t="s">
        <v>405</v>
      </c>
      <c r="C481" s="1426" t="s">
        <v>707</v>
      </c>
      <c r="D481" s="1431">
        <v>25</v>
      </c>
    </row>
    <row r="482" spans="1:4">
      <c r="A482" s="1426" t="s">
        <v>391</v>
      </c>
      <c r="B482" s="1426" t="s">
        <v>405</v>
      </c>
      <c r="C482" s="1426" t="s">
        <v>706</v>
      </c>
      <c r="D482" s="1431">
        <v>27</v>
      </c>
    </row>
    <row r="483" spans="1:4">
      <c r="A483" s="1426" t="s">
        <v>391</v>
      </c>
      <c r="B483" s="1426" t="s">
        <v>405</v>
      </c>
      <c r="C483" s="1426" t="s">
        <v>705</v>
      </c>
      <c r="D483" s="1431">
        <v>31</v>
      </c>
    </row>
    <row r="484" spans="1:4">
      <c r="A484" s="1426" t="s">
        <v>391</v>
      </c>
      <c r="B484" s="1426" t="s">
        <v>405</v>
      </c>
      <c r="C484" s="1426" t="s">
        <v>704</v>
      </c>
      <c r="D484" s="1431">
        <v>0</v>
      </c>
    </row>
    <row r="485" spans="1:4">
      <c r="A485" s="1426" t="s">
        <v>391</v>
      </c>
      <c r="B485" s="1426" t="s">
        <v>405</v>
      </c>
      <c r="C485" s="1426" t="s">
        <v>703</v>
      </c>
      <c r="D485" s="1431">
        <v>34</v>
      </c>
    </row>
    <row r="486" spans="1:4">
      <c r="A486" s="1426" t="s">
        <v>391</v>
      </c>
      <c r="B486" s="1426" t="s">
        <v>405</v>
      </c>
      <c r="C486" s="1426" t="s">
        <v>702</v>
      </c>
      <c r="D486" s="1431">
        <v>32</v>
      </c>
    </row>
    <row r="487" spans="1:4">
      <c r="A487" s="1426" t="s">
        <v>393</v>
      </c>
      <c r="B487" s="1426" t="s">
        <v>404</v>
      </c>
      <c r="C487" s="1426" t="s">
        <v>712</v>
      </c>
      <c r="D487" s="1431">
        <v>29</v>
      </c>
    </row>
    <row r="488" spans="1:4">
      <c r="A488" s="1426" t="s">
        <v>393</v>
      </c>
      <c r="B488" s="1426" t="s">
        <v>404</v>
      </c>
      <c r="C488" s="1426" t="s">
        <v>711</v>
      </c>
      <c r="D488" s="1431">
        <v>35</v>
      </c>
    </row>
    <row r="489" spans="1:4">
      <c r="A489" s="1426" t="s">
        <v>393</v>
      </c>
      <c r="B489" s="1426" t="s">
        <v>404</v>
      </c>
      <c r="C489" s="1426" t="s">
        <v>710</v>
      </c>
      <c r="D489" s="1431">
        <v>23</v>
      </c>
    </row>
    <row r="490" spans="1:4">
      <c r="A490" s="1426" t="s">
        <v>393</v>
      </c>
      <c r="B490" s="1426" t="s">
        <v>404</v>
      </c>
      <c r="C490" s="1426" t="s">
        <v>709</v>
      </c>
      <c r="D490" s="1431">
        <v>31</v>
      </c>
    </row>
    <row r="491" spans="1:4">
      <c r="A491" s="1426" t="s">
        <v>393</v>
      </c>
      <c r="B491" s="1426" t="s">
        <v>404</v>
      </c>
      <c r="C491" s="1426" t="s">
        <v>708</v>
      </c>
      <c r="D491" s="1431">
        <v>35</v>
      </c>
    </row>
    <row r="492" spans="1:4">
      <c r="A492" s="1426" t="s">
        <v>393</v>
      </c>
      <c r="B492" s="1426" t="s">
        <v>404</v>
      </c>
      <c r="C492" s="1426" t="s">
        <v>707</v>
      </c>
      <c r="D492" s="1431">
        <v>35</v>
      </c>
    </row>
    <row r="493" spans="1:4">
      <c r="A493" s="1426" t="s">
        <v>393</v>
      </c>
      <c r="B493" s="1426" t="s">
        <v>404</v>
      </c>
      <c r="C493" s="1426" t="s">
        <v>706</v>
      </c>
      <c r="D493" s="1431">
        <v>28</v>
      </c>
    </row>
    <row r="494" spans="1:4">
      <c r="A494" s="1426" t="s">
        <v>393</v>
      </c>
      <c r="B494" s="1426" t="s">
        <v>404</v>
      </c>
      <c r="C494" s="1426" t="s">
        <v>705</v>
      </c>
      <c r="D494" s="1431">
        <v>35</v>
      </c>
    </row>
    <row r="495" spans="1:4">
      <c r="A495" s="1426" t="s">
        <v>393</v>
      </c>
      <c r="B495" s="1426" t="s">
        <v>404</v>
      </c>
      <c r="C495" s="1426" t="s">
        <v>704</v>
      </c>
      <c r="D495" s="1431">
        <v>32</v>
      </c>
    </row>
    <row r="496" spans="1:4">
      <c r="A496" s="1426" t="s">
        <v>393</v>
      </c>
      <c r="B496" s="1426" t="s">
        <v>404</v>
      </c>
      <c r="C496" s="1426" t="s">
        <v>703</v>
      </c>
      <c r="D496" s="1431">
        <v>34</v>
      </c>
    </row>
    <row r="497" spans="1:4">
      <c r="A497" s="1426" t="s">
        <v>393</v>
      </c>
      <c r="B497" s="1426" t="s">
        <v>404</v>
      </c>
      <c r="C497" s="1426" t="s">
        <v>702</v>
      </c>
      <c r="D497" s="1431">
        <v>33</v>
      </c>
    </row>
    <row r="498" spans="1:4">
      <c r="A498" s="1426" t="s">
        <v>393</v>
      </c>
      <c r="B498" s="1426" t="s">
        <v>407</v>
      </c>
      <c r="C498" s="1426" t="s">
        <v>712</v>
      </c>
      <c r="D498" s="1431">
        <v>38</v>
      </c>
    </row>
    <row r="499" spans="1:4">
      <c r="A499" s="1426" t="s">
        <v>393</v>
      </c>
      <c r="B499" s="1426" t="s">
        <v>407</v>
      </c>
      <c r="C499" s="1426" t="s">
        <v>711</v>
      </c>
      <c r="D499" s="1431">
        <v>37</v>
      </c>
    </row>
    <row r="500" spans="1:4">
      <c r="A500" s="1426" t="s">
        <v>393</v>
      </c>
      <c r="B500" s="1426" t="s">
        <v>407</v>
      </c>
      <c r="C500" s="1426" t="s">
        <v>710</v>
      </c>
      <c r="D500" s="1431">
        <v>22</v>
      </c>
    </row>
    <row r="501" spans="1:4">
      <c r="A501" s="1426" t="s">
        <v>393</v>
      </c>
      <c r="B501" s="1426" t="s">
        <v>407</v>
      </c>
      <c r="C501" s="1426" t="s">
        <v>709</v>
      </c>
      <c r="D501" s="1431">
        <v>37</v>
      </c>
    </row>
    <row r="502" spans="1:4">
      <c r="A502" s="1426" t="s">
        <v>393</v>
      </c>
      <c r="B502" s="1426" t="s">
        <v>407</v>
      </c>
      <c r="C502" s="1426" t="s">
        <v>708</v>
      </c>
      <c r="D502" s="1431">
        <v>36</v>
      </c>
    </row>
    <row r="503" spans="1:4">
      <c r="A503" s="1426" t="s">
        <v>393</v>
      </c>
      <c r="B503" s="1426" t="s">
        <v>407</v>
      </c>
      <c r="C503" s="1426" t="s">
        <v>707</v>
      </c>
      <c r="D503" s="1431">
        <v>35</v>
      </c>
    </row>
    <row r="504" spans="1:4">
      <c r="A504" s="1426" t="s">
        <v>393</v>
      </c>
      <c r="B504" s="1426" t="s">
        <v>407</v>
      </c>
      <c r="C504" s="1426" t="s">
        <v>706</v>
      </c>
      <c r="D504" s="1431">
        <v>35</v>
      </c>
    </row>
    <row r="505" spans="1:4">
      <c r="A505" s="1426" t="s">
        <v>393</v>
      </c>
      <c r="B505" s="1426" t="s">
        <v>407</v>
      </c>
      <c r="C505" s="1426" t="s">
        <v>705</v>
      </c>
      <c r="D505" s="1431">
        <v>41</v>
      </c>
    </row>
    <row r="506" spans="1:4">
      <c r="A506" s="1426" t="s">
        <v>393</v>
      </c>
      <c r="B506" s="1426" t="s">
        <v>407</v>
      </c>
      <c r="C506" s="1426" t="s">
        <v>704</v>
      </c>
      <c r="D506" s="1431">
        <v>38</v>
      </c>
    </row>
    <row r="507" spans="1:4">
      <c r="A507" s="1426" t="s">
        <v>393</v>
      </c>
      <c r="B507" s="1426" t="s">
        <v>407</v>
      </c>
      <c r="C507" s="1426" t="s">
        <v>703</v>
      </c>
      <c r="D507" s="1431">
        <v>35</v>
      </c>
    </row>
    <row r="508" spans="1:4">
      <c r="A508" s="1426" t="s">
        <v>393</v>
      </c>
      <c r="B508" s="1426" t="s">
        <v>407</v>
      </c>
      <c r="C508" s="1426" t="s">
        <v>702</v>
      </c>
      <c r="D508" s="1431">
        <v>41</v>
      </c>
    </row>
    <row r="509" spans="1:4">
      <c r="A509" s="1426" t="s">
        <v>393</v>
      </c>
      <c r="B509" s="1426" t="s">
        <v>406</v>
      </c>
      <c r="C509" s="1426" t="s">
        <v>712</v>
      </c>
      <c r="D509" s="1431">
        <v>0</v>
      </c>
    </row>
    <row r="510" spans="1:4">
      <c r="A510" s="1426" t="s">
        <v>393</v>
      </c>
      <c r="B510" s="1426" t="s">
        <v>406</v>
      </c>
      <c r="C510" s="1426" t="s">
        <v>711</v>
      </c>
      <c r="D510" s="1431">
        <v>0</v>
      </c>
    </row>
    <row r="511" spans="1:4">
      <c r="A511" s="1426" t="s">
        <v>393</v>
      </c>
      <c r="B511" s="1426" t="s">
        <v>406</v>
      </c>
      <c r="C511" s="1426" t="s">
        <v>710</v>
      </c>
      <c r="D511" s="1431">
        <v>23</v>
      </c>
    </row>
    <row r="512" spans="1:4">
      <c r="A512" s="1426" t="s">
        <v>393</v>
      </c>
      <c r="B512" s="1426" t="s">
        <v>406</v>
      </c>
      <c r="C512" s="1426" t="s">
        <v>709</v>
      </c>
      <c r="D512" s="1431">
        <v>12</v>
      </c>
    </row>
    <row r="513" spans="1:4">
      <c r="A513" s="1426" t="s">
        <v>393</v>
      </c>
      <c r="B513" s="1426" t="s">
        <v>406</v>
      </c>
      <c r="C513" s="1426" t="s">
        <v>708</v>
      </c>
      <c r="D513" s="1431">
        <v>0</v>
      </c>
    </row>
    <row r="514" spans="1:4">
      <c r="A514" s="1426" t="s">
        <v>393</v>
      </c>
      <c r="B514" s="1426" t="s">
        <v>406</v>
      </c>
      <c r="C514" s="1426" t="s">
        <v>707</v>
      </c>
      <c r="D514" s="1431">
        <v>0</v>
      </c>
    </row>
    <row r="515" spans="1:4">
      <c r="A515" s="1426" t="s">
        <v>393</v>
      </c>
      <c r="B515" s="1426" t="s">
        <v>406</v>
      </c>
      <c r="C515" s="1426" t="s">
        <v>706</v>
      </c>
      <c r="D515" s="1431">
        <v>0</v>
      </c>
    </row>
    <row r="516" spans="1:4">
      <c r="A516" s="1426" t="s">
        <v>393</v>
      </c>
      <c r="B516" s="1426" t="s">
        <v>406</v>
      </c>
      <c r="C516" s="1426" t="s">
        <v>705</v>
      </c>
      <c r="D516" s="1431">
        <v>0</v>
      </c>
    </row>
    <row r="517" spans="1:4">
      <c r="A517" s="1426" t="s">
        <v>393</v>
      </c>
      <c r="B517" s="1426" t="s">
        <v>406</v>
      </c>
      <c r="C517" s="1426" t="s">
        <v>704</v>
      </c>
      <c r="D517" s="1431">
        <v>0</v>
      </c>
    </row>
    <row r="518" spans="1:4">
      <c r="A518" s="1426" t="s">
        <v>393</v>
      </c>
      <c r="B518" s="1426" t="s">
        <v>406</v>
      </c>
      <c r="C518" s="1426" t="s">
        <v>703</v>
      </c>
      <c r="D518" s="1431">
        <v>0</v>
      </c>
    </row>
    <row r="519" spans="1:4">
      <c r="A519" s="1426" t="s">
        <v>393</v>
      </c>
      <c r="B519" s="1426" t="s">
        <v>406</v>
      </c>
      <c r="C519" s="1426" t="s">
        <v>702</v>
      </c>
      <c r="D519" s="1431">
        <v>0</v>
      </c>
    </row>
    <row r="520" spans="1:4">
      <c r="A520" s="1426" t="s">
        <v>393</v>
      </c>
      <c r="B520" s="1426" t="s">
        <v>405</v>
      </c>
      <c r="C520" s="1426" t="s">
        <v>712</v>
      </c>
      <c r="D520" s="1431">
        <v>0</v>
      </c>
    </row>
    <row r="521" spans="1:4">
      <c r="A521" s="1426" t="s">
        <v>393</v>
      </c>
      <c r="B521" s="1426" t="s">
        <v>405</v>
      </c>
      <c r="C521" s="1426" t="s">
        <v>711</v>
      </c>
      <c r="D521" s="1431">
        <v>0</v>
      </c>
    </row>
    <row r="522" spans="1:4">
      <c r="A522" s="1426" t="s">
        <v>393</v>
      </c>
      <c r="B522" s="1426" t="s">
        <v>405</v>
      </c>
      <c r="C522" s="1426" t="s">
        <v>710</v>
      </c>
      <c r="D522" s="1431">
        <v>0</v>
      </c>
    </row>
    <row r="523" spans="1:4">
      <c r="A523" s="1426" t="s">
        <v>393</v>
      </c>
      <c r="B523" s="1426" t="s">
        <v>405</v>
      </c>
      <c r="C523" s="1426" t="s">
        <v>709</v>
      </c>
      <c r="D523" s="1431">
        <v>0</v>
      </c>
    </row>
    <row r="524" spans="1:4">
      <c r="A524" s="1426" t="s">
        <v>393</v>
      </c>
      <c r="B524" s="1426" t="s">
        <v>405</v>
      </c>
      <c r="C524" s="1426" t="s">
        <v>708</v>
      </c>
      <c r="D524" s="1431">
        <v>0</v>
      </c>
    </row>
    <row r="525" spans="1:4">
      <c r="A525" s="1426" t="s">
        <v>393</v>
      </c>
      <c r="B525" s="1426" t="s">
        <v>405</v>
      </c>
      <c r="C525" s="1426" t="s">
        <v>707</v>
      </c>
      <c r="D525" s="1431">
        <v>0</v>
      </c>
    </row>
    <row r="526" spans="1:4">
      <c r="A526" s="1426" t="s">
        <v>393</v>
      </c>
      <c r="B526" s="1426" t="s">
        <v>405</v>
      </c>
      <c r="C526" s="1426" t="s">
        <v>706</v>
      </c>
      <c r="D526" s="1431">
        <v>0</v>
      </c>
    </row>
    <row r="527" spans="1:4">
      <c r="A527" s="1426" t="s">
        <v>393</v>
      </c>
      <c r="B527" s="1426" t="s">
        <v>405</v>
      </c>
      <c r="C527" s="1426" t="s">
        <v>705</v>
      </c>
      <c r="D527" s="1431">
        <v>0</v>
      </c>
    </row>
    <row r="528" spans="1:4">
      <c r="A528" s="1426" t="s">
        <v>393</v>
      </c>
      <c r="B528" s="1426" t="s">
        <v>405</v>
      </c>
      <c r="C528" s="1426" t="s">
        <v>704</v>
      </c>
      <c r="D528" s="1431">
        <v>22</v>
      </c>
    </row>
    <row r="529" spans="1:4">
      <c r="A529" s="1426" t="s">
        <v>393</v>
      </c>
      <c r="B529" s="1426" t="s">
        <v>405</v>
      </c>
      <c r="C529" s="1426" t="s">
        <v>703</v>
      </c>
      <c r="D529" s="1431">
        <v>0</v>
      </c>
    </row>
    <row r="530" spans="1:4">
      <c r="A530" s="1426" t="s">
        <v>393</v>
      </c>
      <c r="B530" s="1426" t="s">
        <v>405</v>
      </c>
      <c r="C530" s="1426" t="s">
        <v>702</v>
      </c>
      <c r="D530" s="1431">
        <v>0</v>
      </c>
    </row>
    <row r="531" spans="1:4">
      <c r="A531" s="1426" t="s">
        <v>396</v>
      </c>
      <c r="B531" s="1426" t="s">
        <v>404</v>
      </c>
      <c r="C531" s="1426" t="s">
        <v>712</v>
      </c>
      <c r="D531" s="1431">
        <v>0</v>
      </c>
    </row>
    <row r="532" spans="1:4">
      <c r="A532" s="1426" t="s">
        <v>396</v>
      </c>
      <c r="B532" s="1426" t="s">
        <v>404</v>
      </c>
      <c r="C532" s="1426" t="s">
        <v>711</v>
      </c>
      <c r="D532" s="1431">
        <v>0</v>
      </c>
    </row>
    <row r="533" spans="1:4">
      <c r="A533" s="1426" t="s">
        <v>396</v>
      </c>
      <c r="B533" s="1426" t="s">
        <v>404</v>
      </c>
      <c r="C533" s="1426" t="s">
        <v>710</v>
      </c>
      <c r="D533" s="1431">
        <v>0</v>
      </c>
    </row>
    <row r="534" spans="1:4">
      <c r="A534" s="1426" t="s">
        <v>396</v>
      </c>
      <c r="B534" s="1426" t="s">
        <v>404</v>
      </c>
      <c r="C534" s="1426" t="s">
        <v>709</v>
      </c>
      <c r="D534" s="1431">
        <v>0</v>
      </c>
    </row>
    <row r="535" spans="1:4">
      <c r="A535" s="1426" t="s">
        <v>396</v>
      </c>
      <c r="B535" s="1426" t="s">
        <v>404</v>
      </c>
      <c r="C535" s="1426" t="s">
        <v>708</v>
      </c>
      <c r="D535" s="1431">
        <v>0</v>
      </c>
    </row>
    <row r="536" spans="1:4">
      <c r="A536" s="1426" t="s">
        <v>396</v>
      </c>
      <c r="B536" s="1426" t="s">
        <v>404</v>
      </c>
      <c r="C536" s="1426" t="s">
        <v>707</v>
      </c>
      <c r="D536" s="1431">
        <v>0</v>
      </c>
    </row>
    <row r="537" spans="1:4">
      <c r="A537" s="1426" t="s">
        <v>396</v>
      </c>
      <c r="B537" s="1426" t="s">
        <v>404</v>
      </c>
      <c r="C537" s="1426" t="s">
        <v>706</v>
      </c>
      <c r="D537" s="1431">
        <v>0</v>
      </c>
    </row>
    <row r="538" spans="1:4">
      <c r="A538" s="1426" t="s">
        <v>396</v>
      </c>
      <c r="B538" s="1426" t="s">
        <v>404</v>
      </c>
      <c r="C538" s="1426" t="s">
        <v>705</v>
      </c>
      <c r="D538" s="1431">
        <v>29</v>
      </c>
    </row>
    <row r="539" spans="1:4">
      <c r="A539" s="1426" t="s">
        <v>396</v>
      </c>
      <c r="B539" s="1426" t="s">
        <v>404</v>
      </c>
      <c r="C539" s="1426" t="s">
        <v>704</v>
      </c>
      <c r="D539" s="1431">
        <v>0</v>
      </c>
    </row>
    <row r="540" spans="1:4">
      <c r="A540" s="1426" t="s">
        <v>396</v>
      </c>
      <c r="B540" s="1426" t="s">
        <v>404</v>
      </c>
      <c r="C540" s="1426" t="s">
        <v>703</v>
      </c>
      <c r="D540" s="1431">
        <v>29</v>
      </c>
    </row>
    <row r="541" spans="1:4">
      <c r="A541" s="1426" t="s">
        <v>396</v>
      </c>
      <c r="B541" s="1426" t="s">
        <v>404</v>
      </c>
      <c r="C541" s="1426" t="s">
        <v>702</v>
      </c>
      <c r="D541" s="1431">
        <v>29</v>
      </c>
    </row>
    <row r="542" spans="1:4">
      <c r="A542" s="1426" t="s">
        <v>396</v>
      </c>
      <c r="B542" s="1426" t="s">
        <v>407</v>
      </c>
      <c r="C542" s="1426" t="s">
        <v>712</v>
      </c>
      <c r="D542" s="1431">
        <v>0</v>
      </c>
    </row>
    <row r="543" spans="1:4">
      <c r="A543" s="1426" t="s">
        <v>396</v>
      </c>
      <c r="B543" s="1426" t="s">
        <v>407</v>
      </c>
      <c r="C543" s="1426" t="s">
        <v>711</v>
      </c>
      <c r="D543" s="1431">
        <v>0</v>
      </c>
    </row>
    <row r="544" spans="1:4">
      <c r="A544" s="1426" t="s">
        <v>396</v>
      </c>
      <c r="B544" s="1426" t="s">
        <v>407</v>
      </c>
      <c r="C544" s="1426" t="s">
        <v>710</v>
      </c>
      <c r="D544" s="1431">
        <v>0</v>
      </c>
    </row>
    <row r="545" spans="1:4">
      <c r="A545" s="1426" t="s">
        <v>396</v>
      </c>
      <c r="B545" s="1426" t="s">
        <v>407</v>
      </c>
      <c r="C545" s="1426" t="s">
        <v>709</v>
      </c>
      <c r="D545" s="1431">
        <v>0</v>
      </c>
    </row>
    <row r="546" spans="1:4">
      <c r="A546" s="1426" t="s">
        <v>396</v>
      </c>
      <c r="B546" s="1426" t="s">
        <v>407</v>
      </c>
      <c r="C546" s="1426" t="s">
        <v>708</v>
      </c>
      <c r="D546" s="1431">
        <v>25</v>
      </c>
    </row>
    <row r="547" spans="1:4">
      <c r="A547" s="1426" t="s">
        <v>396</v>
      </c>
      <c r="B547" s="1426" t="s">
        <v>407</v>
      </c>
      <c r="C547" s="1426" t="s">
        <v>707</v>
      </c>
      <c r="D547" s="1431">
        <v>26</v>
      </c>
    </row>
    <row r="548" spans="1:4">
      <c r="A548" s="1426" t="s">
        <v>396</v>
      </c>
      <c r="B548" s="1426" t="s">
        <v>407</v>
      </c>
      <c r="C548" s="1426" t="s">
        <v>706</v>
      </c>
      <c r="D548" s="1431">
        <v>25</v>
      </c>
    </row>
    <row r="549" spans="1:4">
      <c r="A549" s="1426" t="s">
        <v>396</v>
      </c>
      <c r="B549" s="1426" t="s">
        <v>407</v>
      </c>
      <c r="C549" s="1426" t="s">
        <v>705</v>
      </c>
      <c r="D549" s="1431">
        <v>31</v>
      </c>
    </row>
    <row r="550" spans="1:4">
      <c r="A550" s="1426" t="s">
        <v>396</v>
      </c>
      <c r="B550" s="1426" t="s">
        <v>407</v>
      </c>
      <c r="C550" s="1426" t="s">
        <v>704</v>
      </c>
      <c r="D550" s="1431">
        <v>30</v>
      </c>
    </row>
    <row r="551" spans="1:4">
      <c r="A551" s="1426" t="s">
        <v>396</v>
      </c>
      <c r="B551" s="1426" t="s">
        <v>407</v>
      </c>
      <c r="C551" s="1426" t="s">
        <v>703</v>
      </c>
      <c r="D551" s="1431">
        <v>31</v>
      </c>
    </row>
    <row r="552" spans="1:4">
      <c r="A552" s="1426" t="s">
        <v>396</v>
      </c>
      <c r="B552" s="1426" t="s">
        <v>407</v>
      </c>
      <c r="C552" s="1426" t="s">
        <v>702</v>
      </c>
      <c r="D552" s="1431">
        <v>31</v>
      </c>
    </row>
    <row r="553" spans="1:4">
      <c r="A553" s="1426" t="s">
        <v>396</v>
      </c>
      <c r="B553" s="1426" t="s">
        <v>406</v>
      </c>
      <c r="C553" s="1426" t="s">
        <v>712</v>
      </c>
      <c r="D553" s="1431">
        <v>0</v>
      </c>
    </row>
    <row r="554" spans="1:4">
      <c r="A554" s="1426" t="s">
        <v>396</v>
      </c>
      <c r="B554" s="1426" t="s">
        <v>406</v>
      </c>
      <c r="C554" s="1426" t="s">
        <v>711</v>
      </c>
      <c r="D554" s="1431">
        <v>0</v>
      </c>
    </row>
    <row r="555" spans="1:4">
      <c r="A555" s="1426" t="s">
        <v>396</v>
      </c>
      <c r="B555" s="1426" t="s">
        <v>406</v>
      </c>
      <c r="C555" s="1426" t="s">
        <v>710</v>
      </c>
      <c r="D555" s="1431">
        <v>0</v>
      </c>
    </row>
    <row r="556" spans="1:4">
      <c r="A556" s="1426" t="s">
        <v>396</v>
      </c>
      <c r="B556" s="1426" t="s">
        <v>406</v>
      </c>
      <c r="C556" s="1426" t="s">
        <v>709</v>
      </c>
      <c r="D556" s="1431">
        <v>0</v>
      </c>
    </row>
    <row r="557" spans="1:4">
      <c r="A557" s="1426" t="s">
        <v>396</v>
      </c>
      <c r="B557" s="1426" t="s">
        <v>406</v>
      </c>
      <c r="C557" s="1426" t="s">
        <v>708</v>
      </c>
      <c r="D557" s="1431">
        <v>0</v>
      </c>
    </row>
    <row r="558" spans="1:4">
      <c r="A558" s="1426" t="s">
        <v>396</v>
      </c>
      <c r="B558" s="1426" t="s">
        <v>406</v>
      </c>
      <c r="C558" s="1426" t="s">
        <v>707</v>
      </c>
      <c r="D558" s="1431">
        <v>0</v>
      </c>
    </row>
    <row r="559" spans="1:4">
      <c r="A559" s="1426" t="s">
        <v>396</v>
      </c>
      <c r="B559" s="1426" t="s">
        <v>406</v>
      </c>
      <c r="C559" s="1426" t="s">
        <v>706</v>
      </c>
      <c r="D559" s="1431">
        <v>0</v>
      </c>
    </row>
    <row r="560" spans="1:4">
      <c r="A560" s="1426" t="s">
        <v>396</v>
      </c>
      <c r="B560" s="1426" t="s">
        <v>406</v>
      </c>
      <c r="C560" s="1426" t="s">
        <v>705</v>
      </c>
      <c r="D560" s="1431">
        <v>0</v>
      </c>
    </row>
    <row r="561" spans="1:4">
      <c r="A561" s="1426" t="s">
        <v>396</v>
      </c>
      <c r="B561" s="1426" t="s">
        <v>406</v>
      </c>
      <c r="C561" s="1426" t="s">
        <v>704</v>
      </c>
      <c r="D561" s="1431">
        <v>0</v>
      </c>
    </row>
    <row r="562" spans="1:4">
      <c r="A562" s="1426" t="s">
        <v>396</v>
      </c>
      <c r="B562" s="1426" t="s">
        <v>406</v>
      </c>
      <c r="C562" s="1426" t="s">
        <v>703</v>
      </c>
      <c r="D562" s="1431">
        <v>16</v>
      </c>
    </row>
    <row r="563" spans="1:4">
      <c r="A563" s="1426" t="s">
        <v>396</v>
      </c>
      <c r="B563" s="1426" t="s">
        <v>406</v>
      </c>
      <c r="C563" s="1426" t="s">
        <v>702</v>
      </c>
      <c r="D563" s="1431">
        <v>0</v>
      </c>
    </row>
    <row r="564" spans="1:4">
      <c r="A564" s="1426" t="s">
        <v>396</v>
      </c>
      <c r="B564" s="1426" t="s">
        <v>405</v>
      </c>
      <c r="C564" s="1426" t="s">
        <v>712</v>
      </c>
      <c r="D564" s="1431">
        <v>0</v>
      </c>
    </row>
    <row r="565" spans="1:4">
      <c r="A565" s="1426" t="s">
        <v>396</v>
      </c>
      <c r="B565" s="1426" t="s">
        <v>405</v>
      </c>
      <c r="C565" s="1426" t="s">
        <v>711</v>
      </c>
      <c r="D565" s="1431">
        <v>0</v>
      </c>
    </row>
    <row r="566" spans="1:4">
      <c r="A566" s="1426" t="s">
        <v>396</v>
      </c>
      <c r="B566" s="1426" t="s">
        <v>405</v>
      </c>
      <c r="C566" s="1426" t="s">
        <v>710</v>
      </c>
      <c r="D566" s="1431">
        <v>0</v>
      </c>
    </row>
    <row r="567" spans="1:4">
      <c r="A567" s="1426" t="s">
        <v>396</v>
      </c>
      <c r="B567" s="1426" t="s">
        <v>405</v>
      </c>
      <c r="C567" s="1426" t="s">
        <v>709</v>
      </c>
      <c r="D567" s="1431">
        <v>0</v>
      </c>
    </row>
    <row r="568" spans="1:4">
      <c r="A568" s="1426" t="s">
        <v>396</v>
      </c>
      <c r="B568" s="1426" t="s">
        <v>405</v>
      </c>
      <c r="C568" s="1426" t="s">
        <v>708</v>
      </c>
      <c r="D568" s="1431">
        <v>0</v>
      </c>
    </row>
    <row r="569" spans="1:4">
      <c r="A569" s="1426" t="s">
        <v>396</v>
      </c>
      <c r="B569" s="1426" t="s">
        <v>405</v>
      </c>
      <c r="C569" s="1426" t="s">
        <v>707</v>
      </c>
      <c r="D569" s="1431">
        <v>0</v>
      </c>
    </row>
    <row r="570" spans="1:4">
      <c r="A570" s="1426" t="s">
        <v>396</v>
      </c>
      <c r="B570" s="1426" t="s">
        <v>405</v>
      </c>
      <c r="C570" s="1426" t="s">
        <v>706</v>
      </c>
      <c r="D570" s="1431">
        <v>0</v>
      </c>
    </row>
    <row r="571" spans="1:4">
      <c r="A571" s="1426" t="s">
        <v>396</v>
      </c>
      <c r="B571" s="1426" t="s">
        <v>405</v>
      </c>
      <c r="C571" s="1426" t="s">
        <v>705</v>
      </c>
      <c r="D571" s="1431">
        <v>0</v>
      </c>
    </row>
    <row r="572" spans="1:4">
      <c r="A572" s="1426" t="s">
        <v>396</v>
      </c>
      <c r="B572" s="1426" t="s">
        <v>405</v>
      </c>
      <c r="C572" s="1426" t="s">
        <v>704</v>
      </c>
      <c r="D572" s="1431">
        <v>0</v>
      </c>
    </row>
    <row r="573" spans="1:4">
      <c r="A573" s="1426" t="s">
        <v>396</v>
      </c>
      <c r="B573" s="1426" t="s">
        <v>405</v>
      </c>
      <c r="C573" s="1426" t="s">
        <v>703</v>
      </c>
      <c r="D573" s="1431">
        <v>15</v>
      </c>
    </row>
    <row r="574" spans="1:4">
      <c r="A574" s="1426" t="s">
        <v>396</v>
      </c>
      <c r="B574" s="1426" t="s">
        <v>405</v>
      </c>
      <c r="C574" s="1426" t="s">
        <v>702</v>
      </c>
      <c r="D574" s="1431">
        <v>14</v>
      </c>
    </row>
    <row r="575" spans="1:4">
      <c r="A575" s="1426" t="s">
        <v>400</v>
      </c>
      <c r="B575" s="1426" t="s">
        <v>404</v>
      </c>
      <c r="C575" s="1426" t="s">
        <v>712</v>
      </c>
      <c r="D575" s="1431">
        <v>24</v>
      </c>
    </row>
    <row r="576" spans="1:4">
      <c r="A576" s="1426" t="s">
        <v>400</v>
      </c>
      <c r="B576" s="1426" t="s">
        <v>404</v>
      </c>
      <c r="C576" s="1426" t="s">
        <v>711</v>
      </c>
      <c r="D576" s="1431">
        <v>25</v>
      </c>
    </row>
    <row r="577" spans="1:4">
      <c r="A577" s="1426" t="s">
        <v>400</v>
      </c>
      <c r="B577" s="1426" t="s">
        <v>404</v>
      </c>
      <c r="C577" s="1426" t="s">
        <v>710</v>
      </c>
      <c r="D577" s="1431">
        <v>23</v>
      </c>
    </row>
    <row r="578" spans="1:4">
      <c r="A578" s="1426" t="s">
        <v>400</v>
      </c>
      <c r="B578" s="1426" t="s">
        <v>404</v>
      </c>
      <c r="C578" s="1426" t="s">
        <v>709</v>
      </c>
      <c r="D578" s="1431">
        <v>21</v>
      </c>
    </row>
    <row r="579" spans="1:4">
      <c r="A579" s="1426" t="s">
        <v>400</v>
      </c>
      <c r="B579" s="1426" t="s">
        <v>404</v>
      </c>
      <c r="C579" s="1426" t="s">
        <v>708</v>
      </c>
      <c r="D579" s="1431">
        <v>35</v>
      </c>
    </row>
    <row r="580" spans="1:4">
      <c r="A580" s="1426" t="s">
        <v>400</v>
      </c>
      <c r="B580" s="1426" t="s">
        <v>404</v>
      </c>
      <c r="C580" s="1426" t="s">
        <v>707</v>
      </c>
      <c r="D580" s="1431">
        <v>36</v>
      </c>
    </row>
    <row r="581" spans="1:4">
      <c r="A581" s="1426" t="s">
        <v>400</v>
      </c>
      <c r="B581" s="1426" t="s">
        <v>404</v>
      </c>
      <c r="C581" s="1426" t="s">
        <v>706</v>
      </c>
      <c r="D581" s="1431">
        <v>20</v>
      </c>
    </row>
    <row r="582" spans="1:4">
      <c r="A582" s="1426" t="s">
        <v>400</v>
      </c>
      <c r="B582" s="1426" t="s">
        <v>404</v>
      </c>
      <c r="C582" s="1426" t="s">
        <v>705</v>
      </c>
      <c r="D582" s="1431">
        <v>24</v>
      </c>
    </row>
    <row r="583" spans="1:4">
      <c r="A583" s="1426" t="s">
        <v>400</v>
      </c>
      <c r="B583" s="1426" t="s">
        <v>404</v>
      </c>
      <c r="C583" s="1426" t="s">
        <v>704</v>
      </c>
      <c r="D583" s="1431">
        <v>39</v>
      </c>
    </row>
    <row r="584" spans="1:4">
      <c r="A584" s="1426" t="s">
        <v>400</v>
      </c>
      <c r="B584" s="1426" t="s">
        <v>404</v>
      </c>
      <c r="C584" s="1426" t="s">
        <v>703</v>
      </c>
      <c r="D584" s="1431">
        <v>38</v>
      </c>
    </row>
    <row r="585" spans="1:4">
      <c r="A585" s="1426" t="s">
        <v>400</v>
      </c>
      <c r="B585" s="1426" t="s">
        <v>404</v>
      </c>
      <c r="C585" s="1426" t="s">
        <v>702</v>
      </c>
      <c r="D585" s="1431">
        <v>38</v>
      </c>
    </row>
    <row r="586" spans="1:4">
      <c r="A586" s="1426" t="s">
        <v>400</v>
      </c>
      <c r="B586" s="1426" t="s">
        <v>407</v>
      </c>
      <c r="C586" s="1426" t="s">
        <v>712</v>
      </c>
      <c r="D586" s="1431">
        <v>30</v>
      </c>
    </row>
    <row r="587" spans="1:4">
      <c r="A587" s="1426" t="s">
        <v>400</v>
      </c>
      <c r="B587" s="1426" t="s">
        <v>407</v>
      </c>
      <c r="C587" s="1426" t="s">
        <v>711</v>
      </c>
      <c r="D587" s="1431">
        <v>26</v>
      </c>
    </row>
    <row r="588" spans="1:4">
      <c r="A588" s="1426" t="s">
        <v>400</v>
      </c>
      <c r="B588" s="1426" t="s">
        <v>407</v>
      </c>
      <c r="C588" s="1426" t="s">
        <v>710</v>
      </c>
      <c r="D588" s="1431">
        <v>28</v>
      </c>
    </row>
    <row r="589" spans="1:4">
      <c r="A589" s="1426" t="s">
        <v>400</v>
      </c>
      <c r="B589" s="1426" t="s">
        <v>407</v>
      </c>
      <c r="C589" s="1426" t="s">
        <v>709</v>
      </c>
      <c r="D589" s="1431">
        <v>29</v>
      </c>
    </row>
    <row r="590" spans="1:4">
      <c r="A590" s="1426" t="s">
        <v>400</v>
      </c>
      <c r="B590" s="1426" t="s">
        <v>407</v>
      </c>
      <c r="C590" s="1426" t="s">
        <v>708</v>
      </c>
      <c r="D590" s="1431">
        <v>33</v>
      </c>
    </row>
    <row r="591" spans="1:4">
      <c r="A591" s="1426" t="s">
        <v>400</v>
      </c>
      <c r="B591" s="1426" t="s">
        <v>407</v>
      </c>
      <c r="C591" s="1426" t="s">
        <v>707</v>
      </c>
      <c r="D591" s="1431">
        <v>39</v>
      </c>
    </row>
    <row r="592" spans="1:4">
      <c r="A592" s="1426" t="s">
        <v>400</v>
      </c>
      <c r="B592" s="1426" t="s">
        <v>407</v>
      </c>
      <c r="C592" s="1426" t="s">
        <v>706</v>
      </c>
      <c r="D592" s="1431">
        <v>27</v>
      </c>
    </row>
    <row r="593" spans="1:4">
      <c r="A593" s="1426" t="s">
        <v>400</v>
      </c>
      <c r="B593" s="1426" t="s">
        <v>407</v>
      </c>
      <c r="C593" s="1426" t="s">
        <v>705</v>
      </c>
      <c r="D593" s="1431">
        <v>29</v>
      </c>
    </row>
    <row r="594" spans="1:4">
      <c r="A594" s="1426" t="s">
        <v>400</v>
      </c>
      <c r="B594" s="1426" t="s">
        <v>407</v>
      </c>
      <c r="C594" s="1426" t="s">
        <v>704</v>
      </c>
      <c r="D594" s="1431">
        <v>36</v>
      </c>
    </row>
    <row r="595" spans="1:4">
      <c r="A595" s="1426" t="s">
        <v>400</v>
      </c>
      <c r="B595" s="1426" t="s">
        <v>407</v>
      </c>
      <c r="C595" s="1426" t="s">
        <v>703</v>
      </c>
      <c r="D595" s="1431">
        <v>31</v>
      </c>
    </row>
    <row r="596" spans="1:4">
      <c r="A596" s="1426" t="s">
        <v>400</v>
      </c>
      <c r="B596" s="1426" t="s">
        <v>407</v>
      </c>
      <c r="C596" s="1426" t="s">
        <v>702</v>
      </c>
      <c r="D596" s="1431">
        <v>38</v>
      </c>
    </row>
    <row r="597" spans="1:4">
      <c r="A597" s="1426" t="s">
        <v>400</v>
      </c>
      <c r="B597" s="1426" t="s">
        <v>406</v>
      </c>
      <c r="C597" s="1426" t="s">
        <v>712</v>
      </c>
      <c r="D597" s="1431">
        <v>28</v>
      </c>
    </row>
    <row r="598" spans="1:4">
      <c r="A598" s="1426" t="s">
        <v>400</v>
      </c>
      <c r="B598" s="1426" t="s">
        <v>406</v>
      </c>
      <c r="C598" s="1426" t="s">
        <v>711</v>
      </c>
      <c r="D598" s="1431">
        <v>28</v>
      </c>
    </row>
    <row r="599" spans="1:4">
      <c r="A599" s="1426" t="s">
        <v>400</v>
      </c>
      <c r="B599" s="1426" t="s">
        <v>406</v>
      </c>
      <c r="C599" s="1426" t="s">
        <v>710</v>
      </c>
      <c r="D599" s="1431">
        <v>25</v>
      </c>
    </row>
    <row r="600" spans="1:4">
      <c r="A600" s="1426" t="s">
        <v>400</v>
      </c>
      <c r="B600" s="1426" t="s">
        <v>406</v>
      </c>
      <c r="C600" s="1426" t="s">
        <v>709</v>
      </c>
      <c r="D600" s="1431">
        <v>13</v>
      </c>
    </row>
    <row r="601" spans="1:4">
      <c r="A601" s="1426" t="s">
        <v>400</v>
      </c>
      <c r="B601" s="1426" t="s">
        <v>406</v>
      </c>
      <c r="C601" s="1426" t="s">
        <v>708</v>
      </c>
      <c r="D601" s="1431">
        <v>30</v>
      </c>
    </row>
    <row r="602" spans="1:4">
      <c r="A602" s="1426" t="s">
        <v>400</v>
      </c>
      <c r="B602" s="1426" t="s">
        <v>406</v>
      </c>
      <c r="C602" s="1426" t="s">
        <v>707</v>
      </c>
      <c r="D602" s="1431">
        <v>23</v>
      </c>
    </row>
    <row r="603" spans="1:4">
      <c r="A603" s="1426" t="s">
        <v>400</v>
      </c>
      <c r="B603" s="1426" t="s">
        <v>406</v>
      </c>
      <c r="C603" s="1426" t="s">
        <v>706</v>
      </c>
      <c r="D603" s="1431">
        <v>18</v>
      </c>
    </row>
    <row r="604" spans="1:4">
      <c r="A604" s="1426" t="s">
        <v>400</v>
      </c>
      <c r="B604" s="1426" t="s">
        <v>406</v>
      </c>
      <c r="C604" s="1426" t="s">
        <v>705</v>
      </c>
      <c r="D604" s="1431">
        <v>8</v>
      </c>
    </row>
    <row r="605" spans="1:4">
      <c r="A605" s="1426" t="s">
        <v>400</v>
      </c>
      <c r="B605" s="1426" t="s">
        <v>406</v>
      </c>
      <c r="C605" s="1426" t="s">
        <v>704</v>
      </c>
      <c r="D605" s="1431">
        <v>31</v>
      </c>
    </row>
    <row r="606" spans="1:4">
      <c r="A606" s="1426" t="s">
        <v>400</v>
      </c>
      <c r="B606" s="1426" t="s">
        <v>406</v>
      </c>
      <c r="C606" s="1426" t="s">
        <v>703</v>
      </c>
      <c r="D606" s="1431">
        <v>24</v>
      </c>
    </row>
    <row r="607" spans="1:4">
      <c r="A607" s="1426" t="s">
        <v>400</v>
      </c>
      <c r="B607" s="1426" t="s">
        <v>406</v>
      </c>
      <c r="C607" s="1426" t="s">
        <v>702</v>
      </c>
      <c r="D607" s="1431">
        <v>0</v>
      </c>
    </row>
    <row r="608" spans="1:4">
      <c r="A608" s="1426" t="s">
        <v>400</v>
      </c>
      <c r="B608" s="1426" t="s">
        <v>405</v>
      </c>
      <c r="C608" s="1426" t="s">
        <v>712</v>
      </c>
      <c r="D608" s="1431">
        <v>24</v>
      </c>
    </row>
    <row r="609" spans="1:4">
      <c r="A609" s="1426" t="s">
        <v>400</v>
      </c>
      <c r="B609" s="1426" t="s">
        <v>405</v>
      </c>
      <c r="C609" s="1426" t="s">
        <v>711</v>
      </c>
      <c r="D609" s="1431">
        <v>25</v>
      </c>
    </row>
    <row r="610" spans="1:4">
      <c r="A610" s="1426" t="s">
        <v>400</v>
      </c>
      <c r="B610" s="1426" t="s">
        <v>405</v>
      </c>
      <c r="C610" s="1426" t="s">
        <v>710</v>
      </c>
      <c r="D610" s="1431">
        <v>21</v>
      </c>
    </row>
    <row r="611" spans="1:4">
      <c r="A611" s="1426" t="s">
        <v>400</v>
      </c>
      <c r="B611" s="1426" t="s">
        <v>405</v>
      </c>
      <c r="C611" s="1426" t="s">
        <v>709</v>
      </c>
      <c r="D611" s="1431">
        <v>18</v>
      </c>
    </row>
    <row r="612" spans="1:4">
      <c r="A612" s="1426" t="s">
        <v>400</v>
      </c>
      <c r="B612" s="1426" t="s">
        <v>405</v>
      </c>
      <c r="C612" s="1426" t="s">
        <v>708</v>
      </c>
      <c r="D612" s="1431">
        <v>24</v>
      </c>
    </row>
    <row r="613" spans="1:4">
      <c r="A613" s="1426" t="s">
        <v>400</v>
      </c>
      <c r="B613" s="1426" t="s">
        <v>405</v>
      </c>
      <c r="C613" s="1426" t="s">
        <v>707</v>
      </c>
      <c r="D613" s="1431">
        <v>21</v>
      </c>
    </row>
    <row r="614" spans="1:4">
      <c r="A614" s="1426" t="s">
        <v>400</v>
      </c>
      <c r="B614" s="1426" t="s">
        <v>405</v>
      </c>
      <c r="C614" s="1426" t="s">
        <v>706</v>
      </c>
      <c r="D614" s="1431">
        <v>15</v>
      </c>
    </row>
    <row r="615" spans="1:4">
      <c r="A615" s="1426" t="s">
        <v>400</v>
      </c>
      <c r="B615" s="1426" t="s">
        <v>405</v>
      </c>
      <c r="C615" s="1426" t="s">
        <v>705</v>
      </c>
      <c r="D615" s="1431">
        <v>16</v>
      </c>
    </row>
    <row r="616" spans="1:4">
      <c r="A616" s="1426" t="s">
        <v>400</v>
      </c>
      <c r="B616" s="1426" t="s">
        <v>405</v>
      </c>
      <c r="C616" s="1426" t="s">
        <v>704</v>
      </c>
      <c r="D616" s="1431">
        <v>19</v>
      </c>
    </row>
    <row r="617" spans="1:4">
      <c r="A617" s="1426" t="s">
        <v>400</v>
      </c>
      <c r="B617" s="1426" t="s">
        <v>405</v>
      </c>
      <c r="C617" s="1426" t="s">
        <v>703</v>
      </c>
      <c r="D617" s="1431">
        <v>21</v>
      </c>
    </row>
    <row r="618" spans="1:4">
      <c r="A618" s="1426" t="s">
        <v>400</v>
      </c>
      <c r="B618" s="1426" t="s">
        <v>405</v>
      </c>
      <c r="C618" s="1426" t="s">
        <v>702</v>
      </c>
      <c r="D618" s="1431">
        <v>16</v>
      </c>
    </row>
    <row r="619" spans="1:4">
      <c r="A619" s="1426" t="s">
        <v>401</v>
      </c>
      <c r="B619" s="1426" t="s">
        <v>404</v>
      </c>
      <c r="C619" s="1426" t="s">
        <v>712</v>
      </c>
      <c r="D619" s="1431">
        <v>22</v>
      </c>
    </row>
    <row r="620" spans="1:4">
      <c r="A620" s="1426" t="s">
        <v>401</v>
      </c>
      <c r="B620" s="1426" t="s">
        <v>404</v>
      </c>
      <c r="C620" s="1426" t="s">
        <v>711</v>
      </c>
      <c r="D620" s="1431">
        <v>33</v>
      </c>
    </row>
    <row r="621" spans="1:4">
      <c r="A621" s="1426" t="s">
        <v>401</v>
      </c>
      <c r="B621" s="1426" t="s">
        <v>404</v>
      </c>
      <c r="C621" s="1426" t="s">
        <v>710</v>
      </c>
      <c r="D621" s="1431">
        <v>16</v>
      </c>
    </row>
    <row r="622" spans="1:4">
      <c r="A622" s="1426" t="s">
        <v>401</v>
      </c>
      <c r="B622" s="1426" t="s">
        <v>404</v>
      </c>
      <c r="C622" s="1426" t="s">
        <v>709</v>
      </c>
      <c r="D622" s="1431">
        <v>17</v>
      </c>
    </row>
    <row r="623" spans="1:4">
      <c r="A623" s="1426" t="s">
        <v>401</v>
      </c>
      <c r="B623" s="1426" t="s">
        <v>404</v>
      </c>
      <c r="C623" s="1426" t="s">
        <v>708</v>
      </c>
      <c r="D623" s="1431">
        <v>30</v>
      </c>
    </row>
    <row r="624" spans="1:4">
      <c r="A624" s="1426" t="s">
        <v>401</v>
      </c>
      <c r="B624" s="1426" t="s">
        <v>404</v>
      </c>
      <c r="C624" s="1426" t="s">
        <v>707</v>
      </c>
      <c r="D624" s="1431">
        <v>31</v>
      </c>
    </row>
    <row r="625" spans="1:4">
      <c r="A625" s="1426" t="s">
        <v>401</v>
      </c>
      <c r="B625" s="1426" t="s">
        <v>404</v>
      </c>
      <c r="C625" s="1426" t="s">
        <v>706</v>
      </c>
      <c r="D625" s="1431">
        <v>21</v>
      </c>
    </row>
    <row r="626" spans="1:4">
      <c r="A626" s="1426" t="s">
        <v>401</v>
      </c>
      <c r="B626" s="1426" t="s">
        <v>404</v>
      </c>
      <c r="C626" s="1426" t="s">
        <v>705</v>
      </c>
      <c r="D626" s="1431">
        <v>14</v>
      </c>
    </row>
    <row r="627" spans="1:4">
      <c r="A627" s="1426" t="s">
        <v>401</v>
      </c>
      <c r="B627" s="1426" t="s">
        <v>404</v>
      </c>
      <c r="C627" s="1426" t="s">
        <v>704</v>
      </c>
      <c r="D627" s="1431">
        <v>37</v>
      </c>
    </row>
    <row r="628" spans="1:4">
      <c r="A628" s="1426" t="s">
        <v>401</v>
      </c>
      <c r="B628" s="1426" t="s">
        <v>404</v>
      </c>
      <c r="C628" s="1426" t="s">
        <v>703</v>
      </c>
      <c r="D628" s="1431">
        <v>37</v>
      </c>
    </row>
    <row r="629" spans="1:4">
      <c r="A629" s="1426" t="s">
        <v>401</v>
      </c>
      <c r="B629" s="1426" t="s">
        <v>404</v>
      </c>
      <c r="C629" s="1426" t="s">
        <v>702</v>
      </c>
      <c r="D629" s="1431">
        <v>29</v>
      </c>
    </row>
    <row r="630" spans="1:4">
      <c r="A630" s="1426" t="s">
        <v>401</v>
      </c>
      <c r="B630" s="1426" t="s">
        <v>407</v>
      </c>
      <c r="C630" s="1426" t="s">
        <v>712</v>
      </c>
      <c r="D630" s="1431">
        <v>31</v>
      </c>
    </row>
    <row r="631" spans="1:4">
      <c r="A631" s="1426" t="s">
        <v>401</v>
      </c>
      <c r="B631" s="1426" t="s">
        <v>407</v>
      </c>
      <c r="C631" s="1426" t="s">
        <v>711</v>
      </c>
      <c r="D631" s="1431">
        <v>28</v>
      </c>
    </row>
    <row r="632" spans="1:4">
      <c r="A632" s="1426" t="s">
        <v>401</v>
      </c>
      <c r="B632" s="1426" t="s">
        <v>407</v>
      </c>
      <c r="C632" s="1426" t="s">
        <v>710</v>
      </c>
      <c r="D632" s="1431">
        <v>21</v>
      </c>
    </row>
    <row r="633" spans="1:4">
      <c r="A633" s="1426" t="s">
        <v>401</v>
      </c>
      <c r="B633" s="1426" t="s">
        <v>407</v>
      </c>
      <c r="C633" s="1426" t="s">
        <v>709</v>
      </c>
      <c r="D633" s="1431">
        <v>27</v>
      </c>
    </row>
    <row r="634" spans="1:4">
      <c r="A634" s="1426" t="s">
        <v>401</v>
      </c>
      <c r="B634" s="1426" t="s">
        <v>407</v>
      </c>
      <c r="C634" s="1426" t="s">
        <v>708</v>
      </c>
      <c r="D634" s="1431">
        <v>31</v>
      </c>
    </row>
    <row r="635" spans="1:4">
      <c r="A635" s="1426" t="s">
        <v>401</v>
      </c>
      <c r="B635" s="1426" t="s">
        <v>407</v>
      </c>
      <c r="C635" s="1426" t="s">
        <v>707</v>
      </c>
      <c r="D635" s="1431">
        <v>34</v>
      </c>
    </row>
    <row r="636" spans="1:4">
      <c r="A636" s="1426" t="s">
        <v>401</v>
      </c>
      <c r="B636" s="1426" t="s">
        <v>407</v>
      </c>
      <c r="C636" s="1426" t="s">
        <v>706</v>
      </c>
      <c r="D636" s="1431">
        <v>28</v>
      </c>
    </row>
    <row r="637" spans="1:4">
      <c r="A637" s="1426" t="s">
        <v>401</v>
      </c>
      <c r="B637" s="1426" t="s">
        <v>407</v>
      </c>
      <c r="C637" s="1426" t="s">
        <v>705</v>
      </c>
      <c r="D637" s="1431">
        <v>21</v>
      </c>
    </row>
    <row r="638" spans="1:4">
      <c r="A638" s="1426" t="s">
        <v>401</v>
      </c>
      <c r="B638" s="1426" t="s">
        <v>407</v>
      </c>
      <c r="C638" s="1426" t="s">
        <v>704</v>
      </c>
      <c r="D638" s="1431">
        <v>33</v>
      </c>
    </row>
    <row r="639" spans="1:4">
      <c r="A639" s="1426" t="s">
        <v>401</v>
      </c>
      <c r="B639" s="1426" t="s">
        <v>407</v>
      </c>
      <c r="C639" s="1426" t="s">
        <v>703</v>
      </c>
      <c r="D639" s="1431">
        <v>36</v>
      </c>
    </row>
    <row r="640" spans="1:4">
      <c r="A640" s="1426" t="s">
        <v>401</v>
      </c>
      <c r="B640" s="1426" t="s">
        <v>407</v>
      </c>
      <c r="C640" s="1426" t="s">
        <v>702</v>
      </c>
      <c r="D640" s="1431">
        <v>33</v>
      </c>
    </row>
    <row r="641" spans="1:4">
      <c r="A641" s="1426" t="s">
        <v>401</v>
      </c>
      <c r="B641" s="1426" t="s">
        <v>406</v>
      </c>
      <c r="C641" s="1426" t="s">
        <v>712</v>
      </c>
      <c r="D641" s="1431">
        <v>24</v>
      </c>
    </row>
    <row r="642" spans="1:4">
      <c r="A642" s="1426" t="s">
        <v>401</v>
      </c>
      <c r="B642" s="1426" t="s">
        <v>406</v>
      </c>
      <c r="C642" s="1426" t="s">
        <v>711</v>
      </c>
      <c r="D642" s="1431">
        <v>26</v>
      </c>
    </row>
    <row r="643" spans="1:4">
      <c r="A643" s="1426" t="s">
        <v>401</v>
      </c>
      <c r="B643" s="1426" t="s">
        <v>406</v>
      </c>
      <c r="C643" s="1426" t="s">
        <v>710</v>
      </c>
      <c r="D643" s="1431">
        <v>29</v>
      </c>
    </row>
    <row r="644" spans="1:4">
      <c r="A644" s="1426" t="s">
        <v>401</v>
      </c>
      <c r="B644" s="1426" t="s">
        <v>406</v>
      </c>
      <c r="C644" s="1426" t="s">
        <v>709</v>
      </c>
      <c r="D644" s="1431">
        <v>18</v>
      </c>
    </row>
    <row r="645" spans="1:4">
      <c r="A645" s="1426" t="s">
        <v>401</v>
      </c>
      <c r="B645" s="1426" t="s">
        <v>406</v>
      </c>
      <c r="C645" s="1426" t="s">
        <v>708</v>
      </c>
      <c r="D645" s="1431">
        <v>29</v>
      </c>
    </row>
    <row r="646" spans="1:4">
      <c r="A646" s="1426" t="s">
        <v>401</v>
      </c>
      <c r="B646" s="1426" t="s">
        <v>406</v>
      </c>
      <c r="C646" s="1426" t="s">
        <v>707</v>
      </c>
      <c r="D646" s="1431">
        <v>21</v>
      </c>
    </row>
    <row r="647" spans="1:4">
      <c r="A647" s="1426" t="s">
        <v>401</v>
      </c>
      <c r="B647" s="1426" t="s">
        <v>406</v>
      </c>
      <c r="C647" s="1426" t="s">
        <v>706</v>
      </c>
      <c r="D647" s="1431">
        <v>10</v>
      </c>
    </row>
    <row r="648" spans="1:4">
      <c r="A648" s="1426" t="s">
        <v>401</v>
      </c>
      <c r="B648" s="1426" t="s">
        <v>406</v>
      </c>
      <c r="C648" s="1426" t="s">
        <v>705</v>
      </c>
      <c r="D648" s="1431">
        <v>10</v>
      </c>
    </row>
    <row r="649" spans="1:4">
      <c r="A649" s="1426" t="s">
        <v>401</v>
      </c>
      <c r="B649" s="1426" t="s">
        <v>406</v>
      </c>
      <c r="C649" s="1426" t="s">
        <v>704</v>
      </c>
      <c r="D649" s="1431">
        <v>29</v>
      </c>
    </row>
    <row r="650" spans="1:4">
      <c r="A650" s="1426" t="s">
        <v>401</v>
      </c>
      <c r="B650" s="1426" t="s">
        <v>406</v>
      </c>
      <c r="C650" s="1426" t="s">
        <v>703</v>
      </c>
      <c r="D650" s="1431">
        <v>19</v>
      </c>
    </row>
    <row r="651" spans="1:4">
      <c r="A651" s="1426" t="s">
        <v>401</v>
      </c>
      <c r="B651" s="1426" t="s">
        <v>406</v>
      </c>
      <c r="C651" s="1426" t="s">
        <v>702</v>
      </c>
      <c r="D651" s="1431">
        <v>0</v>
      </c>
    </row>
    <row r="652" spans="1:4">
      <c r="A652" s="1426" t="s">
        <v>401</v>
      </c>
      <c r="B652" s="1426" t="s">
        <v>405</v>
      </c>
      <c r="C652" s="1426" t="s">
        <v>712</v>
      </c>
      <c r="D652" s="1431">
        <v>11</v>
      </c>
    </row>
    <row r="653" spans="1:4">
      <c r="A653" s="1426" t="s">
        <v>401</v>
      </c>
      <c r="B653" s="1426" t="s">
        <v>405</v>
      </c>
      <c r="C653" s="1426" t="s">
        <v>711</v>
      </c>
      <c r="D653" s="1431">
        <v>18</v>
      </c>
    </row>
    <row r="654" spans="1:4">
      <c r="A654" s="1426" t="s">
        <v>401</v>
      </c>
      <c r="B654" s="1426" t="s">
        <v>405</v>
      </c>
      <c r="C654" s="1426" t="s">
        <v>710</v>
      </c>
      <c r="D654" s="1431">
        <v>12</v>
      </c>
    </row>
    <row r="655" spans="1:4">
      <c r="A655" s="1426" t="s">
        <v>401</v>
      </c>
      <c r="B655" s="1426" t="s">
        <v>405</v>
      </c>
      <c r="C655" s="1426" t="s">
        <v>709</v>
      </c>
      <c r="D655" s="1431">
        <v>11</v>
      </c>
    </row>
    <row r="656" spans="1:4">
      <c r="A656" s="1426" t="s">
        <v>401</v>
      </c>
      <c r="B656" s="1426" t="s">
        <v>405</v>
      </c>
      <c r="C656" s="1426" t="s">
        <v>708</v>
      </c>
      <c r="D656" s="1431">
        <v>13</v>
      </c>
    </row>
    <row r="657" spans="1:4">
      <c r="A657" s="1426" t="s">
        <v>401</v>
      </c>
      <c r="B657" s="1426" t="s">
        <v>405</v>
      </c>
      <c r="C657" s="1426" t="s">
        <v>707</v>
      </c>
      <c r="D657" s="1431">
        <v>11</v>
      </c>
    </row>
    <row r="658" spans="1:4">
      <c r="A658" s="1426" t="s">
        <v>401</v>
      </c>
      <c r="B658" s="1426" t="s">
        <v>405</v>
      </c>
      <c r="C658" s="1426" t="s">
        <v>706</v>
      </c>
      <c r="D658" s="1431">
        <v>7</v>
      </c>
    </row>
    <row r="659" spans="1:4">
      <c r="A659" s="1426" t="s">
        <v>401</v>
      </c>
      <c r="B659" s="1426" t="s">
        <v>405</v>
      </c>
      <c r="C659" s="1426" t="s">
        <v>705</v>
      </c>
      <c r="D659" s="1431">
        <v>5</v>
      </c>
    </row>
    <row r="660" spans="1:4">
      <c r="A660" s="1426" t="s">
        <v>401</v>
      </c>
      <c r="B660" s="1426" t="s">
        <v>405</v>
      </c>
      <c r="C660" s="1426" t="s">
        <v>704</v>
      </c>
      <c r="D660" s="1431">
        <v>13</v>
      </c>
    </row>
    <row r="661" spans="1:4">
      <c r="A661" s="1426" t="s">
        <v>401</v>
      </c>
      <c r="B661" s="1426" t="s">
        <v>405</v>
      </c>
      <c r="C661" s="1426" t="s">
        <v>703</v>
      </c>
      <c r="D661" s="1431">
        <v>18</v>
      </c>
    </row>
    <row r="662" spans="1:4">
      <c r="A662" s="1426" t="s">
        <v>401</v>
      </c>
      <c r="B662" s="1426" t="s">
        <v>405</v>
      </c>
      <c r="C662" s="1426" t="s">
        <v>702</v>
      </c>
      <c r="D662" s="1431">
        <v>12</v>
      </c>
    </row>
    <row r="663" spans="1:4">
      <c r="A663" s="1426" t="s">
        <v>387</v>
      </c>
      <c r="B663" s="1426" t="s">
        <v>404</v>
      </c>
      <c r="C663" s="1426" t="s">
        <v>712</v>
      </c>
      <c r="D663" s="1431">
        <v>47</v>
      </c>
    </row>
    <row r="664" spans="1:4">
      <c r="A664" s="1426" t="s">
        <v>387</v>
      </c>
      <c r="B664" s="1426" t="s">
        <v>404</v>
      </c>
      <c r="C664" s="1426" t="s">
        <v>711</v>
      </c>
      <c r="D664" s="1431">
        <v>46</v>
      </c>
    </row>
    <row r="665" spans="1:4">
      <c r="A665" s="1426" t="s">
        <v>387</v>
      </c>
      <c r="B665" s="1426" t="s">
        <v>404</v>
      </c>
      <c r="C665" s="1426" t="s">
        <v>710</v>
      </c>
      <c r="D665" s="1431">
        <v>38</v>
      </c>
    </row>
    <row r="666" spans="1:4">
      <c r="A666" s="1426" t="s">
        <v>387</v>
      </c>
      <c r="B666" s="1426" t="s">
        <v>404</v>
      </c>
      <c r="C666" s="1426" t="s">
        <v>709</v>
      </c>
      <c r="D666" s="1431">
        <v>58</v>
      </c>
    </row>
    <row r="667" spans="1:4">
      <c r="A667" s="1426" t="s">
        <v>387</v>
      </c>
      <c r="B667" s="1426" t="s">
        <v>404</v>
      </c>
      <c r="C667" s="1426" t="s">
        <v>708</v>
      </c>
      <c r="D667" s="1431">
        <v>53</v>
      </c>
    </row>
    <row r="668" spans="1:4">
      <c r="A668" s="1426" t="s">
        <v>387</v>
      </c>
      <c r="B668" s="1426" t="s">
        <v>404</v>
      </c>
      <c r="C668" s="1426" t="s">
        <v>707</v>
      </c>
      <c r="D668" s="1431">
        <v>54</v>
      </c>
    </row>
    <row r="669" spans="1:4">
      <c r="A669" s="1426" t="s">
        <v>387</v>
      </c>
      <c r="B669" s="1426" t="s">
        <v>404</v>
      </c>
      <c r="C669" s="1426" t="s">
        <v>706</v>
      </c>
      <c r="D669" s="1431">
        <v>47</v>
      </c>
    </row>
    <row r="670" spans="1:4">
      <c r="A670" s="1426" t="s">
        <v>387</v>
      </c>
      <c r="B670" s="1426" t="s">
        <v>404</v>
      </c>
      <c r="C670" s="1426" t="s">
        <v>705</v>
      </c>
      <c r="D670" s="1431">
        <v>34</v>
      </c>
    </row>
    <row r="671" spans="1:4">
      <c r="A671" s="1426" t="s">
        <v>387</v>
      </c>
      <c r="B671" s="1426" t="s">
        <v>404</v>
      </c>
      <c r="C671" s="1426" t="s">
        <v>704</v>
      </c>
      <c r="D671" s="1431">
        <v>59</v>
      </c>
    </row>
    <row r="672" spans="1:4">
      <c r="A672" s="1426" t="s">
        <v>387</v>
      </c>
      <c r="B672" s="1426" t="s">
        <v>404</v>
      </c>
      <c r="C672" s="1426" t="s">
        <v>703</v>
      </c>
      <c r="D672" s="1431">
        <v>54</v>
      </c>
    </row>
    <row r="673" spans="1:4">
      <c r="A673" s="1426" t="s">
        <v>387</v>
      </c>
      <c r="B673" s="1426" t="s">
        <v>404</v>
      </c>
      <c r="C673" s="1426" t="s">
        <v>702</v>
      </c>
      <c r="D673" s="1431">
        <v>0</v>
      </c>
    </row>
    <row r="674" spans="1:4">
      <c r="A674" s="1426" t="s">
        <v>387</v>
      </c>
      <c r="B674" s="1426" t="s">
        <v>407</v>
      </c>
      <c r="C674" s="1426" t="s">
        <v>712</v>
      </c>
      <c r="D674" s="1431">
        <v>30</v>
      </c>
    </row>
    <row r="675" spans="1:4">
      <c r="A675" s="1426" t="s">
        <v>387</v>
      </c>
      <c r="B675" s="1426" t="s">
        <v>407</v>
      </c>
      <c r="C675" s="1426" t="s">
        <v>711</v>
      </c>
      <c r="D675" s="1431">
        <v>31</v>
      </c>
    </row>
    <row r="676" spans="1:4">
      <c r="A676" s="1426" t="s">
        <v>387</v>
      </c>
      <c r="B676" s="1426" t="s">
        <v>407</v>
      </c>
      <c r="C676" s="1426" t="s">
        <v>710</v>
      </c>
      <c r="D676" s="1431">
        <v>32</v>
      </c>
    </row>
    <row r="677" spans="1:4">
      <c r="A677" s="1426" t="s">
        <v>387</v>
      </c>
      <c r="B677" s="1426" t="s">
        <v>407</v>
      </c>
      <c r="C677" s="1426" t="s">
        <v>709</v>
      </c>
      <c r="D677" s="1431">
        <v>47</v>
      </c>
    </row>
    <row r="678" spans="1:4">
      <c r="A678" s="1426" t="s">
        <v>387</v>
      </c>
      <c r="B678" s="1426" t="s">
        <v>407</v>
      </c>
      <c r="C678" s="1426" t="s">
        <v>708</v>
      </c>
      <c r="D678" s="1431">
        <v>40</v>
      </c>
    </row>
    <row r="679" spans="1:4">
      <c r="A679" s="1426" t="s">
        <v>387</v>
      </c>
      <c r="B679" s="1426" t="s">
        <v>407</v>
      </c>
      <c r="C679" s="1426" t="s">
        <v>707</v>
      </c>
      <c r="D679" s="1431">
        <v>0</v>
      </c>
    </row>
    <row r="680" spans="1:4">
      <c r="A680" s="1426" t="s">
        <v>387</v>
      </c>
      <c r="B680" s="1426" t="s">
        <v>407</v>
      </c>
      <c r="C680" s="1426" t="s">
        <v>706</v>
      </c>
      <c r="D680" s="1431">
        <v>0</v>
      </c>
    </row>
    <row r="681" spans="1:4">
      <c r="A681" s="1426" t="s">
        <v>387</v>
      </c>
      <c r="B681" s="1426" t="s">
        <v>407</v>
      </c>
      <c r="C681" s="1426" t="s">
        <v>705</v>
      </c>
      <c r="D681" s="1431">
        <v>40</v>
      </c>
    </row>
    <row r="682" spans="1:4">
      <c r="A682" s="1426" t="s">
        <v>387</v>
      </c>
      <c r="B682" s="1426" t="s">
        <v>407</v>
      </c>
      <c r="C682" s="1426" t="s">
        <v>704</v>
      </c>
      <c r="D682" s="1431">
        <v>0</v>
      </c>
    </row>
    <row r="683" spans="1:4">
      <c r="A683" s="1426" t="s">
        <v>387</v>
      </c>
      <c r="B683" s="1426" t="s">
        <v>407</v>
      </c>
      <c r="C683" s="1426" t="s">
        <v>703</v>
      </c>
      <c r="D683" s="1431">
        <v>33</v>
      </c>
    </row>
    <row r="684" spans="1:4">
      <c r="A684" s="1426" t="s">
        <v>387</v>
      </c>
      <c r="B684" s="1426" t="s">
        <v>407</v>
      </c>
      <c r="C684" s="1426" t="s">
        <v>702</v>
      </c>
      <c r="D684" s="1431">
        <v>0</v>
      </c>
    </row>
    <row r="685" spans="1:4">
      <c r="A685" s="1426" t="s">
        <v>387</v>
      </c>
      <c r="B685" s="1426" t="s">
        <v>406</v>
      </c>
      <c r="C685" s="1426" t="s">
        <v>712</v>
      </c>
      <c r="D685" s="1431">
        <v>0</v>
      </c>
    </row>
    <row r="686" spans="1:4">
      <c r="A686" s="1426" t="s">
        <v>387</v>
      </c>
      <c r="B686" s="1426" t="s">
        <v>406</v>
      </c>
      <c r="C686" s="1426" t="s">
        <v>711</v>
      </c>
      <c r="D686" s="1431">
        <v>0</v>
      </c>
    </row>
    <row r="687" spans="1:4">
      <c r="A687" s="1426" t="s">
        <v>387</v>
      </c>
      <c r="B687" s="1426" t="s">
        <v>406</v>
      </c>
      <c r="C687" s="1426" t="s">
        <v>710</v>
      </c>
      <c r="D687" s="1431">
        <v>0</v>
      </c>
    </row>
    <row r="688" spans="1:4">
      <c r="A688" s="1426" t="s">
        <v>387</v>
      </c>
      <c r="B688" s="1426" t="s">
        <v>406</v>
      </c>
      <c r="C688" s="1426" t="s">
        <v>709</v>
      </c>
      <c r="D688" s="1431">
        <v>0</v>
      </c>
    </row>
    <row r="689" spans="1:4">
      <c r="A689" s="1426" t="s">
        <v>387</v>
      </c>
      <c r="B689" s="1426" t="s">
        <v>406</v>
      </c>
      <c r="C689" s="1426" t="s">
        <v>708</v>
      </c>
      <c r="D689" s="1431">
        <v>0</v>
      </c>
    </row>
    <row r="690" spans="1:4">
      <c r="A690" s="1426" t="s">
        <v>387</v>
      </c>
      <c r="B690" s="1426" t="s">
        <v>406</v>
      </c>
      <c r="C690" s="1426" t="s">
        <v>707</v>
      </c>
      <c r="D690" s="1431">
        <v>0</v>
      </c>
    </row>
    <row r="691" spans="1:4">
      <c r="A691" s="1426" t="s">
        <v>387</v>
      </c>
      <c r="B691" s="1426" t="s">
        <v>406</v>
      </c>
      <c r="C691" s="1426" t="s">
        <v>706</v>
      </c>
      <c r="D691" s="1431">
        <v>0</v>
      </c>
    </row>
    <row r="692" spans="1:4">
      <c r="A692" s="1426" t="s">
        <v>387</v>
      </c>
      <c r="B692" s="1426" t="s">
        <v>406</v>
      </c>
      <c r="C692" s="1426" t="s">
        <v>705</v>
      </c>
      <c r="D692" s="1431">
        <v>0</v>
      </c>
    </row>
    <row r="693" spans="1:4">
      <c r="A693" s="1426" t="s">
        <v>387</v>
      </c>
      <c r="B693" s="1426" t="s">
        <v>406</v>
      </c>
      <c r="C693" s="1426" t="s">
        <v>704</v>
      </c>
      <c r="D693" s="1431">
        <v>0</v>
      </c>
    </row>
    <row r="694" spans="1:4">
      <c r="A694" s="1426" t="s">
        <v>387</v>
      </c>
      <c r="B694" s="1426" t="s">
        <v>406</v>
      </c>
      <c r="C694" s="1426" t="s">
        <v>703</v>
      </c>
      <c r="D694" s="1431">
        <v>0</v>
      </c>
    </row>
    <row r="695" spans="1:4">
      <c r="A695" s="1426" t="s">
        <v>387</v>
      </c>
      <c r="B695" s="1426" t="s">
        <v>406</v>
      </c>
      <c r="C695" s="1426" t="s">
        <v>702</v>
      </c>
      <c r="D695" s="1431">
        <v>0</v>
      </c>
    </row>
    <row r="696" spans="1:4">
      <c r="A696" s="1426" t="s">
        <v>387</v>
      </c>
      <c r="B696" s="1426" t="s">
        <v>405</v>
      </c>
      <c r="C696" s="1426" t="s">
        <v>712</v>
      </c>
      <c r="D696" s="1431">
        <v>34</v>
      </c>
    </row>
    <row r="697" spans="1:4">
      <c r="A697" s="1426" t="s">
        <v>387</v>
      </c>
      <c r="B697" s="1426" t="s">
        <v>405</v>
      </c>
      <c r="C697" s="1426" t="s">
        <v>711</v>
      </c>
      <c r="D697" s="1431">
        <v>0</v>
      </c>
    </row>
    <row r="698" spans="1:4">
      <c r="A698" s="1426" t="s">
        <v>387</v>
      </c>
      <c r="B698" s="1426" t="s">
        <v>405</v>
      </c>
      <c r="C698" s="1426" t="s">
        <v>710</v>
      </c>
      <c r="D698" s="1431">
        <v>33</v>
      </c>
    </row>
    <row r="699" spans="1:4">
      <c r="A699" s="1426" t="s">
        <v>387</v>
      </c>
      <c r="B699" s="1426" t="s">
        <v>405</v>
      </c>
      <c r="C699" s="1426" t="s">
        <v>709</v>
      </c>
      <c r="D699" s="1431">
        <v>28</v>
      </c>
    </row>
    <row r="700" spans="1:4">
      <c r="A700" s="1426" t="s">
        <v>387</v>
      </c>
      <c r="B700" s="1426" t="s">
        <v>405</v>
      </c>
      <c r="C700" s="1426" t="s">
        <v>708</v>
      </c>
      <c r="D700" s="1431">
        <v>34</v>
      </c>
    </row>
    <row r="701" spans="1:4">
      <c r="A701" s="1426" t="s">
        <v>387</v>
      </c>
      <c r="B701" s="1426" t="s">
        <v>405</v>
      </c>
      <c r="C701" s="1426" t="s">
        <v>707</v>
      </c>
      <c r="D701" s="1431">
        <v>0</v>
      </c>
    </row>
    <row r="702" spans="1:4">
      <c r="A702" s="1426" t="s">
        <v>387</v>
      </c>
      <c r="B702" s="1426" t="s">
        <v>405</v>
      </c>
      <c r="C702" s="1426" t="s">
        <v>706</v>
      </c>
      <c r="D702" s="1431">
        <v>0</v>
      </c>
    </row>
    <row r="703" spans="1:4">
      <c r="A703" s="1426" t="s">
        <v>387</v>
      </c>
      <c r="B703" s="1426" t="s">
        <v>405</v>
      </c>
      <c r="C703" s="1426" t="s">
        <v>705</v>
      </c>
      <c r="D703" s="1431">
        <v>0</v>
      </c>
    </row>
    <row r="704" spans="1:4">
      <c r="A704" s="1426" t="s">
        <v>387</v>
      </c>
      <c r="B704" s="1426" t="s">
        <v>405</v>
      </c>
      <c r="C704" s="1426" t="s">
        <v>704</v>
      </c>
      <c r="D704" s="1431">
        <v>0</v>
      </c>
    </row>
    <row r="705" spans="1:4">
      <c r="A705" s="1426" t="s">
        <v>387</v>
      </c>
      <c r="B705" s="1426" t="s">
        <v>405</v>
      </c>
      <c r="C705" s="1426" t="s">
        <v>703</v>
      </c>
      <c r="D705" s="1431">
        <v>0</v>
      </c>
    </row>
    <row r="706" spans="1:4">
      <c r="A706" s="1426" t="s">
        <v>387</v>
      </c>
      <c r="B706" s="1426" t="s">
        <v>405</v>
      </c>
      <c r="C706" s="1426" t="s">
        <v>702</v>
      </c>
      <c r="D706" s="1431">
        <v>0</v>
      </c>
    </row>
    <row r="707" spans="1:4">
      <c r="A707" s="1426" t="s">
        <v>402</v>
      </c>
      <c r="B707" s="1426" t="s">
        <v>404</v>
      </c>
      <c r="C707" s="1426" t="s">
        <v>712</v>
      </c>
      <c r="D707" s="1431">
        <v>24</v>
      </c>
    </row>
    <row r="708" spans="1:4">
      <c r="A708" s="1426" t="s">
        <v>402</v>
      </c>
      <c r="B708" s="1426" t="s">
        <v>404</v>
      </c>
      <c r="C708" s="1426" t="s">
        <v>711</v>
      </c>
      <c r="D708" s="1431">
        <v>32</v>
      </c>
    </row>
    <row r="709" spans="1:4">
      <c r="A709" s="1426" t="s">
        <v>402</v>
      </c>
      <c r="B709" s="1426" t="s">
        <v>404</v>
      </c>
      <c r="C709" s="1426" t="s">
        <v>710</v>
      </c>
      <c r="D709" s="1431">
        <v>20</v>
      </c>
    </row>
    <row r="710" spans="1:4">
      <c r="A710" s="1426" t="s">
        <v>402</v>
      </c>
      <c r="B710" s="1426" t="s">
        <v>404</v>
      </c>
      <c r="C710" s="1426" t="s">
        <v>709</v>
      </c>
      <c r="D710" s="1431">
        <v>20</v>
      </c>
    </row>
    <row r="711" spans="1:4">
      <c r="A711" s="1426" t="s">
        <v>402</v>
      </c>
      <c r="B711" s="1426" t="s">
        <v>404</v>
      </c>
      <c r="C711" s="1426" t="s">
        <v>708</v>
      </c>
      <c r="D711" s="1431">
        <v>46</v>
      </c>
    </row>
    <row r="712" spans="1:4">
      <c r="A712" s="1426" t="s">
        <v>402</v>
      </c>
      <c r="B712" s="1426" t="s">
        <v>404</v>
      </c>
      <c r="C712" s="1426" t="s">
        <v>707</v>
      </c>
      <c r="D712" s="1431">
        <v>37</v>
      </c>
    </row>
    <row r="713" spans="1:4">
      <c r="A713" s="1426" t="s">
        <v>402</v>
      </c>
      <c r="B713" s="1426" t="s">
        <v>404</v>
      </c>
      <c r="C713" s="1426" t="s">
        <v>706</v>
      </c>
      <c r="D713" s="1431">
        <v>25</v>
      </c>
    </row>
    <row r="714" spans="1:4">
      <c r="A714" s="1426" t="s">
        <v>402</v>
      </c>
      <c r="B714" s="1426" t="s">
        <v>404</v>
      </c>
      <c r="C714" s="1426" t="s">
        <v>705</v>
      </c>
      <c r="D714" s="1431">
        <v>21</v>
      </c>
    </row>
    <row r="715" spans="1:4">
      <c r="A715" s="1426" t="s">
        <v>402</v>
      </c>
      <c r="B715" s="1426" t="s">
        <v>404</v>
      </c>
      <c r="C715" s="1426" t="s">
        <v>704</v>
      </c>
      <c r="D715" s="1431">
        <v>39</v>
      </c>
    </row>
    <row r="716" spans="1:4">
      <c r="A716" s="1426" t="s">
        <v>402</v>
      </c>
      <c r="B716" s="1426" t="s">
        <v>404</v>
      </c>
      <c r="C716" s="1426" t="s">
        <v>703</v>
      </c>
      <c r="D716" s="1431">
        <v>31</v>
      </c>
    </row>
    <row r="717" spans="1:4">
      <c r="A717" s="1426" t="s">
        <v>402</v>
      </c>
      <c r="B717" s="1426" t="s">
        <v>404</v>
      </c>
      <c r="C717" s="1426" t="s">
        <v>702</v>
      </c>
      <c r="D717" s="1431">
        <v>27</v>
      </c>
    </row>
    <row r="718" spans="1:4">
      <c r="A718" s="1426" t="s">
        <v>402</v>
      </c>
      <c r="B718" s="1426" t="s">
        <v>407</v>
      </c>
      <c r="C718" s="1426" t="s">
        <v>712</v>
      </c>
      <c r="D718" s="1431">
        <v>34</v>
      </c>
    </row>
    <row r="719" spans="1:4">
      <c r="A719" s="1426" t="s">
        <v>402</v>
      </c>
      <c r="B719" s="1426" t="s">
        <v>407</v>
      </c>
      <c r="C719" s="1426" t="s">
        <v>711</v>
      </c>
      <c r="D719" s="1431">
        <v>32</v>
      </c>
    </row>
    <row r="720" spans="1:4">
      <c r="A720" s="1426" t="s">
        <v>402</v>
      </c>
      <c r="B720" s="1426" t="s">
        <v>407</v>
      </c>
      <c r="C720" s="1426" t="s">
        <v>710</v>
      </c>
      <c r="D720" s="1431">
        <v>28</v>
      </c>
    </row>
    <row r="721" spans="1:4">
      <c r="A721" s="1426" t="s">
        <v>402</v>
      </c>
      <c r="B721" s="1426" t="s">
        <v>407</v>
      </c>
      <c r="C721" s="1426" t="s">
        <v>709</v>
      </c>
      <c r="D721" s="1431">
        <v>30</v>
      </c>
    </row>
    <row r="722" spans="1:4">
      <c r="A722" s="1426" t="s">
        <v>402</v>
      </c>
      <c r="B722" s="1426" t="s">
        <v>407</v>
      </c>
      <c r="C722" s="1426" t="s">
        <v>708</v>
      </c>
      <c r="D722" s="1431">
        <v>38</v>
      </c>
    </row>
    <row r="723" spans="1:4">
      <c r="A723" s="1426" t="s">
        <v>402</v>
      </c>
      <c r="B723" s="1426" t="s">
        <v>407</v>
      </c>
      <c r="C723" s="1426" t="s">
        <v>707</v>
      </c>
      <c r="D723" s="1431">
        <v>43</v>
      </c>
    </row>
    <row r="724" spans="1:4">
      <c r="A724" s="1426" t="s">
        <v>402</v>
      </c>
      <c r="B724" s="1426" t="s">
        <v>407</v>
      </c>
      <c r="C724" s="1426" t="s">
        <v>706</v>
      </c>
      <c r="D724" s="1431">
        <v>31</v>
      </c>
    </row>
    <row r="725" spans="1:4">
      <c r="A725" s="1426" t="s">
        <v>402</v>
      </c>
      <c r="B725" s="1426" t="s">
        <v>407</v>
      </c>
      <c r="C725" s="1426" t="s">
        <v>705</v>
      </c>
      <c r="D725" s="1431">
        <v>34</v>
      </c>
    </row>
    <row r="726" spans="1:4">
      <c r="A726" s="1426" t="s">
        <v>402</v>
      </c>
      <c r="B726" s="1426" t="s">
        <v>407</v>
      </c>
      <c r="C726" s="1426" t="s">
        <v>704</v>
      </c>
      <c r="D726" s="1431">
        <v>41</v>
      </c>
    </row>
    <row r="727" spans="1:4">
      <c r="A727" s="1426" t="s">
        <v>402</v>
      </c>
      <c r="B727" s="1426" t="s">
        <v>407</v>
      </c>
      <c r="C727" s="1426" t="s">
        <v>703</v>
      </c>
      <c r="D727" s="1431">
        <v>35</v>
      </c>
    </row>
    <row r="728" spans="1:4">
      <c r="A728" s="1426" t="s">
        <v>402</v>
      </c>
      <c r="B728" s="1426" t="s">
        <v>407</v>
      </c>
      <c r="C728" s="1426" t="s">
        <v>702</v>
      </c>
      <c r="D728" s="1431">
        <v>38</v>
      </c>
    </row>
    <row r="729" spans="1:4">
      <c r="A729" s="1426" t="s">
        <v>402</v>
      </c>
      <c r="B729" s="1426" t="s">
        <v>406</v>
      </c>
      <c r="C729" s="1426" t="s">
        <v>712</v>
      </c>
      <c r="D729" s="1431">
        <v>26</v>
      </c>
    </row>
    <row r="730" spans="1:4">
      <c r="A730" s="1426" t="s">
        <v>402</v>
      </c>
      <c r="B730" s="1426" t="s">
        <v>406</v>
      </c>
      <c r="C730" s="1426" t="s">
        <v>711</v>
      </c>
      <c r="D730" s="1431">
        <v>24</v>
      </c>
    </row>
    <row r="731" spans="1:4">
      <c r="A731" s="1426" t="s">
        <v>402</v>
      </c>
      <c r="B731" s="1426" t="s">
        <v>406</v>
      </c>
      <c r="C731" s="1426" t="s">
        <v>710</v>
      </c>
      <c r="D731" s="1431">
        <v>25</v>
      </c>
    </row>
    <row r="732" spans="1:4">
      <c r="A732" s="1426" t="s">
        <v>402</v>
      </c>
      <c r="B732" s="1426" t="s">
        <v>406</v>
      </c>
      <c r="C732" s="1426" t="s">
        <v>709</v>
      </c>
      <c r="D732" s="1431">
        <v>16</v>
      </c>
    </row>
    <row r="733" spans="1:4">
      <c r="A733" s="1426" t="s">
        <v>402</v>
      </c>
      <c r="B733" s="1426" t="s">
        <v>406</v>
      </c>
      <c r="C733" s="1426" t="s">
        <v>708</v>
      </c>
      <c r="D733" s="1431">
        <v>26</v>
      </c>
    </row>
    <row r="734" spans="1:4">
      <c r="A734" s="1426" t="s">
        <v>402</v>
      </c>
      <c r="B734" s="1426" t="s">
        <v>406</v>
      </c>
      <c r="C734" s="1426" t="s">
        <v>707</v>
      </c>
      <c r="D734" s="1431">
        <v>23</v>
      </c>
    </row>
    <row r="735" spans="1:4">
      <c r="A735" s="1426" t="s">
        <v>402</v>
      </c>
      <c r="B735" s="1426" t="s">
        <v>406</v>
      </c>
      <c r="C735" s="1426" t="s">
        <v>706</v>
      </c>
      <c r="D735" s="1431">
        <v>15</v>
      </c>
    </row>
    <row r="736" spans="1:4">
      <c r="A736" s="1426" t="s">
        <v>402</v>
      </c>
      <c r="B736" s="1426" t="s">
        <v>406</v>
      </c>
      <c r="C736" s="1426" t="s">
        <v>705</v>
      </c>
      <c r="D736" s="1431">
        <v>17</v>
      </c>
    </row>
    <row r="737" spans="1:4">
      <c r="A737" s="1426" t="s">
        <v>402</v>
      </c>
      <c r="B737" s="1426" t="s">
        <v>406</v>
      </c>
      <c r="C737" s="1426" t="s">
        <v>704</v>
      </c>
      <c r="D737" s="1431">
        <v>23</v>
      </c>
    </row>
    <row r="738" spans="1:4">
      <c r="A738" s="1426" t="s">
        <v>402</v>
      </c>
      <c r="B738" s="1426" t="s">
        <v>406</v>
      </c>
      <c r="C738" s="1426" t="s">
        <v>703</v>
      </c>
      <c r="D738" s="1431">
        <v>18</v>
      </c>
    </row>
    <row r="739" spans="1:4">
      <c r="A739" s="1426" t="s">
        <v>402</v>
      </c>
      <c r="B739" s="1426" t="s">
        <v>406</v>
      </c>
      <c r="C739" s="1426" t="s">
        <v>702</v>
      </c>
      <c r="D739" s="1431">
        <v>0</v>
      </c>
    </row>
    <row r="740" spans="1:4">
      <c r="A740" s="1426" t="s">
        <v>402</v>
      </c>
      <c r="B740" s="1426" t="s">
        <v>405</v>
      </c>
      <c r="C740" s="1426" t="s">
        <v>712</v>
      </c>
      <c r="D740" s="1431">
        <v>25</v>
      </c>
    </row>
    <row r="741" spans="1:4">
      <c r="A741" s="1426" t="s">
        <v>402</v>
      </c>
      <c r="B741" s="1426" t="s">
        <v>405</v>
      </c>
      <c r="C741" s="1426" t="s">
        <v>711</v>
      </c>
      <c r="D741" s="1431">
        <v>28</v>
      </c>
    </row>
    <row r="742" spans="1:4">
      <c r="A742" s="1426" t="s">
        <v>402</v>
      </c>
      <c r="B742" s="1426" t="s">
        <v>405</v>
      </c>
      <c r="C742" s="1426" t="s">
        <v>710</v>
      </c>
      <c r="D742" s="1431">
        <v>21</v>
      </c>
    </row>
    <row r="743" spans="1:4">
      <c r="A743" s="1426" t="s">
        <v>402</v>
      </c>
      <c r="B743" s="1426" t="s">
        <v>405</v>
      </c>
      <c r="C743" s="1426" t="s">
        <v>709</v>
      </c>
      <c r="D743" s="1431">
        <v>15</v>
      </c>
    </row>
    <row r="744" spans="1:4">
      <c r="A744" s="1426" t="s">
        <v>402</v>
      </c>
      <c r="B744" s="1426" t="s">
        <v>405</v>
      </c>
      <c r="C744" s="1426" t="s">
        <v>708</v>
      </c>
      <c r="D744" s="1431">
        <v>28</v>
      </c>
    </row>
    <row r="745" spans="1:4">
      <c r="A745" s="1426" t="s">
        <v>402</v>
      </c>
      <c r="B745" s="1426" t="s">
        <v>405</v>
      </c>
      <c r="C745" s="1426" t="s">
        <v>707</v>
      </c>
      <c r="D745" s="1431">
        <v>24</v>
      </c>
    </row>
    <row r="746" spans="1:4">
      <c r="A746" s="1426" t="s">
        <v>402</v>
      </c>
      <c r="B746" s="1426" t="s">
        <v>405</v>
      </c>
      <c r="C746" s="1426" t="s">
        <v>706</v>
      </c>
      <c r="D746" s="1431">
        <v>16</v>
      </c>
    </row>
    <row r="747" spans="1:4">
      <c r="A747" s="1426" t="s">
        <v>402</v>
      </c>
      <c r="B747" s="1426" t="s">
        <v>405</v>
      </c>
      <c r="C747" s="1426" t="s">
        <v>705</v>
      </c>
      <c r="D747" s="1431">
        <v>14</v>
      </c>
    </row>
    <row r="748" spans="1:4">
      <c r="A748" s="1426" t="s">
        <v>402</v>
      </c>
      <c r="B748" s="1426" t="s">
        <v>405</v>
      </c>
      <c r="C748" s="1426" t="s">
        <v>704</v>
      </c>
      <c r="D748" s="1431">
        <v>23</v>
      </c>
    </row>
    <row r="749" spans="1:4">
      <c r="A749" s="1426" t="s">
        <v>402</v>
      </c>
      <c r="B749" s="1426" t="s">
        <v>405</v>
      </c>
      <c r="C749" s="1426" t="s">
        <v>703</v>
      </c>
      <c r="D749" s="1431">
        <v>22</v>
      </c>
    </row>
    <row r="750" spans="1:4">
      <c r="A750" s="1426" t="s">
        <v>402</v>
      </c>
      <c r="B750" s="1426" t="s">
        <v>405</v>
      </c>
      <c r="C750" s="1426" t="s">
        <v>702</v>
      </c>
      <c r="D750" s="1431">
        <v>21</v>
      </c>
    </row>
    <row r="751" spans="1:4">
      <c r="A751" s="1433" t="s">
        <v>462</v>
      </c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3:C75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F125"/>
  <sheetViews>
    <sheetView zoomScale="140" zoomScaleNormal="140" zoomScaleSheetLayoutView="55" workbookViewId="0">
      <pane ySplit="3" topLeftCell="A4" activePane="bottomLeft" state="frozen"/>
      <selection pane="bottomLeft"/>
    </sheetView>
  </sheetViews>
  <sheetFormatPr baseColWidth="10" defaultColWidth="14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6" width="14.69140625" customWidth="1"/>
  </cols>
  <sheetData>
    <row r="1" spans="1:6" ht="18">
      <c r="A1" s="1404" t="s">
        <v>438</v>
      </c>
      <c r="B1" s="1401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7">
        <v>2721</v>
      </c>
      <c r="D4" s="1427">
        <v>1008</v>
      </c>
      <c r="E4" s="1427">
        <v>2197</v>
      </c>
      <c r="F4" s="1427">
        <v>183860</v>
      </c>
    </row>
    <row r="5" spans="1:6">
      <c r="A5" s="1426">
        <v>2024</v>
      </c>
      <c r="B5" s="1426" t="s">
        <v>423</v>
      </c>
      <c r="C5" s="1427">
        <v>2909</v>
      </c>
      <c r="D5" s="1427">
        <v>1232</v>
      </c>
      <c r="E5" s="1427">
        <v>1723</v>
      </c>
      <c r="F5" s="1427">
        <v>153924</v>
      </c>
    </row>
    <row r="6" spans="1:6">
      <c r="A6" s="1426">
        <v>2024</v>
      </c>
      <c r="B6" s="1426" t="s">
        <v>424</v>
      </c>
      <c r="C6" s="1427">
        <v>3139</v>
      </c>
      <c r="D6" s="1427">
        <v>1186</v>
      </c>
      <c r="E6" s="1427">
        <v>1944</v>
      </c>
      <c r="F6" s="1427">
        <v>194557</v>
      </c>
    </row>
    <row r="7" spans="1:6">
      <c r="A7" s="1426">
        <v>2024</v>
      </c>
      <c r="B7" s="1426" t="s">
        <v>425</v>
      </c>
      <c r="C7" s="1427">
        <v>5610</v>
      </c>
      <c r="D7" s="1431">
        <v>826</v>
      </c>
      <c r="E7" s="1427">
        <v>1581</v>
      </c>
      <c r="F7" s="1427">
        <v>109312</v>
      </c>
    </row>
    <row r="8" spans="1:6">
      <c r="A8" s="1426">
        <v>2024</v>
      </c>
      <c r="B8" s="1426" t="s">
        <v>411</v>
      </c>
      <c r="C8" s="1427">
        <v>2589</v>
      </c>
      <c r="D8" s="1431">
        <v>677</v>
      </c>
      <c r="E8" s="1427">
        <v>1687</v>
      </c>
      <c r="F8" s="1427">
        <v>111643</v>
      </c>
    </row>
    <row r="9" spans="1:6">
      <c r="A9" s="1426">
        <v>2024</v>
      </c>
      <c r="B9" s="1426" t="s">
        <v>426</v>
      </c>
      <c r="C9" s="1427">
        <v>2873</v>
      </c>
      <c r="D9" s="1431">
        <v>616</v>
      </c>
      <c r="E9" s="1427">
        <v>1881</v>
      </c>
      <c r="F9" s="1427">
        <v>130849</v>
      </c>
    </row>
    <row r="10" spans="1:6">
      <c r="A10" s="1426">
        <v>2024</v>
      </c>
      <c r="B10" s="1426" t="s">
        <v>427</v>
      </c>
      <c r="C10" s="1427">
        <v>3436</v>
      </c>
      <c r="D10" s="1431">
        <v>387</v>
      </c>
      <c r="E10" s="1427">
        <v>1603</v>
      </c>
      <c r="F10" s="1427">
        <v>153168</v>
      </c>
    </row>
    <row r="11" spans="1:6">
      <c r="A11" s="1426">
        <v>2024</v>
      </c>
      <c r="B11" s="1426" t="s">
        <v>428</v>
      </c>
      <c r="C11" s="1427">
        <v>5309</v>
      </c>
      <c r="D11" s="1431">
        <v>205</v>
      </c>
      <c r="E11" s="1427">
        <v>1163</v>
      </c>
      <c r="F11" s="1427">
        <v>117407</v>
      </c>
    </row>
    <row r="12" spans="1:6">
      <c r="A12" s="1426">
        <v>2024</v>
      </c>
      <c r="B12" s="1426" t="s">
        <v>429</v>
      </c>
      <c r="C12" s="1427">
        <v>2571</v>
      </c>
      <c r="D12" s="1431">
        <v>467</v>
      </c>
      <c r="E12" s="1427">
        <v>2080</v>
      </c>
      <c r="F12" s="1427">
        <v>99704</v>
      </c>
    </row>
    <row r="13" spans="1:6">
      <c r="A13" s="1426">
        <v>2024</v>
      </c>
      <c r="B13" s="1426" t="s">
        <v>430</v>
      </c>
      <c r="C13" s="1427">
        <v>2720</v>
      </c>
      <c r="D13" s="1427">
        <v>1018</v>
      </c>
      <c r="E13" s="1427">
        <v>1250</v>
      </c>
      <c r="F13" s="1427">
        <v>141465</v>
      </c>
    </row>
    <row r="14" spans="1:6">
      <c r="A14" s="1426">
        <v>2024</v>
      </c>
      <c r="B14" s="1426" t="s">
        <v>431</v>
      </c>
      <c r="C14" s="1427">
        <v>1958</v>
      </c>
      <c r="D14" s="1431">
        <v>633</v>
      </c>
      <c r="E14" s="1427">
        <v>1347</v>
      </c>
      <c r="F14" s="1427">
        <v>135520</v>
      </c>
    </row>
    <row r="15" spans="1:6">
      <c r="A15" s="1426">
        <v>2024</v>
      </c>
      <c r="B15" s="1426" t="s">
        <v>432</v>
      </c>
      <c r="C15" s="1427">
        <v>1770</v>
      </c>
      <c r="D15" s="1431">
        <v>592</v>
      </c>
      <c r="E15" s="1427">
        <v>1682</v>
      </c>
      <c r="F15" s="1427">
        <v>143660</v>
      </c>
    </row>
    <row r="16" spans="1:6">
      <c r="A16" s="1426">
        <v>2023</v>
      </c>
      <c r="B16" s="1426" t="s">
        <v>420</v>
      </c>
      <c r="C16" s="1427">
        <v>5989</v>
      </c>
      <c r="D16" s="1431">
        <v>817</v>
      </c>
      <c r="E16" s="1427">
        <v>2447</v>
      </c>
      <c r="F16" s="1427">
        <v>143274</v>
      </c>
    </row>
    <row r="17" spans="1:6">
      <c r="A17" s="1426">
        <v>2023</v>
      </c>
      <c r="B17" s="1426" t="s">
        <v>423</v>
      </c>
      <c r="C17" s="1427">
        <v>4819</v>
      </c>
      <c r="D17" s="1431">
        <v>682</v>
      </c>
      <c r="E17" s="1427">
        <v>3792</v>
      </c>
      <c r="F17" s="1427">
        <v>202934</v>
      </c>
    </row>
    <row r="18" spans="1:6">
      <c r="A18" s="1426">
        <v>2023</v>
      </c>
      <c r="B18" s="1426" t="s">
        <v>424</v>
      </c>
      <c r="C18" s="1427">
        <v>6048</v>
      </c>
      <c r="D18" s="1427">
        <v>1588</v>
      </c>
      <c r="E18" s="1427">
        <v>3507</v>
      </c>
      <c r="F18" s="1427">
        <v>186148</v>
      </c>
    </row>
    <row r="19" spans="1:6">
      <c r="A19" s="1426">
        <v>2023</v>
      </c>
      <c r="B19" s="1426" t="s">
        <v>425</v>
      </c>
      <c r="C19" s="1427">
        <v>5875</v>
      </c>
      <c r="D19" s="1431">
        <v>837</v>
      </c>
      <c r="E19" s="1427">
        <v>2344</v>
      </c>
      <c r="F19" s="1427">
        <v>196747</v>
      </c>
    </row>
    <row r="20" spans="1:6">
      <c r="A20" s="1426">
        <v>2023</v>
      </c>
      <c r="B20" s="1426" t="s">
        <v>411</v>
      </c>
      <c r="C20" s="1427">
        <v>4995</v>
      </c>
      <c r="D20" s="1431">
        <v>651</v>
      </c>
      <c r="E20" s="1427">
        <v>1843</v>
      </c>
      <c r="F20" s="1427">
        <v>224853</v>
      </c>
    </row>
    <row r="21" spans="1:6">
      <c r="A21" s="1426">
        <v>2023</v>
      </c>
      <c r="B21" s="1426" t="s">
        <v>426</v>
      </c>
      <c r="C21" s="1427">
        <v>4138</v>
      </c>
      <c r="D21" s="1431">
        <v>640</v>
      </c>
      <c r="E21" s="1427">
        <v>1920</v>
      </c>
      <c r="F21" s="1427">
        <v>86459</v>
      </c>
    </row>
    <row r="22" spans="1:6">
      <c r="A22" s="1426">
        <v>2023</v>
      </c>
      <c r="B22" s="1426" t="s">
        <v>427</v>
      </c>
      <c r="C22" s="1427">
        <v>6309</v>
      </c>
      <c r="D22" s="1427">
        <v>1916</v>
      </c>
      <c r="E22" s="1427">
        <v>1966</v>
      </c>
      <c r="F22" s="1427">
        <v>117135</v>
      </c>
    </row>
    <row r="23" spans="1:6">
      <c r="A23" s="1426">
        <v>2023</v>
      </c>
      <c r="B23" s="1426" t="s">
        <v>428</v>
      </c>
      <c r="C23" s="1427">
        <v>5315</v>
      </c>
      <c r="D23" s="1431">
        <v>302</v>
      </c>
      <c r="E23" s="1427">
        <v>2392</v>
      </c>
      <c r="F23" s="1427">
        <v>200860</v>
      </c>
    </row>
    <row r="24" spans="1:6">
      <c r="A24" s="1426">
        <v>2023</v>
      </c>
      <c r="B24" s="1426" t="s">
        <v>429</v>
      </c>
      <c r="C24" s="1427">
        <v>6316</v>
      </c>
      <c r="D24" s="1431">
        <v>254</v>
      </c>
      <c r="E24" s="1427">
        <v>1802</v>
      </c>
      <c r="F24" s="1427">
        <v>84382</v>
      </c>
    </row>
    <row r="25" spans="1:6">
      <c r="A25" s="1426">
        <v>2023</v>
      </c>
      <c r="B25" s="1426" t="s">
        <v>430</v>
      </c>
      <c r="C25" s="1427">
        <v>4658</v>
      </c>
      <c r="D25" s="1431">
        <v>329</v>
      </c>
      <c r="E25" s="1427">
        <v>2545</v>
      </c>
      <c r="F25" s="1427">
        <v>137271</v>
      </c>
    </row>
    <row r="26" spans="1:6">
      <c r="A26" s="1426">
        <v>2023</v>
      </c>
      <c r="B26" s="1426" t="s">
        <v>431</v>
      </c>
      <c r="C26" s="1427">
        <v>3907</v>
      </c>
      <c r="D26" s="1431">
        <v>638</v>
      </c>
      <c r="E26" s="1427">
        <v>2537</v>
      </c>
      <c r="F26" s="1427">
        <v>105236</v>
      </c>
    </row>
    <row r="27" spans="1:6">
      <c r="A27" s="1426">
        <v>2023</v>
      </c>
      <c r="B27" s="1426" t="s">
        <v>432</v>
      </c>
      <c r="C27" s="1427">
        <v>3523</v>
      </c>
      <c r="D27" s="1431">
        <v>888</v>
      </c>
      <c r="E27" s="1427">
        <v>1552</v>
      </c>
      <c r="F27" s="1427">
        <v>141581</v>
      </c>
    </row>
    <row r="28" spans="1:6">
      <c r="A28" s="1426">
        <v>2022</v>
      </c>
      <c r="B28" s="1426" t="s">
        <v>420</v>
      </c>
      <c r="C28" s="1427">
        <v>2228</v>
      </c>
      <c r="D28" s="1431">
        <v>521</v>
      </c>
      <c r="E28" s="1427">
        <v>2177</v>
      </c>
      <c r="F28" s="1427">
        <v>168264</v>
      </c>
    </row>
    <row r="29" spans="1:6">
      <c r="A29" s="1426">
        <v>2022</v>
      </c>
      <c r="B29" s="1426" t="s">
        <v>423</v>
      </c>
      <c r="C29" s="1427">
        <v>3142</v>
      </c>
      <c r="D29" s="1431">
        <v>216</v>
      </c>
      <c r="E29" s="1427">
        <v>2333</v>
      </c>
      <c r="F29" s="1427">
        <v>172157</v>
      </c>
    </row>
    <row r="30" spans="1:6">
      <c r="A30" s="1426">
        <v>2022</v>
      </c>
      <c r="B30" s="1426" t="s">
        <v>424</v>
      </c>
      <c r="C30" s="1427">
        <v>9424</v>
      </c>
      <c r="D30" s="1427">
        <v>1346</v>
      </c>
      <c r="E30" s="1427">
        <v>2843</v>
      </c>
      <c r="F30" s="1427">
        <v>189166</v>
      </c>
    </row>
    <row r="31" spans="1:6">
      <c r="A31" s="1426">
        <v>2022</v>
      </c>
      <c r="B31" s="1426" t="s">
        <v>425</v>
      </c>
      <c r="C31" s="1427">
        <v>3177</v>
      </c>
      <c r="D31" s="1431">
        <v>256</v>
      </c>
      <c r="E31" s="1427">
        <v>2193</v>
      </c>
      <c r="F31" s="1427">
        <v>140973</v>
      </c>
    </row>
    <row r="32" spans="1:6">
      <c r="A32" s="1426">
        <v>2022</v>
      </c>
      <c r="B32" s="1426" t="s">
        <v>411</v>
      </c>
      <c r="C32" s="1427">
        <v>3047</v>
      </c>
      <c r="D32" s="1431">
        <v>287</v>
      </c>
      <c r="E32" s="1427">
        <v>1993</v>
      </c>
      <c r="F32" s="1427">
        <v>220265</v>
      </c>
    </row>
    <row r="33" spans="1:6">
      <c r="A33" s="1426">
        <v>2022</v>
      </c>
      <c r="B33" s="1426" t="s">
        <v>426</v>
      </c>
      <c r="C33" s="1427">
        <v>5059</v>
      </c>
      <c r="D33" s="1431">
        <v>154</v>
      </c>
      <c r="E33" s="1427">
        <v>1957</v>
      </c>
      <c r="F33" s="1427">
        <v>206668</v>
      </c>
    </row>
    <row r="34" spans="1:6">
      <c r="A34" s="1426">
        <v>2022</v>
      </c>
      <c r="B34" s="1426" t="s">
        <v>427</v>
      </c>
      <c r="C34" s="1427">
        <v>4380</v>
      </c>
      <c r="D34" s="1431">
        <v>98</v>
      </c>
      <c r="E34" s="1427">
        <v>2086</v>
      </c>
      <c r="F34" s="1427">
        <v>187090</v>
      </c>
    </row>
    <row r="35" spans="1:6">
      <c r="A35" s="1426">
        <v>2022</v>
      </c>
      <c r="B35" s="1426" t="s">
        <v>428</v>
      </c>
      <c r="C35" s="1427">
        <v>8227</v>
      </c>
      <c r="D35" s="1431">
        <v>149</v>
      </c>
      <c r="E35" s="1427">
        <v>2671</v>
      </c>
      <c r="F35" s="1427">
        <v>151671</v>
      </c>
    </row>
    <row r="36" spans="1:6">
      <c r="A36" s="1426">
        <v>2022</v>
      </c>
      <c r="B36" s="1426" t="s">
        <v>429</v>
      </c>
      <c r="C36" s="1427">
        <v>5340</v>
      </c>
      <c r="D36" s="1431">
        <v>428</v>
      </c>
      <c r="E36" s="1427">
        <v>2954</v>
      </c>
      <c r="F36" s="1427">
        <v>153815</v>
      </c>
    </row>
    <row r="37" spans="1:6">
      <c r="A37" s="1426">
        <v>2022</v>
      </c>
      <c r="B37" s="1426" t="s">
        <v>430</v>
      </c>
      <c r="C37" s="1427">
        <v>11438</v>
      </c>
      <c r="D37" s="1431">
        <v>466</v>
      </c>
      <c r="E37" s="1427">
        <v>2935</v>
      </c>
      <c r="F37" s="1427">
        <v>159033</v>
      </c>
    </row>
    <row r="38" spans="1:6">
      <c r="A38" s="1426">
        <v>2022</v>
      </c>
      <c r="B38" s="1426" t="s">
        <v>431</v>
      </c>
      <c r="C38" s="1427">
        <v>9188</v>
      </c>
      <c r="D38" s="1431">
        <v>460</v>
      </c>
      <c r="E38" s="1427">
        <v>2851</v>
      </c>
      <c r="F38" s="1427">
        <v>124262</v>
      </c>
    </row>
    <row r="39" spans="1:6">
      <c r="A39" s="1426">
        <v>2022</v>
      </c>
      <c r="B39" s="1426" t="s">
        <v>432</v>
      </c>
      <c r="C39" s="1427">
        <v>4284</v>
      </c>
      <c r="D39" s="1431">
        <v>433</v>
      </c>
      <c r="E39" s="1427">
        <v>2871</v>
      </c>
      <c r="F39" s="1427">
        <v>206662</v>
      </c>
    </row>
    <row r="40" spans="1:6">
      <c r="A40" s="1426">
        <v>2021</v>
      </c>
      <c r="B40" s="1426" t="s">
        <v>420</v>
      </c>
      <c r="C40" s="1427">
        <v>1993</v>
      </c>
      <c r="D40" s="1431">
        <v>465</v>
      </c>
      <c r="E40" s="1427">
        <v>2347</v>
      </c>
      <c r="F40" s="1427">
        <v>120897</v>
      </c>
    </row>
    <row r="41" spans="1:6">
      <c r="A41" s="1426">
        <v>2021</v>
      </c>
      <c r="B41" s="1426" t="s">
        <v>423</v>
      </c>
      <c r="C41" s="1427">
        <v>1943</v>
      </c>
      <c r="D41" s="1427">
        <v>1730</v>
      </c>
      <c r="E41" s="1427">
        <v>2480</v>
      </c>
      <c r="F41" s="1427">
        <v>111098</v>
      </c>
    </row>
    <row r="42" spans="1:6">
      <c r="A42" s="1426">
        <v>2021</v>
      </c>
      <c r="B42" s="1426" t="s">
        <v>424</v>
      </c>
      <c r="C42" s="1427">
        <v>3312</v>
      </c>
      <c r="D42" s="1431">
        <v>769</v>
      </c>
      <c r="E42" s="1427">
        <v>2663</v>
      </c>
      <c r="F42" s="1427">
        <v>145203</v>
      </c>
    </row>
    <row r="43" spans="1:6">
      <c r="A43" s="1426">
        <v>2021</v>
      </c>
      <c r="B43" s="1426" t="s">
        <v>425</v>
      </c>
      <c r="C43" s="1427">
        <v>3617</v>
      </c>
      <c r="D43" s="1431">
        <v>888</v>
      </c>
      <c r="E43" s="1427">
        <v>2273</v>
      </c>
      <c r="F43" s="1427">
        <v>138741</v>
      </c>
    </row>
    <row r="44" spans="1:6">
      <c r="A44" s="1426">
        <v>2021</v>
      </c>
      <c r="B44" s="1426" t="s">
        <v>411</v>
      </c>
      <c r="C44" s="1427">
        <v>4123</v>
      </c>
      <c r="D44" s="1427">
        <v>1048</v>
      </c>
      <c r="E44" s="1427">
        <v>1622</v>
      </c>
      <c r="F44" s="1427">
        <v>141695</v>
      </c>
    </row>
    <row r="45" spans="1:6">
      <c r="A45" s="1426">
        <v>2021</v>
      </c>
      <c r="B45" s="1426" t="s">
        <v>426</v>
      </c>
      <c r="C45" s="1427">
        <v>3101</v>
      </c>
      <c r="D45" s="1431">
        <v>737</v>
      </c>
      <c r="E45" s="1427">
        <v>2538</v>
      </c>
      <c r="F45" s="1427">
        <v>132737</v>
      </c>
    </row>
    <row r="46" spans="1:6">
      <c r="A46" s="1426">
        <v>2021</v>
      </c>
      <c r="B46" s="1426" t="s">
        <v>427</v>
      </c>
      <c r="C46" s="1427">
        <v>1895</v>
      </c>
      <c r="D46" s="1431">
        <v>310</v>
      </c>
      <c r="E46" s="1427">
        <v>2148</v>
      </c>
      <c r="F46" s="1427">
        <v>102875</v>
      </c>
    </row>
    <row r="47" spans="1:6">
      <c r="A47" s="1426">
        <v>2021</v>
      </c>
      <c r="B47" s="1426" t="s">
        <v>428</v>
      </c>
      <c r="C47" s="1427">
        <v>3984</v>
      </c>
      <c r="D47" s="1431">
        <v>205</v>
      </c>
      <c r="E47" s="1427">
        <v>1932</v>
      </c>
      <c r="F47" s="1427">
        <v>198868</v>
      </c>
    </row>
    <row r="48" spans="1:6">
      <c r="A48" s="1426">
        <v>2021</v>
      </c>
      <c r="B48" s="1426" t="s">
        <v>429</v>
      </c>
      <c r="C48" s="1427">
        <v>6859</v>
      </c>
      <c r="D48" s="1431">
        <v>202</v>
      </c>
      <c r="E48" s="1427">
        <v>1736</v>
      </c>
      <c r="F48" s="1427">
        <v>116195</v>
      </c>
    </row>
    <row r="49" spans="1:6">
      <c r="A49" s="1426">
        <v>2021</v>
      </c>
      <c r="B49" s="1426" t="s">
        <v>430</v>
      </c>
      <c r="C49" s="1427">
        <v>6769</v>
      </c>
      <c r="D49" s="1431">
        <v>232</v>
      </c>
      <c r="E49" s="1427">
        <v>3839</v>
      </c>
      <c r="F49" s="1427">
        <v>136595</v>
      </c>
    </row>
    <row r="50" spans="1:6">
      <c r="A50" s="1426">
        <v>2021</v>
      </c>
      <c r="B50" s="1426" t="s">
        <v>431</v>
      </c>
      <c r="C50" s="1427">
        <v>4489</v>
      </c>
      <c r="D50" s="1431">
        <v>338</v>
      </c>
      <c r="E50" s="1427">
        <v>2036</v>
      </c>
      <c r="F50" s="1427">
        <v>158413</v>
      </c>
    </row>
    <row r="51" spans="1:6">
      <c r="A51" s="1426">
        <v>2021</v>
      </c>
      <c r="B51" s="1426" t="s">
        <v>432</v>
      </c>
      <c r="C51" s="1427">
        <v>6807</v>
      </c>
      <c r="D51" s="1431">
        <v>225</v>
      </c>
      <c r="E51" s="1427">
        <v>3151</v>
      </c>
      <c r="F51" s="1427">
        <v>140173</v>
      </c>
    </row>
    <row r="52" spans="1:6">
      <c r="A52" s="1426">
        <v>2020</v>
      </c>
      <c r="B52" s="1426" t="s">
        <v>420</v>
      </c>
      <c r="C52" s="1427">
        <v>2339</v>
      </c>
      <c r="D52" s="1427">
        <v>1104</v>
      </c>
      <c r="E52" s="1427">
        <v>2707</v>
      </c>
      <c r="F52" s="1427">
        <v>125009</v>
      </c>
    </row>
    <row r="53" spans="1:6">
      <c r="A53" s="1426">
        <v>2020</v>
      </c>
      <c r="B53" s="1426" t="s">
        <v>423</v>
      </c>
      <c r="C53" s="1427">
        <v>2667</v>
      </c>
      <c r="D53" s="1427">
        <v>1052</v>
      </c>
      <c r="E53" s="1427">
        <v>1884</v>
      </c>
      <c r="F53" s="1427">
        <v>105145</v>
      </c>
    </row>
    <row r="54" spans="1:6">
      <c r="A54" s="1426">
        <v>2020</v>
      </c>
      <c r="B54" s="1426" t="s">
        <v>424</v>
      </c>
      <c r="C54" s="1427">
        <v>3702</v>
      </c>
      <c r="D54" s="1427">
        <v>1686</v>
      </c>
      <c r="E54" s="1427">
        <v>4495</v>
      </c>
      <c r="F54" s="1427">
        <v>110134</v>
      </c>
    </row>
    <row r="55" spans="1:6">
      <c r="A55" s="1426">
        <v>2020</v>
      </c>
      <c r="B55" s="1426" t="s">
        <v>425</v>
      </c>
      <c r="C55" s="1427">
        <v>1710</v>
      </c>
      <c r="D55" s="1431">
        <v>747</v>
      </c>
      <c r="E55" s="1427">
        <v>4011</v>
      </c>
      <c r="F55" s="1427">
        <v>110603</v>
      </c>
    </row>
    <row r="56" spans="1:6">
      <c r="A56" s="1426">
        <v>2020</v>
      </c>
      <c r="B56" s="1426" t="s">
        <v>411</v>
      </c>
      <c r="C56" s="1427">
        <v>2704</v>
      </c>
      <c r="D56" s="1431">
        <v>466</v>
      </c>
      <c r="E56" s="1427">
        <v>2631</v>
      </c>
      <c r="F56" s="1427">
        <v>169840</v>
      </c>
    </row>
    <row r="57" spans="1:6">
      <c r="A57" s="1426">
        <v>2020</v>
      </c>
      <c r="B57" s="1426" t="s">
        <v>426</v>
      </c>
      <c r="C57" s="1427">
        <v>3668</v>
      </c>
      <c r="D57" s="1431">
        <v>547</v>
      </c>
      <c r="E57" s="1427">
        <v>1729</v>
      </c>
      <c r="F57" s="1427">
        <v>77165</v>
      </c>
    </row>
    <row r="58" spans="1:6">
      <c r="A58" s="1426">
        <v>2020</v>
      </c>
      <c r="B58" s="1426" t="s">
        <v>427</v>
      </c>
      <c r="C58" s="1427">
        <v>2143</v>
      </c>
      <c r="D58" s="1431">
        <v>280</v>
      </c>
      <c r="E58" s="1427">
        <v>2231</v>
      </c>
      <c r="F58" s="1427">
        <v>109023</v>
      </c>
    </row>
    <row r="59" spans="1:6">
      <c r="A59" s="1426">
        <v>2020</v>
      </c>
      <c r="B59" s="1426" t="s">
        <v>428</v>
      </c>
      <c r="C59" s="1427">
        <v>3875</v>
      </c>
      <c r="D59" s="1431">
        <v>185</v>
      </c>
      <c r="E59" s="1427">
        <v>2211</v>
      </c>
      <c r="F59" s="1427">
        <v>95993</v>
      </c>
    </row>
    <row r="60" spans="1:6">
      <c r="A60" s="1426">
        <v>2020</v>
      </c>
      <c r="B60" s="1426" t="s">
        <v>429</v>
      </c>
      <c r="C60" s="1427">
        <v>5606</v>
      </c>
      <c r="D60" s="1431">
        <v>231</v>
      </c>
      <c r="E60" s="1427">
        <v>2844</v>
      </c>
      <c r="F60" s="1427">
        <v>97764</v>
      </c>
    </row>
    <row r="61" spans="1:6">
      <c r="A61" s="1426">
        <v>2020</v>
      </c>
      <c r="B61" s="1426" t="s">
        <v>430</v>
      </c>
      <c r="C61" s="1427">
        <v>4144</v>
      </c>
      <c r="D61" s="1431">
        <v>377</v>
      </c>
      <c r="E61" s="1427">
        <v>2166</v>
      </c>
      <c r="F61" s="1427">
        <v>119206</v>
      </c>
    </row>
    <row r="62" spans="1:6">
      <c r="A62" s="1426">
        <v>2020</v>
      </c>
      <c r="B62" s="1426" t="s">
        <v>431</v>
      </c>
      <c r="C62" s="1427">
        <v>3748</v>
      </c>
      <c r="D62" s="1431">
        <v>280</v>
      </c>
      <c r="E62" s="1427">
        <v>4732</v>
      </c>
      <c r="F62" s="1427">
        <v>99968</v>
      </c>
    </row>
    <row r="63" spans="1:6">
      <c r="A63" s="1426">
        <v>2020</v>
      </c>
      <c r="B63" s="1426" t="s">
        <v>432</v>
      </c>
      <c r="C63" s="1427">
        <v>2115</v>
      </c>
      <c r="D63" s="1431">
        <v>473</v>
      </c>
      <c r="E63" s="1427">
        <v>1803</v>
      </c>
      <c r="F63" s="1427">
        <v>156353</v>
      </c>
    </row>
    <row r="64" spans="1:6">
      <c r="A64" s="1426">
        <v>2019</v>
      </c>
      <c r="B64" s="1426" t="s">
        <v>420</v>
      </c>
      <c r="C64" s="1427">
        <v>1731</v>
      </c>
      <c r="D64" s="1427">
        <v>1354</v>
      </c>
      <c r="E64" s="1427">
        <v>1877</v>
      </c>
      <c r="F64" s="1427">
        <v>123852</v>
      </c>
    </row>
    <row r="65" spans="1:6">
      <c r="A65" s="1426">
        <v>2019</v>
      </c>
      <c r="B65" s="1426" t="s">
        <v>423</v>
      </c>
      <c r="C65" s="1427">
        <v>4713</v>
      </c>
      <c r="D65" s="1427">
        <v>2089</v>
      </c>
      <c r="E65" s="1427">
        <v>2626</v>
      </c>
      <c r="F65" s="1427">
        <v>109581</v>
      </c>
    </row>
    <row r="66" spans="1:6">
      <c r="A66" s="1426">
        <v>2019</v>
      </c>
      <c r="B66" s="1426" t="s">
        <v>424</v>
      </c>
      <c r="C66" s="1427">
        <v>3403</v>
      </c>
      <c r="D66" s="1427">
        <v>2661</v>
      </c>
      <c r="E66" s="1427">
        <v>3002</v>
      </c>
      <c r="F66" s="1427">
        <v>85281</v>
      </c>
    </row>
    <row r="67" spans="1:6">
      <c r="A67" s="1426">
        <v>2019</v>
      </c>
      <c r="B67" s="1426" t="s">
        <v>425</v>
      </c>
      <c r="C67" s="1427">
        <v>3677</v>
      </c>
      <c r="D67" s="1427">
        <v>1200</v>
      </c>
      <c r="E67" s="1427">
        <v>2758</v>
      </c>
      <c r="F67" s="1427">
        <v>112680</v>
      </c>
    </row>
    <row r="68" spans="1:6">
      <c r="A68" s="1426">
        <v>2019</v>
      </c>
      <c r="B68" s="1426" t="s">
        <v>411</v>
      </c>
      <c r="C68" s="1427">
        <v>3333</v>
      </c>
      <c r="D68" s="1427">
        <v>2432</v>
      </c>
      <c r="E68" s="1427">
        <v>1913</v>
      </c>
      <c r="F68" s="1427">
        <v>127491</v>
      </c>
    </row>
    <row r="69" spans="1:6">
      <c r="A69" s="1426">
        <v>2019</v>
      </c>
      <c r="B69" s="1426" t="s">
        <v>426</v>
      </c>
      <c r="C69" s="1427">
        <v>3472</v>
      </c>
      <c r="D69" s="1431">
        <v>682</v>
      </c>
      <c r="E69" s="1427">
        <v>2323</v>
      </c>
      <c r="F69" s="1427">
        <v>66480</v>
      </c>
    </row>
    <row r="70" spans="1:6">
      <c r="A70" s="1426">
        <v>2019</v>
      </c>
      <c r="B70" s="1426" t="s">
        <v>427</v>
      </c>
      <c r="C70" s="1427">
        <v>2136</v>
      </c>
      <c r="D70" s="1431">
        <v>908</v>
      </c>
      <c r="E70" s="1427">
        <v>2118</v>
      </c>
      <c r="F70" s="1427">
        <v>102931</v>
      </c>
    </row>
    <row r="71" spans="1:6">
      <c r="A71" s="1426">
        <v>2019</v>
      </c>
      <c r="B71" s="1426" t="s">
        <v>428</v>
      </c>
      <c r="C71" s="1427">
        <v>3040</v>
      </c>
      <c r="D71" s="1431">
        <v>147</v>
      </c>
      <c r="E71" s="1427">
        <v>1916</v>
      </c>
      <c r="F71" s="1427">
        <v>101816</v>
      </c>
    </row>
    <row r="72" spans="1:6">
      <c r="A72" s="1426">
        <v>2019</v>
      </c>
      <c r="B72" s="1426" t="s">
        <v>429</v>
      </c>
      <c r="C72" s="1427">
        <v>2035</v>
      </c>
      <c r="D72" s="1431">
        <v>947</v>
      </c>
      <c r="E72" s="1427">
        <v>3129</v>
      </c>
      <c r="F72" s="1427">
        <v>96749</v>
      </c>
    </row>
    <row r="73" spans="1:6">
      <c r="A73" s="1426">
        <v>2019</v>
      </c>
      <c r="B73" s="1426" t="s">
        <v>430</v>
      </c>
      <c r="C73" s="1427">
        <v>2770</v>
      </c>
      <c r="D73" s="1427">
        <v>2152</v>
      </c>
      <c r="E73" s="1427">
        <v>1869</v>
      </c>
      <c r="F73" s="1427">
        <v>110252</v>
      </c>
    </row>
    <row r="74" spans="1:6">
      <c r="A74" s="1426">
        <v>2019</v>
      </c>
      <c r="B74" s="1426" t="s">
        <v>431</v>
      </c>
      <c r="C74" s="1427">
        <v>3484</v>
      </c>
      <c r="D74" s="1431">
        <v>747</v>
      </c>
      <c r="E74" s="1427">
        <v>3528</v>
      </c>
      <c r="F74" s="1427">
        <v>87000</v>
      </c>
    </row>
    <row r="75" spans="1:6">
      <c r="A75" s="1426">
        <v>2019</v>
      </c>
      <c r="B75" s="1426" t="s">
        <v>432</v>
      </c>
      <c r="C75" s="1427">
        <v>2560</v>
      </c>
      <c r="D75" s="1431">
        <v>527</v>
      </c>
      <c r="E75" s="1427">
        <v>2215</v>
      </c>
      <c r="F75" s="1427">
        <v>127643</v>
      </c>
    </row>
    <row r="76" spans="1:6">
      <c r="A76" s="1426">
        <v>2018</v>
      </c>
      <c r="B76" s="1426" t="s">
        <v>420</v>
      </c>
      <c r="C76" s="1427">
        <v>3338</v>
      </c>
      <c r="D76" s="1431">
        <v>368</v>
      </c>
      <c r="E76" s="1427">
        <v>1726</v>
      </c>
      <c r="F76" s="1427">
        <v>116090</v>
      </c>
    </row>
    <row r="77" spans="1:6">
      <c r="A77" s="1426">
        <v>2018</v>
      </c>
      <c r="B77" s="1426" t="s">
        <v>423</v>
      </c>
      <c r="C77" s="1427">
        <v>3218</v>
      </c>
      <c r="D77" s="1427">
        <v>1296</v>
      </c>
      <c r="E77" s="1427">
        <v>1688</v>
      </c>
      <c r="F77" s="1427">
        <v>95806</v>
      </c>
    </row>
    <row r="78" spans="1:6">
      <c r="A78" s="1426">
        <v>2018</v>
      </c>
      <c r="B78" s="1426" t="s">
        <v>424</v>
      </c>
      <c r="C78" s="1427">
        <v>3156</v>
      </c>
      <c r="D78" s="1427">
        <v>1461</v>
      </c>
      <c r="E78" s="1427">
        <v>1956</v>
      </c>
      <c r="F78" s="1427">
        <v>93672</v>
      </c>
    </row>
    <row r="79" spans="1:6">
      <c r="A79" s="1426">
        <v>2018</v>
      </c>
      <c r="B79" s="1426" t="s">
        <v>425</v>
      </c>
      <c r="C79" s="1427">
        <v>2067</v>
      </c>
      <c r="D79" s="1431">
        <v>537</v>
      </c>
      <c r="E79" s="1427">
        <v>1905</v>
      </c>
      <c r="F79" s="1427">
        <v>106899</v>
      </c>
    </row>
    <row r="80" spans="1:6">
      <c r="A80" s="1426">
        <v>2018</v>
      </c>
      <c r="B80" s="1426" t="s">
        <v>411</v>
      </c>
      <c r="C80" s="1427">
        <v>2010</v>
      </c>
      <c r="D80" s="1431">
        <v>679</v>
      </c>
      <c r="E80" s="1427">
        <v>1449</v>
      </c>
      <c r="F80" s="1427">
        <v>127972</v>
      </c>
    </row>
    <row r="81" spans="1:6">
      <c r="A81" s="1426">
        <v>2018</v>
      </c>
      <c r="B81" s="1426" t="s">
        <v>426</v>
      </c>
      <c r="C81" s="1427">
        <v>2426</v>
      </c>
      <c r="D81" s="1431">
        <v>401</v>
      </c>
      <c r="E81" s="1427">
        <v>2000</v>
      </c>
      <c r="F81" s="1427">
        <v>107684</v>
      </c>
    </row>
    <row r="82" spans="1:6">
      <c r="A82" s="1426">
        <v>2018</v>
      </c>
      <c r="B82" s="1426" t="s">
        <v>427</v>
      </c>
      <c r="C82" s="1427">
        <v>5218</v>
      </c>
      <c r="D82" s="1431">
        <v>334</v>
      </c>
      <c r="E82" s="1427">
        <v>1594</v>
      </c>
      <c r="F82" s="1427">
        <v>105844</v>
      </c>
    </row>
    <row r="83" spans="1:6">
      <c r="A83" s="1426">
        <v>2018</v>
      </c>
      <c r="B83" s="1426" t="s">
        <v>428</v>
      </c>
      <c r="C83" s="1427">
        <v>4641</v>
      </c>
      <c r="D83" s="1431">
        <v>197</v>
      </c>
      <c r="E83" s="1427">
        <v>1838</v>
      </c>
      <c r="F83" s="1427">
        <v>120275</v>
      </c>
    </row>
    <row r="84" spans="1:6">
      <c r="A84" s="1426">
        <v>2018</v>
      </c>
      <c r="B84" s="1426" t="s">
        <v>429</v>
      </c>
      <c r="C84" s="1427">
        <v>2769</v>
      </c>
      <c r="D84" s="1431">
        <v>390</v>
      </c>
      <c r="E84" s="1427">
        <v>2202</v>
      </c>
      <c r="F84" s="1427">
        <v>80832</v>
      </c>
    </row>
    <row r="85" spans="1:6">
      <c r="A85" s="1426">
        <v>2018</v>
      </c>
      <c r="B85" s="1426" t="s">
        <v>430</v>
      </c>
      <c r="C85" s="1427">
        <v>6914</v>
      </c>
      <c r="D85" s="1431">
        <v>521</v>
      </c>
      <c r="E85" s="1427">
        <v>2175</v>
      </c>
      <c r="F85" s="1427">
        <v>120894</v>
      </c>
    </row>
    <row r="86" spans="1:6">
      <c r="A86" s="1426">
        <v>2018</v>
      </c>
      <c r="B86" s="1426" t="s">
        <v>431</v>
      </c>
      <c r="C86" s="1427">
        <v>10531</v>
      </c>
      <c r="D86" s="1431">
        <v>534</v>
      </c>
      <c r="E86" s="1427">
        <v>2126</v>
      </c>
      <c r="F86" s="1427">
        <v>97122</v>
      </c>
    </row>
    <row r="87" spans="1:6">
      <c r="A87" s="1426">
        <v>2018</v>
      </c>
      <c r="B87" s="1426" t="s">
        <v>432</v>
      </c>
      <c r="C87" s="1427">
        <v>3024</v>
      </c>
      <c r="D87" s="1427">
        <v>1589</v>
      </c>
      <c r="E87" s="1427">
        <v>2425</v>
      </c>
      <c r="F87" s="1427">
        <v>80304</v>
      </c>
    </row>
    <row r="88" spans="1:6">
      <c r="A88" s="1426">
        <v>2017</v>
      </c>
      <c r="B88" s="1426" t="s">
        <v>420</v>
      </c>
      <c r="C88" s="1427">
        <v>2112</v>
      </c>
      <c r="D88" s="1431">
        <v>380</v>
      </c>
      <c r="E88" s="1431">
        <v>720</v>
      </c>
      <c r="F88" s="1427">
        <v>103299</v>
      </c>
    </row>
    <row r="89" spans="1:6">
      <c r="A89" s="1426">
        <v>2017</v>
      </c>
      <c r="B89" s="1426" t="s">
        <v>423</v>
      </c>
      <c r="C89" s="1427">
        <v>1517</v>
      </c>
      <c r="D89" s="1431">
        <v>477</v>
      </c>
      <c r="E89" s="1431">
        <v>817</v>
      </c>
      <c r="F89" s="1427">
        <v>79624</v>
      </c>
    </row>
    <row r="90" spans="1:6">
      <c r="A90" s="1426">
        <v>2017</v>
      </c>
      <c r="B90" s="1426" t="s">
        <v>424</v>
      </c>
      <c r="C90" s="1427">
        <v>1913</v>
      </c>
      <c r="D90" s="1431">
        <v>539</v>
      </c>
      <c r="E90" s="1431">
        <v>954</v>
      </c>
      <c r="F90" s="1427">
        <v>107411</v>
      </c>
    </row>
    <row r="91" spans="1:6">
      <c r="A91" s="1426">
        <v>2017</v>
      </c>
      <c r="B91" s="1426" t="s">
        <v>425</v>
      </c>
      <c r="C91" s="1427">
        <v>1228</v>
      </c>
      <c r="D91" s="1431">
        <v>541</v>
      </c>
      <c r="E91" s="1431">
        <v>812</v>
      </c>
      <c r="F91" s="1427">
        <v>77557</v>
      </c>
    </row>
    <row r="92" spans="1:6">
      <c r="A92" s="1426">
        <v>2017</v>
      </c>
      <c r="B92" s="1426" t="s">
        <v>411</v>
      </c>
      <c r="C92" s="1431">
        <v>883</v>
      </c>
      <c r="D92" s="1431">
        <v>337</v>
      </c>
      <c r="E92" s="1431">
        <v>769</v>
      </c>
      <c r="F92" s="1427">
        <v>75742</v>
      </c>
    </row>
    <row r="93" spans="1:6">
      <c r="A93" s="1426">
        <v>2017</v>
      </c>
      <c r="B93" s="1426" t="s">
        <v>426</v>
      </c>
      <c r="C93" s="1427">
        <v>2579</v>
      </c>
      <c r="D93" s="1431">
        <v>355</v>
      </c>
      <c r="E93" s="1431">
        <v>707</v>
      </c>
      <c r="F93" s="1427">
        <v>92271</v>
      </c>
    </row>
    <row r="94" spans="1:6">
      <c r="A94" s="1426">
        <v>2017</v>
      </c>
      <c r="B94" s="1426" t="s">
        <v>427</v>
      </c>
      <c r="C94" s="1427">
        <v>2447</v>
      </c>
      <c r="D94" s="1431">
        <v>238</v>
      </c>
      <c r="E94" s="1427">
        <v>1001</v>
      </c>
      <c r="F94" s="1427">
        <v>89205</v>
      </c>
    </row>
    <row r="95" spans="1:6">
      <c r="A95" s="1426">
        <v>2017</v>
      </c>
      <c r="B95" s="1426" t="s">
        <v>428</v>
      </c>
      <c r="C95" s="1427">
        <v>3222</v>
      </c>
      <c r="D95" s="1431">
        <v>59</v>
      </c>
      <c r="E95" s="1427">
        <v>1244</v>
      </c>
      <c r="F95" s="1427">
        <v>54611</v>
      </c>
    </row>
    <row r="96" spans="1:6">
      <c r="A96" s="1426">
        <v>2017</v>
      </c>
      <c r="B96" s="1426" t="s">
        <v>429</v>
      </c>
      <c r="C96" s="1427">
        <v>2106</v>
      </c>
      <c r="D96" s="1431">
        <v>56</v>
      </c>
      <c r="E96" s="1427">
        <v>1416</v>
      </c>
      <c r="F96" s="1427">
        <v>123397</v>
      </c>
    </row>
    <row r="97" spans="1:6">
      <c r="A97" s="1426">
        <v>2017</v>
      </c>
      <c r="B97" s="1426" t="s">
        <v>430</v>
      </c>
      <c r="C97" s="1427">
        <v>1493</v>
      </c>
      <c r="D97" s="1431">
        <v>499</v>
      </c>
      <c r="E97" s="1427">
        <v>1921</v>
      </c>
      <c r="F97" s="1427">
        <v>109108</v>
      </c>
    </row>
    <row r="98" spans="1:6">
      <c r="A98" s="1426">
        <v>2017</v>
      </c>
      <c r="B98" s="1426" t="s">
        <v>431</v>
      </c>
      <c r="C98" s="1427">
        <v>1854</v>
      </c>
      <c r="D98" s="1431">
        <v>659</v>
      </c>
      <c r="E98" s="1427">
        <v>1895</v>
      </c>
      <c r="F98" s="1427">
        <v>89096</v>
      </c>
    </row>
    <row r="99" spans="1:6">
      <c r="A99" s="1426">
        <v>2017</v>
      </c>
      <c r="B99" s="1426" t="s">
        <v>432</v>
      </c>
      <c r="C99" s="1427">
        <v>6421</v>
      </c>
      <c r="D99" s="1431">
        <v>320</v>
      </c>
      <c r="E99" s="1427">
        <v>1652</v>
      </c>
      <c r="F99" s="1427">
        <v>89437</v>
      </c>
    </row>
    <row r="100" spans="1:6">
      <c r="A100" s="1426">
        <v>2016</v>
      </c>
      <c r="B100" s="1426" t="s">
        <v>420</v>
      </c>
      <c r="C100" s="1427">
        <v>1507</v>
      </c>
      <c r="D100" s="1431">
        <v>238</v>
      </c>
      <c r="E100" s="1431">
        <v>567</v>
      </c>
      <c r="F100" s="1427">
        <v>111906</v>
      </c>
    </row>
    <row r="101" spans="1:6">
      <c r="A101" s="1426">
        <v>2016</v>
      </c>
      <c r="B101" s="1426" t="s">
        <v>423</v>
      </c>
      <c r="C101" s="1427">
        <v>2302</v>
      </c>
      <c r="D101" s="1431">
        <v>282</v>
      </c>
      <c r="E101" s="1431">
        <v>561</v>
      </c>
      <c r="F101" s="1427">
        <v>87752</v>
      </c>
    </row>
    <row r="102" spans="1:6">
      <c r="A102" s="1426">
        <v>2016</v>
      </c>
      <c r="B102" s="1426" t="s">
        <v>424</v>
      </c>
      <c r="C102" s="1427">
        <v>1913</v>
      </c>
      <c r="D102" s="1431">
        <v>421</v>
      </c>
      <c r="E102" s="1431">
        <v>625</v>
      </c>
      <c r="F102" s="1427">
        <v>81556</v>
      </c>
    </row>
    <row r="103" spans="1:6">
      <c r="A103" s="1426">
        <v>2016</v>
      </c>
      <c r="B103" s="1426" t="s">
        <v>425</v>
      </c>
      <c r="C103" s="1427">
        <v>1598</v>
      </c>
      <c r="D103" s="1431">
        <v>425</v>
      </c>
      <c r="E103" s="1431">
        <v>595</v>
      </c>
      <c r="F103" s="1427">
        <v>83289</v>
      </c>
    </row>
    <row r="104" spans="1:6">
      <c r="A104" s="1426">
        <v>2016</v>
      </c>
      <c r="B104" s="1426" t="s">
        <v>411</v>
      </c>
      <c r="C104" s="1427">
        <v>1392</v>
      </c>
      <c r="D104" s="1431">
        <v>363</v>
      </c>
      <c r="E104" s="1431">
        <v>405</v>
      </c>
      <c r="F104" s="1427">
        <v>81447</v>
      </c>
    </row>
    <row r="105" spans="1:6">
      <c r="A105" s="1426">
        <v>2016</v>
      </c>
      <c r="B105" s="1426" t="s">
        <v>426</v>
      </c>
      <c r="C105" s="1427">
        <v>1672</v>
      </c>
      <c r="D105" s="1431">
        <v>191</v>
      </c>
      <c r="E105" s="1431">
        <v>442</v>
      </c>
      <c r="F105" s="1427">
        <v>96290</v>
      </c>
    </row>
    <row r="106" spans="1:6">
      <c r="A106" s="1426">
        <v>2016</v>
      </c>
      <c r="B106" s="1426" t="s">
        <v>427</v>
      </c>
      <c r="C106" s="1427">
        <v>1074</v>
      </c>
      <c r="D106" s="1431">
        <v>239</v>
      </c>
      <c r="E106" s="1431">
        <v>306</v>
      </c>
      <c r="F106" s="1427">
        <v>97553</v>
      </c>
    </row>
    <row r="107" spans="1:6">
      <c r="A107" s="1426">
        <v>2016</v>
      </c>
      <c r="B107" s="1426" t="s">
        <v>428</v>
      </c>
      <c r="C107" s="1427">
        <v>1689</v>
      </c>
      <c r="D107" s="1431">
        <v>178</v>
      </c>
      <c r="E107" s="1431">
        <v>512</v>
      </c>
      <c r="F107" s="1427">
        <v>111766</v>
      </c>
    </row>
    <row r="108" spans="1:6">
      <c r="A108" s="1426">
        <v>2016</v>
      </c>
      <c r="B108" s="1426" t="s">
        <v>429</v>
      </c>
      <c r="C108" s="1427">
        <v>2416</v>
      </c>
      <c r="D108" s="1431">
        <v>104</v>
      </c>
      <c r="E108" s="1431">
        <v>672</v>
      </c>
      <c r="F108" s="1427">
        <v>113690</v>
      </c>
    </row>
    <row r="109" spans="1:6">
      <c r="A109" s="1426">
        <v>2016</v>
      </c>
      <c r="B109" s="1426" t="s">
        <v>430</v>
      </c>
      <c r="C109" s="1427">
        <v>2018</v>
      </c>
      <c r="D109" s="1431">
        <v>498</v>
      </c>
      <c r="E109" s="1431">
        <v>840</v>
      </c>
      <c r="F109" s="1427">
        <v>102792</v>
      </c>
    </row>
    <row r="110" spans="1:6">
      <c r="A110" s="1426">
        <v>2016</v>
      </c>
      <c r="B110" s="1426" t="s">
        <v>431</v>
      </c>
      <c r="C110" s="1427">
        <v>1661</v>
      </c>
      <c r="D110" s="1431">
        <v>357</v>
      </c>
      <c r="E110" s="1427">
        <v>1448</v>
      </c>
      <c r="F110" s="1427">
        <v>80887</v>
      </c>
    </row>
    <row r="111" spans="1:6">
      <c r="A111" s="1426">
        <v>2016</v>
      </c>
      <c r="B111" s="1426" t="s">
        <v>432</v>
      </c>
      <c r="C111" s="1427">
        <v>2679</v>
      </c>
      <c r="D111" s="1431">
        <v>438</v>
      </c>
      <c r="E111" s="1431">
        <v>810</v>
      </c>
      <c r="F111" s="1427">
        <v>108220</v>
      </c>
    </row>
    <row r="112" spans="1:6">
      <c r="A112" s="1426">
        <v>2015</v>
      </c>
      <c r="B112" s="1426" t="s">
        <v>420</v>
      </c>
      <c r="C112" s="1427">
        <v>2462</v>
      </c>
      <c r="D112" s="1431">
        <v>53</v>
      </c>
      <c r="E112" s="1431">
        <v>726</v>
      </c>
      <c r="F112" s="1427">
        <v>136064</v>
      </c>
    </row>
    <row r="113" spans="1:6">
      <c r="A113" s="1426">
        <v>2015</v>
      </c>
      <c r="B113" s="1426" t="s">
        <v>423</v>
      </c>
      <c r="C113" s="1427">
        <v>2064</v>
      </c>
      <c r="D113" s="1431">
        <v>102</v>
      </c>
      <c r="E113" s="1431">
        <v>800</v>
      </c>
      <c r="F113" s="1427">
        <v>95285</v>
      </c>
    </row>
    <row r="114" spans="1:6">
      <c r="A114" s="1426">
        <v>2015</v>
      </c>
      <c r="B114" s="1426" t="s">
        <v>424</v>
      </c>
      <c r="C114" s="1427">
        <v>4153</v>
      </c>
      <c r="D114" s="1431">
        <v>230</v>
      </c>
      <c r="E114" s="1431">
        <v>699</v>
      </c>
      <c r="F114" s="1427">
        <v>132358</v>
      </c>
    </row>
    <row r="115" spans="1:6">
      <c r="A115" s="1426">
        <v>2015</v>
      </c>
      <c r="B115" s="1426" t="s">
        <v>425</v>
      </c>
      <c r="C115" s="1427">
        <v>3112</v>
      </c>
      <c r="D115" s="1431">
        <v>104</v>
      </c>
      <c r="E115" s="1431">
        <v>639</v>
      </c>
      <c r="F115" s="1427">
        <v>158602</v>
      </c>
    </row>
    <row r="116" spans="1:6">
      <c r="A116" s="1426">
        <v>2015</v>
      </c>
      <c r="B116" s="1426" t="s">
        <v>411</v>
      </c>
      <c r="C116" s="1427">
        <v>2654</v>
      </c>
      <c r="D116" s="1431">
        <v>353</v>
      </c>
      <c r="E116" s="1431">
        <v>651</v>
      </c>
      <c r="F116" s="1427">
        <v>112031</v>
      </c>
    </row>
    <row r="117" spans="1:6">
      <c r="A117" s="1426">
        <v>2015</v>
      </c>
      <c r="B117" s="1426" t="s">
        <v>426</v>
      </c>
      <c r="C117" s="1427">
        <v>2480</v>
      </c>
      <c r="D117" s="1431">
        <v>102</v>
      </c>
      <c r="E117" s="1431">
        <v>864</v>
      </c>
      <c r="F117" s="1427">
        <v>114295</v>
      </c>
    </row>
    <row r="118" spans="1:6">
      <c r="A118" s="1426">
        <v>2015</v>
      </c>
      <c r="B118" s="1426" t="s">
        <v>427</v>
      </c>
      <c r="C118" s="1427">
        <v>1897</v>
      </c>
      <c r="D118" s="1431">
        <v>90</v>
      </c>
      <c r="E118" s="1431">
        <v>787</v>
      </c>
      <c r="F118" s="1427">
        <v>152009</v>
      </c>
    </row>
    <row r="119" spans="1:6">
      <c r="A119" s="1426">
        <v>2015</v>
      </c>
      <c r="B119" s="1426" t="s">
        <v>428</v>
      </c>
      <c r="C119" s="1427">
        <v>1524</v>
      </c>
      <c r="D119" s="1431">
        <v>115</v>
      </c>
      <c r="E119" s="1431">
        <v>838</v>
      </c>
      <c r="F119" s="1427">
        <v>89926</v>
      </c>
    </row>
    <row r="120" spans="1:6">
      <c r="A120" s="1426">
        <v>2015</v>
      </c>
      <c r="B120" s="1426" t="s">
        <v>429</v>
      </c>
      <c r="C120" s="1427">
        <v>2147</v>
      </c>
      <c r="D120" s="1431">
        <v>96</v>
      </c>
      <c r="E120" s="1427">
        <v>1484</v>
      </c>
      <c r="F120" s="1427">
        <v>109750</v>
      </c>
    </row>
    <row r="121" spans="1:6">
      <c r="A121" s="1426">
        <v>2015</v>
      </c>
      <c r="B121" s="1426" t="s">
        <v>430</v>
      </c>
      <c r="C121" s="1427">
        <v>1309</v>
      </c>
      <c r="D121" s="1431">
        <v>131</v>
      </c>
      <c r="E121" s="1427">
        <v>1264</v>
      </c>
      <c r="F121" s="1427">
        <v>106059</v>
      </c>
    </row>
    <row r="122" spans="1:6">
      <c r="A122" s="1426">
        <v>2015</v>
      </c>
      <c r="B122" s="1426" t="s">
        <v>431</v>
      </c>
      <c r="C122" s="1427">
        <v>1511</v>
      </c>
      <c r="D122" s="1431">
        <v>174</v>
      </c>
      <c r="E122" s="1431">
        <v>652</v>
      </c>
      <c r="F122" s="1427">
        <v>121106</v>
      </c>
    </row>
    <row r="123" spans="1:6">
      <c r="A123" s="1426">
        <v>2015</v>
      </c>
      <c r="B123" s="1426" t="s">
        <v>432</v>
      </c>
      <c r="C123" s="1427">
        <v>1479</v>
      </c>
      <c r="D123" s="1431">
        <v>202</v>
      </c>
      <c r="E123" s="1431">
        <v>930</v>
      </c>
      <c r="F123" s="1427">
        <v>115726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92D050"/>
  </sheetPr>
  <dimension ref="A1:F125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14" width="14.69140625" customWidth="1"/>
  </cols>
  <sheetData>
    <row r="1" spans="1:6" ht="18">
      <c r="A1" s="1404" t="s">
        <v>437</v>
      </c>
      <c r="B1" s="1401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7">
        <v>6430</v>
      </c>
      <c r="D4" s="1427">
        <v>1795</v>
      </c>
      <c r="E4" s="1427">
        <v>4847</v>
      </c>
      <c r="F4" s="1427">
        <v>377423</v>
      </c>
    </row>
    <row r="5" spans="1:6">
      <c r="A5" s="1426">
        <v>2024</v>
      </c>
      <c r="B5" s="1426" t="s">
        <v>423</v>
      </c>
      <c r="C5" s="1427">
        <v>6543</v>
      </c>
      <c r="D5" s="1427">
        <v>2150</v>
      </c>
      <c r="E5" s="1427">
        <v>3417</v>
      </c>
      <c r="F5" s="1427">
        <v>315119</v>
      </c>
    </row>
    <row r="6" spans="1:6">
      <c r="A6" s="1426">
        <v>2024</v>
      </c>
      <c r="B6" s="1426" t="s">
        <v>424</v>
      </c>
      <c r="C6" s="1427">
        <v>8607</v>
      </c>
      <c r="D6" s="1427">
        <v>1935</v>
      </c>
      <c r="E6" s="1427">
        <v>4312</v>
      </c>
      <c r="F6" s="1427">
        <v>415487</v>
      </c>
    </row>
    <row r="7" spans="1:6">
      <c r="A7" s="1426">
        <v>2024</v>
      </c>
      <c r="B7" s="1426" t="s">
        <v>425</v>
      </c>
      <c r="C7" s="1427">
        <v>16476</v>
      </c>
      <c r="D7" s="1431">
        <v>1305</v>
      </c>
      <c r="E7" s="1427">
        <v>3825</v>
      </c>
      <c r="F7" s="1427">
        <v>232771</v>
      </c>
    </row>
    <row r="8" spans="1:6">
      <c r="A8" s="1426">
        <v>2024</v>
      </c>
      <c r="B8" s="1426" t="s">
        <v>411</v>
      </c>
      <c r="C8" s="1427">
        <v>5687</v>
      </c>
      <c r="D8" s="1431">
        <v>1229</v>
      </c>
      <c r="E8" s="1427">
        <v>3446</v>
      </c>
      <c r="F8" s="1427">
        <v>262047</v>
      </c>
    </row>
    <row r="9" spans="1:6">
      <c r="A9" s="1426">
        <v>2024</v>
      </c>
      <c r="B9" s="1426" t="s">
        <v>426</v>
      </c>
      <c r="C9" s="1427">
        <v>4783</v>
      </c>
      <c r="D9" s="1431">
        <v>1157</v>
      </c>
      <c r="E9" s="1427">
        <v>3581</v>
      </c>
      <c r="F9" s="1427">
        <v>302210</v>
      </c>
    </row>
    <row r="10" spans="1:6">
      <c r="A10" s="1426">
        <v>2024</v>
      </c>
      <c r="B10" s="1426" t="s">
        <v>427</v>
      </c>
      <c r="C10" s="1427">
        <v>10075</v>
      </c>
      <c r="D10" s="1431">
        <v>680</v>
      </c>
      <c r="E10" s="1427">
        <v>3441</v>
      </c>
      <c r="F10" s="1427">
        <v>336443</v>
      </c>
    </row>
    <row r="11" spans="1:6">
      <c r="A11" s="1426">
        <v>2024</v>
      </c>
      <c r="B11" s="1426" t="s">
        <v>428</v>
      </c>
      <c r="C11" s="1427">
        <v>14454</v>
      </c>
      <c r="D11" s="1431">
        <v>348</v>
      </c>
      <c r="E11" s="1427">
        <v>2928</v>
      </c>
      <c r="F11" s="1427">
        <v>260392</v>
      </c>
    </row>
    <row r="12" spans="1:6">
      <c r="A12" s="1426">
        <v>2024</v>
      </c>
      <c r="B12" s="1426" t="s">
        <v>429</v>
      </c>
      <c r="C12" s="1427">
        <v>7981</v>
      </c>
      <c r="D12" s="1431">
        <v>1020</v>
      </c>
      <c r="E12" s="1427">
        <v>5524</v>
      </c>
      <c r="F12" s="1427">
        <v>219528</v>
      </c>
    </row>
    <row r="13" spans="1:6">
      <c r="A13" s="1426">
        <v>2024</v>
      </c>
      <c r="B13" s="1426" t="s">
        <v>430</v>
      </c>
      <c r="C13" s="1427">
        <v>7691</v>
      </c>
      <c r="D13" s="1427">
        <v>2023</v>
      </c>
      <c r="E13" s="1427">
        <v>3332</v>
      </c>
      <c r="F13" s="1427">
        <v>335795</v>
      </c>
    </row>
    <row r="14" spans="1:6">
      <c r="A14" s="1426">
        <v>2024</v>
      </c>
      <c r="B14" s="1426" t="s">
        <v>431</v>
      </c>
      <c r="C14" s="1427">
        <v>4054</v>
      </c>
      <c r="D14" s="1431">
        <v>1163</v>
      </c>
      <c r="E14" s="1427">
        <v>3429</v>
      </c>
      <c r="F14" s="1427">
        <v>327222</v>
      </c>
    </row>
    <row r="15" spans="1:6">
      <c r="A15" s="1426">
        <v>2024</v>
      </c>
      <c r="B15" s="1426" t="s">
        <v>432</v>
      </c>
      <c r="C15" s="1427">
        <v>4448</v>
      </c>
      <c r="D15" s="1431">
        <v>1159</v>
      </c>
      <c r="E15" s="1427">
        <v>4083</v>
      </c>
      <c r="F15" s="1427">
        <v>335627</v>
      </c>
    </row>
    <row r="16" spans="1:6">
      <c r="A16" s="1426">
        <v>2023</v>
      </c>
      <c r="B16" s="1426" t="s">
        <v>420</v>
      </c>
      <c r="C16" s="1427">
        <v>13518</v>
      </c>
      <c r="D16" s="1431">
        <v>1218</v>
      </c>
      <c r="E16" s="1427">
        <v>5576</v>
      </c>
      <c r="F16" s="1427">
        <v>245276</v>
      </c>
    </row>
    <row r="17" spans="1:6">
      <c r="A17" s="1426">
        <v>2023</v>
      </c>
      <c r="B17" s="1426" t="s">
        <v>423</v>
      </c>
      <c r="C17" s="1427">
        <v>10431</v>
      </c>
      <c r="D17" s="1431">
        <v>940</v>
      </c>
      <c r="E17" s="1427">
        <v>8789</v>
      </c>
      <c r="F17" s="1427">
        <v>341125</v>
      </c>
    </row>
    <row r="18" spans="1:6">
      <c r="A18" s="1426">
        <v>2023</v>
      </c>
      <c r="B18" s="1426" t="s">
        <v>424</v>
      </c>
      <c r="C18" s="1427">
        <v>13567</v>
      </c>
      <c r="D18" s="1427">
        <v>2150</v>
      </c>
      <c r="E18" s="1427">
        <v>7774</v>
      </c>
      <c r="F18" s="1427">
        <v>314172</v>
      </c>
    </row>
    <row r="19" spans="1:6">
      <c r="A19" s="1426">
        <v>2023</v>
      </c>
      <c r="B19" s="1426" t="s">
        <v>425</v>
      </c>
      <c r="C19" s="1427">
        <v>16039</v>
      </c>
      <c r="D19" s="1431">
        <v>1297</v>
      </c>
      <c r="E19" s="1427">
        <v>5857</v>
      </c>
      <c r="F19" s="1427">
        <v>340948</v>
      </c>
    </row>
    <row r="20" spans="1:6">
      <c r="A20" s="1426">
        <v>2023</v>
      </c>
      <c r="B20" s="1426" t="s">
        <v>411</v>
      </c>
      <c r="C20" s="1427">
        <v>12986</v>
      </c>
      <c r="D20" s="1431">
        <v>855</v>
      </c>
      <c r="E20" s="1427">
        <v>3629</v>
      </c>
      <c r="F20" s="1427">
        <v>397912</v>
      </c>
    </row>
    <row r="21" spans="1:6">
      <c r="A21" s="1426">
        <v>2023</v>
      </c>
      <c r="B21" s="1426" t="s">
        <v>426</v>
      </c>
      <c r="C21" s="1427">
        <v>11329</v>
      </c>
      <c r="D21" s="1431">
        <v>1032</v>
      </c>
      <c r="E21" s="1427">
        <v>3832</v>
      </c>
      <c r="F21" s="1427">
        <v>159211</v>
      </c>
    </row>
    <row r="22" spans="1:6">
      <c r="A22" s="1426">
        <v>2023</v>
      </c>
      <c r="B22" s="1426" t="s">
        <v>427</v>
      </c>
      <c r="C22" s="1427">
        <v>18927</v>
      </c>
      <c r="D22" s="1427">
        <v>3981</v>
      </c>
      <c r="E22" s="1427">
        <v>4000</v>
      </c>
      <c r="F22" s="1427">
        <v>212883</v>
      </c>
    </row>
    <row r="23" spans="1:6">
      <c r="A23" s="1426">
        <v>2023</v>
      </c>
      <c r="B23" s="1426" t="s">
        <v>428</v>
      </c>
      <c r="C23" s="1427">
        <v>17760</v>
      </c>
      <c r="D23" s="1431">
        <v>558</v>
      </c>
      <c r="E23" s="1427">
        <v>4472</v>
      </c>
      <c r="F23" s="1427">
        <v>365764</v>
      </c>
    </row>
    <row r="24" spans="1:6">
      <c r="A24" s="1426">
        <v>2023</v>
      </c>
      <c r="B24" s="1426" t="s">
        <v>429</v>
      </c>
      <c r="C24" s="1427">
        <v>21079</v>
      </c>
      <c r="D24" s="1431">
        <v>428</v>
      </c>
      <c r="E24" s="1427">
        <v>3534</v>
      </c>
      <c r="F24" s="1427">
        <v>127072</v>
      </c>
    </row>
    <row r="25" spans="1:6">
      <c r="A25" s="1426">
        <v>2023</v>
      </c>
      <c r="B25" s="1426" t="s">
        <v>430</v>
      </c>
      <c r="C25" s="1427">
        <v>14941</v>
      </c>
      <c r="D25" s="1431">
        <v>501</v>
      </c>
      <c r="E25" s="1427">
        <v>4951</v>
      </c>
      <c r="F25" s="1427">
        <v>258176</v>
      </c>
    </row>
    <row r="26" spans="1:6">
      <c r="A26" s="1426">
        <v>2023</v>
      </c>
      <c r="B26" s="1426" t="s">
        <v>431</v>
      </c>
      <c r="C26" s="1427">
        <v>13309</v>
      </c>
      <c r="D26" s="1431">
        <v>1398</v>
      </c>
      <c r="E26" s="1427">
        <v>5140</v>
      </c>
      <c r="F26" s="1427">
        <v>208109</v>
      </c>
    </row>
    <row r="27" spans="1:6">
      <c r="A27" s="1426">
        <v>2023</v>
      </c>
      <c r="B27" s="1426" t="s">
        <v>432</v>
      </c>
      <c r="C27" s="1427">
        <v>10949</v>
      </c>
      <c r="D27" s="1431">
        <v>1607</v>
      </c>
      <c r="E27" s="1427">
        <v>3328</v>
      </c>
      <c r="F27" s="1427">
        <v>282311</v>
      </c>
    </row>
    <row r="28" spans="1:6">
      <c r="A28" s="1426">
        <v>2022</v>
      </c>
      <c r="B28" s="1426" t="s">
        <v>420</v>
      </c>
      <c r="C28" s="1427">
        <v>5805</v>
      </c>
      <c r="D28" s="1431">
        <v>1033</v>
      </c>
      <c r="E28" s="1427">
        <v>5630</v>
      </c>
      <c r="F28" s="1427">
        <v>333492</v>
      </c>
    </row>
    <row r="29" spans="1:6">
      <c r="A29" s="1426">
        <v>2022</v>
      </c>
      <c r="B29" s="1426" t="s">
        <v>423</v>
      </c>
      <c r="C29" s="1427">
        <v>8478</v>
      </c>
      <c r="D29" s="1431">
        <v>325</v>
      </c>
      <c r="E29" s="1427">
        <v>6133</v>
      </c>
      <c r="F29" s="1427">
        <v>328615</v>
      </c>
    </row>
    <row r="30" spans="1:6">
      <c r="A30" s="1426">
        <v>2022</v>
      </c>
      <c r="B30" s="1426" t="s">
        <v>424</v>
      </c>
      <c r="C30" s="1427">
        <v>25162</v>
      </c>
      <c r="D30" s="1427">
        <v>3441</v>
      </c>
      <c r="E30" s="1427">
        <v>7460</v>
      </c>
      <c r="F30" s="1427">
        <v>354208</v>
      </c>
    </row>
    <row r="31" spans="1:6">
      <c r="A31" s="1426">
        <v>2022</v>
      </c>
      <c r="B31" s="1426" t="s">
        <v>425</v>
      </c>
      <c r="C31" s="1427">
        <v>7490</v>
      </c>
      <c r="D31" s="1431">
        <v>310</v>
      </c>
      <c r="E31" s="1427">
        <v>5137</v>
      </c>
      <c r="F31" s="1427">
        <v>230245</v>
      </c>
    </row>
    <row r="32" spans="1:6">
      <c r="A32" s="1426">
        <v>2022</v>
      </c>
      <c r="B32" s="1426" t="s">
        <v>411</v>
      </c>
      <c r="C32" s="1427">
        <v>7151</v>
      </c>
      <c r="D32" s="1431">
        <v>481</v>
      </c>
      <c r="E32" s="1427">
        <v>4009</v>
      </c>
      <c r="F32" s="1427">
        <v>344878</v>
      </c>
    </row>
    <row r="33" spans="1:6">
      <c r="A33" s="1426">
        <v>2022</v>
      </c>
      <c r="B33" s="1426" t="s">
        <v>426</v>
      </c>
      <c r="C33" s="1427">
        <v>10349</v>
      </c>
      <c r="D33" s="1431">
        <v>301</v>
      </c>
      <c r="E33" s="1427">
        <v>4781</v>
      </c>
      <c r="F33" s="1427">
        <v>314071</v>
      </c>
    </row>
    <row r="34" spans="1:6">
      <c r="A34" s="1426">
        <v>2022</v>
      </c>
      <c r="B34" s="1426" t="s">
        <v>427</v>
      </c>
      <c r="C34" s="1427">
        <v>9868</v>
      </c>
      <c r="D34" s="1431">
        <v>219</v>
      </c>
      <c r="E34" s="1427">
        <v>4360</v>
      </c>
      <c r="F34" s="1427">
        <v>287325</v>
      </c>
    </row>
    <row r="35" spans="1:6">
      <c r="A35" s="1426">
        <v>2022</v>
      </c>
      <c r="B35" s="1426" t="s">
        <v>428</v>
      </c>
      <c r="C35" s="1427">
        <v>18716</v>
      </c>
      <c r="D35" s="1431">
        <v>263</v>
      </c>
      <c r="E35" s="1427">
        <v>5559</v>
      </c>
      <c r="F35" s="1427">
        <v>227613</v>
      </c>
    </row>
    <row r="36" spans="1:6">
      <c r="A36" s="1426">
        <v>2022</v>
      </c>
      <c r="B36" s="1426" t="s">
        <v>429</v>
      </c>
      <c r="C36" s="1427">
        <v>11943</v>
      </c>
      <c r="D36" s="1431">
        <v>811</v>
      </c>
      <c r="E36" s="1427">
        <v>5154</v>
      </c>
      <c r="F36" s="1427">
        <v>227703</v>
      </c>
    </row>
    <row r="37" spans="1:6">
      <c r="A37" s="1426">
        <v>2022</v>
      </c>
      <c r="B37" s="1426" t="s">
        <v>430</v>
      </c>
      <c r="C37" s="1427">
        <v>28928</v>
      </c>
      <c r="D37" s="1431">
        <v>813</v>
      </c>
      <c r="E37" s="1427">
        <v>5394</v>
      </c>
      <c r="F37" s="1427">
        <v>245392</v>
      </c>
    </row>
    <row r="38" spans="1:6">
      <c r="A38" s="1426">
        <v>2022</v>
      </c>
      <c r="B38" s="1426" t="s">
        <v>431</v>
      </c>
      <c r="C38" s="1427">
        <v>21191</v>
      </c>
      <c r="D38" s="1431">
        <v>775</v>
      </c>
      <c r="E38" s="1427">
        <v>5418</v>
      </c>
      <c r="F38" s="1427">
        <v>197754</v>
      </c>
    </row>
    <row r="39" spans="1:6">
      <c r="A39" s="1426">
        <v>2022</v>
      </c>
      <c r="B39" s="1426" t="s">
        <v>432</v>
      </c>
      <c r="C39" s="1427">
        <v>7439</v>
      </c>
      <c r="D39" s="1431">
        <v>759</v>
      </c>
      <c r="E39" s="1427">
        <v>6017</v>
      </c>
      <c r="F39" s="1427">
        <v>340825</v>
      </c>
    </row>
    <row r="40" spans="1:6">
      <c r="A40" s="1426">
        <v>2021</v>
      </c>
      <c r="B40" s="1426" t="s">
        <v>420</v>
      </c>
      <c r="C40" s="1427">
        <v>5751</v>
      </c>
      <c r="D40" s="1431">
        <v>769</v>
      </c>
      <c r="E40" s="1427">
        <v>7801</v>
      </c>
      <c r="F40" s="1427">
        <v>293838</v>
      </c>
    </row>
    <row r="41" spans="1:6">
      <c r="A41" s="1426">
        <v>2021</v>
      </c>
      <c r="B41" s="1426" t="s">
        <v>423</v>
      </c>
      <c r="C41" s="1427">
        <v>6007</v>
      </c>
      <c r="D41" s="1427">
        <v>5259</v>
      </c>
      <c r="E41" s="1427">
        <v>6762</v>
      </c>
      <c r="F41" s="1427">
        <v>265164</v>
      </c>
    </row>
    <row r="42" spans="1:6">
      <c r="A42" s="1426">
        <v>2021</v>
      </c>
      <c r="B42" s="1426" t="s">
        <v>424</v>
      </c>
      <c r="C42" s="1427">
        <v>10463</v>
      </c>
      <c r="D42" s="1431">
        <v>1495</v>
      </c>
      <c r="E42" s="1427">
        <v>7604</v>
      </c>
      <c r="F42" s="1427">
        <v>314971</v>
      </c>
    </row>
    <row r="43" spans="1:6">
      <c r="A43" s="1426">
        <v>2021</v>
      </c>
      <c r="B43" s="1426" t="s">
        <v>425</v>
      </c>
      <c r="C43" s="1427">
        <v>11011</v>
      </c>
      <c r="D43" s="1431">
        <v>1447</v>
      </c>
      <c r="E43" s="1427">
        <v>6742</v>
      </c>
      <c r="F43" s="1427">
        <v>365376</v>
      </c>
    </row>
    <row r="44" spans="1:6">
      <c r="A44" s="1426">
        <v>2021</v>
      </c>
      <c r="B44" s="1426" t="s">
        <v>411</v>
      </c>
      <c r="C44" s="1427">
        <v>15444</v>
      </c>
      <c r="D44" s="1427">
        <v>2735</v>
      </c>
      <c r="E44" s="1427">
        <v>4379</v>
      </c>
      <c r="F44" s="1427">
        <v>326509</v>
      </c>
    </row>
    <row r="45" spans="1:6">
      <c r="A45" s="1426">
        <v>2021</v>
      </c>
      <c r="B45" s="1426" t="s">
        <v>426</v>
      </c>
      <c r="C45" s="1427">
        <v>9051</v>
      </c>
      <c r="D45" s="1431">
        <v>1629</v>
      </c>
      <c r="E45" s="1427">
        <v>6467</v>
      </c>
      <c r="F45" s="1427">
        <v>286467</v>
      </c>
    </row>
    <row r="46" spans="1:6">
      <c r="A46" s="1426">
        <v>2021</v>
      </c>
      <c r="B46" s="1426" t="s">
        <v>427</v>
      </c>
      <c r="C46" s="1427">
        <v>4779</v>
      </c>
      <c r="D46" s="1431">
        <v>532</v>
      </c>
      <c r="E46" s="1427">
        <v>6406</v>
      </c>
      <c r="F46" s="1427">
        <v>212095</v>
      </c>
    </row>
    <row r="47" spans="1:6">
      <c r="A47" s="1426">
        <v>2021</v>
      </c>
      <c r="B47" s="1426" t="s">
        <v>428</v>
      </c>
      <c r="C47" s="1427">
        <v>14433</v>
      </c>
      <c r="D47" s="1431">
        <v>431</v>
      </c>
      <c r="E47" s="1427">
        <v>5523</v>
      </c>
      <c r="F47" s="1427">
        <v>398192</v>
      </c>
    </row>
    <row r="48" spans="1:6">
      <c r="A48" s="1426">
        <v>2021</v>
      </c>
      <c r="B48" s="1426" t="s">
        <v>429</v>
      </c>
      <c r="C48" s="1427">
        <v>23213</v>
      </c>
      <c r="D48" s="1431">
        <v>391</v>
      </c>
      <c r="E48" s="1427">
        <v>5205</v>
      </c>
      <c r="F48" s="1427">
        <v>233453</v>
      </c>
    </row>
    <row r="49" spans="1:6">
      <c r="A49" s="1426">
        <v>2021</v>
      </c>
      <c r="B49" s="1426" t="s">
        <v>430</v>
      </c>
      <c r="C49" s="1427">
        <v>22773</v>
      </c>
      <c r="D49" s="1431">
        <v>582</v>
      </c>
      <c r="E49" s="1427">
        <v>8490</v>
      </c>
      <c r="F49" s="1427">
        <v>273666</v>
      </c>
    </row>
    <row r="50" spans="1:6">
      <c r="A50" s="1426">
        <v>2021</v>
      </c>
      <c r="B50" s="1426" t="s">
        <v>431</v>
      </c>
      <c r="C50" s="1427">
        <v>11965</v>
      </c>
      <c r="D50" s="1431">
        <v>638</v>
      </c>
      <c r="E50" s="1427">
        <v>6395</v>
      </c>
      <c r="F50" s="1427">
        <v>326762</v>
      </c>
    </row>
    <row r="51" spans="1:6">
      <c r="A51" s="1426">
        <v>2021</v>
      </c>
      <c r="B51" s="1426" t="s">
        <v>432</v>
      </c>
      <c r="C51" s="1427">
        <v>19693</v>
      </c>
      <c r="D51" s="1431">
        <v>416</v>
      </c>
      <c r="E51" s="1427">
        <v>7105</v>
      </c>
      <c r="F51" s="1427">
        <v>298404</v>
      </c>
    </row>
    <row r="52" spans="1:6">
      <c r="A52" s="1426">
        <v>2020</v>
      </c>
      <c r="B52" s="1426" t="s">
        <v>420</v>
      </c>
      <c r="C52" s="1427">
        <v>6047</v>
      </c>
      <c r="D52" s="1427">
        <v>2525</v>
      </c>
      <c r="E52" s="1427">
        <v>8552</v>
      </c>
      <c r="F52" s="1427">
        <v>354861</v>
      </c>
    </row>
    <row r="53" spans="1:6">
      <c r="A53" s="1426">
        <v>2020</v>
      </c>
      <c r="B53" s="1426" t="s">
        <v>423</v>
      </c>
      <c r="C53" s="1427">
        <v>9481</v>
      </c>
      <c r="D53" s="1427">
        <v>1988</v>
      </c>
      <c r="E53" s="1427">
        <v>6419</v>
      </c>
      <c r="F53" s="1427">
        <v>295226</v>
      </c>
    </row>
    <row r="54" spans="1:6">
      <c r="A54" s="1426">
        <v>2020</v>
      </c>
      <c r="B54" s="1426" t="s">
        <v>424</v>
      </c>
      <c r="C54" s="1427">
        <v>13667</v>
      </c>
      <c r="D54" s="1427">
        <v>4201</v>
      </c>
      <c r="E54" s="1427">
        <v>15934</v>
      </c>
      <c r="F54" s="1427">
        <v>311592</v>
      </c>
    </row>
    <row r="55" spans="1:6">
      <c r="A55" s="1426">
        <v>2020</v>
      </c>
      <c r="B55" s="1426" t="s">
        <v>425</v>
      </c>
      <c r="C55" s="1427">
        <v>3865</v>
      </c>
      <c r="D55" s="1431">
        <v>1615</v>
      </c>
      <c r="E55" s="1427">
        <v>12014</v>
      </c>
      <c r="F55" s="1427">
        <v>328578</v>
      </c>
    </row>
    <row r="56" spans="1:6">
      <c r="A56" s="1426">
        <v>2020</v>
      </c>
      <c r="B56" s="1426" t="s">
        <v>411</v>
      </c>
      <c r="C56" s="1427">
        <v>7871</v>
      </c>
      <c r="D56" s="1431">
        <v>1088</v>
      </c>
      <c r="E56" s="1427">
        <v>10634</v>
      </c>
      <c r="F56" s="1427">
        <v>390923</v>
      </c>
    </row>
    <row r="57" spans="1:6">
      <c r="A57" s="1426">
        <v>2020</v>
      </c>
      <c r="B57" s="1426" t="s">
        <v>426</v>
      </c>
      <c r="C57" s="1427">
        <v>11991</v>
      </c>
      <c r="D57" s="1431">
        <v>1154</v>
      </c>
      <c r="E57" s="1427">
        <v>7325</v>
      </c>
      <c r="F57" s="1427">
        <v>220715</v>
      </c>
    </row>
    <row r="58" spans="1:6">
      <c r="A58" s="1426">
        <v>2020</v>
      </c>
      <c r="B58" s="1426" t="s">
        <v>427</v>
      </c>
      <c r="C58" s="1427">
        <v>5086</v>
      </c>
      <c r="D58" s="1431">
        <v>506</v>
      </c>
      <c r="E58" s="1427">
        <v>8173</v>
      </c>
      <c r="F58" s="1427">
        <v>334927</v>
      </c>
    </row>
    <row r="59" spans="1:6">
      <c r="A59" s="1426">
        <v>2020</v>
      </c>
      <c r="B59" s="1426" t="s">
        <v>428</v>
      </c>
      <c r="C59" s="1427">
        <v>15885</v>
      </c>
      <c r="D59" s="1431">
        <v>184</v>
      </c>
      <c r="E59" s="1427">
        <v>9803</v>
      </c>
      <c r="F59" s="1427">
        <v>292181</v>
      </c>
    </row>
    <row r="60" spans="1:6">
      <c r="A60" s="1426">
        <v>2020</v>
      </c>
      <c r="B60" s="1426" t="s">
        <v>429</v>
      </c>
      <c r="C60" s="1427">
        <v>23218</v>
      </c>
      <c r="D60" s="1431">
        <v>560</v>
      </c>
      <c r="E60" s="1427">
        <v>9588</v>
      </c>
      <c r="F60" s="1427">
        <v>296666</v>
      </c>
    </row>
    <row r="61" spans="1:6">
      <c r="A61" s="1426">
        <v>2020</v>
      </c>
      <c r="B61" s="1426" t="s">
        <v>430</v>
      </c>
      <c r="C61" s="1427">
        <v>16203</v>
      </c>
      <c r="D61" s="1431">
        <v>837</v>
      </c>
      <c r="E61" s="1427">
        <v>5588</v>
      </c>
      <c r="F61" s="1427">
        <v>359242</v>
      </c>
    </row>
    <row r="62" spans="1:6">
      <c r="A62" s="1426">
        <v>2020</v>
      </c>
      <c r="B62" s="1426" t="s">
        <v>431</v>
      </c>
      <c r="C62" s="1427">
        <v>13811</v>
      </c>
      <c r="D62" s="1431">
        <v>622</v>
      </c>
      <c r="E62" s="1427">
        <v>10261</v>
      </c>
      <c r="F62" s="1427">
        <v>272637</v>
      </c>
    </row>
    <row r="63" spans="1:6">
      <c r="A63" s="1426">
        <v>2020</v>
      </c>
      <c r="B63" s="1426" t="s">
        <v>432</v>
      </c>
      <c r="C63" s="1427">
        <v>6362</v>
      </c>
      <c r="D63" s="1431">
        <v>763</v>
      </c>
      <c r="E63" s="1427">
        <v>5617</v>
      </c>
      <c r="F63" s="1427">
        <v>408059</v>
      </c>
    </row>
    <row r="64" spans="1:6">
      <c r="A64" s="1426">
        <v>2019</v>
      </c>
      <c r="B64" s="1426" t="s">
        <v>420</v>
      </c>
      <c r="C64" s="1427">
        <v>5356</v>
      </c>
      <c r="D64" s="1427">
        <v>4257</v>
      </c>
      <c r="E64" s="1427">
        <v>5284</v>
      </c>
      <c r="F64" s="1427">
        <v>369114</v>
      </c>
    </row>
    <row r="65" spans="1:6">
      <c r="A65" s="1426">
        <v>2019</v>
      </c>
      <c r="B65" s="1426" t="s">
        <v>423</v>
      </c>
      <c r="C65" s="1427">
        <v>18750</v>
      </c>
      <c r="D65" s="1427">
        <v>5961</v>
      </c>
      <c r="E65" s="1427">
        <v>8019</v>
      </c>
      <c r="F65" s="1427">
        <v>326918</v>
      </c>
    </row>
    <row r="66" spans="1:6">
      <c r="A66" s="1426">
        <v>2019</v>
      </c>
      <c r="B66" s="1426" t="s">
        <v>424</v>
      </c>
      <c r="C66" s="1427">
        <v>11511</v>
      </c>
      <c r="D66" s="1427">
        <v>7303</v>
      </c>
      <c r="E66" s="1427">
        <v>10911</v>
      </c>
      <c r="F66" s="1427">
        <v>251746</v>
      </c>
    </row>
    <row r="67" spans="1:6">
      <c r="A67" s="1426">
        <v>2019</v>
      </c>
      <c r="B67" s="1426" t="s">
        <v>425</v>
      </c>
      <c r="C67" s="1427">
        <v>13335</v>
      </c>
      <c r="D67" s="1427">
        <v>3043</v>
      </c>
      <c r="E67" s="1427">
        <v>7307</v>
      </c>
      <c r="F67" s="1427">
        <v>333069</v>
      </c>
    </row>
    <row r="68" spans="1:6">
      <c r="A68" s="1426">
        <v>2019</v>
      </c>
      <c r="B68" s="1426" t="s">
        <v>411</v>
      </c>
      <c r="C68" s="1427">
        <v>13091</v>
      </c>
      <c r="D68" s="1427">
        <v>7050</v>
      </c>
      <c r="E68" s="1427">
        <v>7170</v>
      </c>
      <c r="F68" s="1427">
        <v>337284</v>
      </c>
    </row>
    <row r="69" spans="1:6">
      <c r="A69" s="1426">
        <v>2019</v>
      </c>
      <c r="B69" s="1426" t="s">
        <v>426</v>
      </c>
      <c r="C69" s="1427">
        <v>11375</v>
      </c>
      <c r="D69" s="1431">
        <v>1841</v>
      </c>
      <c r="E69" s="1427">
        <v>6724</v>
      </c>
      <c r="F69" s="1427">
        <v>196152</v>
      </c>
    </row>
    <row r="70" spans="1:6">
      <c r="A70" s="1426">
        <v>2019</v>
      </c>
      <c r="B70" s="1426" t="s">
        <v>427</v>
      </c>
      <c r="C70" s="1427">
        <v>6324</v>
      </c>
      <c r="D70" s="1431">
        <v>2571</v>
      </c>
      <c r="E70" s="1427">
        <v>6125</v>
      </c>
      <c r="F70" s="1427">
        <v>312372</v>
      </c>
    </row>
    <row r="71" spans="1:6">
      <c r="A71" s="1426">
        <v>2019</v>
      </c>
      <c r="B71" s="1426" t="s">
        <v>428</v>
      </c>
      <c r="C71" s="1427">
        <v>8567</v>
      </c>
      <c r="D71" s="1431">
        <v>332</v>
      </c>
      <c r="E71" s="1427">
        <v>5950</v>
      </c>
      <c r="F71" s="1427">
        <v>303034</v>
      </c>
    </row>
    <row r="72" spans="1:6">
      <c r="A72" s="1426">
        <v>2019</v>
      </c>
      <c r="B72" s="1426" t="s">
        <v>429</v>
      </c>
      <c r="C72" s="1427">
        <v>7138</v>
      </c>
      <c r="D72" s="1431">
        <v>3878</v>
      </c>
      <c r="E72" s="1427">
        <v>8125</v>
      </c>
      <c r="F72" s="1427">
        <v>280239</v>
      </c>
    </row>
    <row r="73" spans="1:6">
      <c r="A73" s="1426">
        <v>2019</v>
      </c>
      <c r="B73" s="1426" t="s">
        <v>430</v>
      </c>
      <c r="C73" s="1427">
        <v>9467</v>
      </c>
      <c r="D73" s="1427">
        <v>7663</v>
      </c>
      <c r="E73" s="1427">
        <v>5838</v>
      </c>
      <c r="F73" s="1427">
        <v>334739</v>
      </c>
    </row>
    <row r="74" spans="1:6">
      <c r="A74" s="1426">
        <v>2019</v>
      </c>
      <c r="B74" s="1426" t="s">
        <v>431</v>
      </c>
      <c r="C74" s="1427">
        <v>12513</v>
      </c>
      <c r="D74" s="1431">
        <v>1824</v>
      </c>
      <c r="E74" s="1427">
        <v>8543</v>
      </c>
      <c r="F74" s="1427">
        <v>251322</v>
      </c>
    </row>
    <row r="75" spans="1:6">
      <c r="A75" s="1426">
        <v>2019</v>
      </c>
      <c r="B75" s="1426" t="s">
        <v>432</v>
      </c>
      <c r="C75" s="1427">
        <v>8535</v>
      </c>
      <c r="D75" s="1431">
        <v>1256</v>
      </c>
      <c r="E75" s="1427">
        <v>6904</v>
      </c>
      <c r="F75" s="1427">
        <v>372250</v>
      </c>
    </row>
    <row r="76" spans="1:6">
      <c r="A76" s="1426">
        <v>2018</v>
      </c>
      <c r="B76" s="1426" t="s">
        <v>420</v>
      </c>
      <c r="C76" s="1427">
        <v>13781</v>
      </c>
      <c r="D76" s="1431">
        <v>792</v>
      </c>
      <c r="E76" s="1427">
        <v>5532</v>
      </c>
      <c r="F76" s="1427">
        <v>337727</v>
      </c>
    </row>
    <row r="77" spans="1:6">
      <c r="A77" s="1426">
        <v>2018</v>
      </c>
      <c r="B77" s="1426" t="s">
        <v>423</v>
      </c>
      <c r="C77" s="1427">
        <v>12128</v>
      </c>
      <c r="D77" s="1427">
        <v>5240</v>
      </c>
      <c r="E77" s="1427">
        <v>5728</v>
      </c>
      <c r="F77" s="1427">
        <v>286208</v>
      </c>
    </row>
    <row r="78" spans="1:6">
      <c r="A78" s="1426">
        <v>2018</v>
      </c>
      <c r="B78" s="1426" t="s">
        <v>424</v>
      </c>
      <c r="C78" s="1427">
        <v>11751</v>
      </c>
      <c r="D78" s="1427">
        <v>5241</v>
      </c>
      <c r="E78" s="1427">
        <v>5911</v>
      </c>
      <c r="F78" s="1427">
        <v>272125</v>
      </c>
    </row>
    <row r="79" spans="1:6">
      <c r="A79" s="1426">
        <v>2018</v>
      </c>
      <c r="B79" s="1426" t="s">
        <v>425</v>
      </c>
      <c r="C79" s="1427">
        <v>7576</v>
      </c>
      <c r="D79" s="1431">
        <v>1281</v>
      </c>
      <c r="E79" s="1427">
        <v>6397</v>
      </c>
      <c r="F79" s="1427">
        <v>307031</v>
      </c>
    </row>
    <row r="80" spans="1:6">
      <c r="A80" s="1426">
        <v>2018</v>
      </c>
      <c r="B80" s="1426" t="s">
        <v>411</v>
      </c>
      <c r="C80" s="1427">
        <v>6323</v>
      </c>
      <c r="D80" s="1431">
        <v>1548</v>
      </c>
      <c r="E80" s="1427">
        <v>4316</v>
      </c>
      <c r="F80" s="1427">
        <v>359760</v>
      </c>
    </row>
    <row r="81" spans="1:6">
      <c r="A81" s="1426">
        <v>2018</v>
      </c>
      <c r="B81" s="1426" t="s">
        <v>426</v>
      </c>
      <c r="C81" s="1427">
        <v>8520</v>
      </c>
      <c r="D81" s="1431">
        <v>946</v>
      </c>
      <c r="E81" s="1427">
        <v>6311</v>
      </c>
      <c r="F81" s="1427">
        <v>293091</v>
      </c>
    </row>
    <row r="82" spans="1:6">
      <c r="A82" s="1426">
        <v>2018</v>
      </c>
      <c r="B82" s="1426" t="s">
        <v>427</v>
      </c>
      <c r="C82" s="1427">
        <v>15596</v>
      </c>
      <c r="D82" s="1431">
        <v>867</v>
      </c>
      <c r="E82" s="1427">
        <v>5946</v>
      </c>
      <c r="F82" s="1427">
        <v>297579</v>
      </c>
    </row>
    <row r="83" spans="1:6">
      <c r="A83" s="1426">
        <v>2018</v>
      </c>
      <c r="B83" s="1426" t="s">
        <v>428</v>
      </c>
      <c r="C83" s="1427">
        <v>18450</v>
      </c>
      <c r="D83" s="1431">
        <v>515</v>
      </c>
      <c r="E83" s="1427">
        <v>5993</v>
      </c>
      <c r="F83" s="1427">
        <v>333502</v>
      </c>
    </row>
    <row r="84" spans="1:6">
      <c r="A84" s="1426">
        <v>2018</v>
      </c>
      <c r="B84" s="1426" t="s">
        <v>429</v>
      </c>
      <c r="C84" s="1427">
        <v>11397</v>
      </c>
      <c r="D84" s="1431">
        <v>1090</v>
      </c>
      <c r="E84" s="1427">
        <v>7641</v>
      </c>
      <c r="F84" s="1427">
        <v>231262</v>
      </c>
    </row>
    <row r="85" spans="1:6">
      <c r="A85" s="1426">
        <v>2018</v>
      </c>
      <c r="B85" s="1426" t="s">
        <v>430</v>
      </c>
      <c r="C85" s="1427">
        <v>29740</v>
      </c>
      <c r="D85" s="1431">
        <v>1367</v>
      </c>
      <c r="E85" s="1427">
        <v>7404</v>
      </c>
      <c r="F85" s="1427">
        <v>386385</v>
      </c>
    </row>
    <row r="86" spans="1:6">
      <c r="A86" s="1426">
        <v>2018</v>
      </c>
      <c r="B86" s="1426" t="s">
        <v>431</v>
      </c>
      <c r="C86" s="1427">
        <v>49714</v>
      </c>
      <c r="D86" s="1431">
        <v>1741</v>
      </c>
      <c r="E86" s="1427">
        <v>6989</v>
      </c>
      <c r="F86" s="1427">
        <v>299274</v>
      </c>
    </row>
    <row r="87" spans="1:6">
      <c r="A87" s="1426">
        <v>2018</v>
      </c>
      <c r="B87" s="1426" t="s">
        <v>432</v>
      </c>
      <c r="C87" s="1427">
        <v>11577</v>
      </c>
      <c r="D87" s="1427">
        <v>5145</v>
      </c>
      <c r="E87" s="1427">
        <v>8196</v>
      </c>
      <c r="F87" s="1427">
        <v>241923</v>
      </c>
    </row>
    <row r="88" spans="1:6">
      <c r="A88" s="1426">
        <v>2017</v>
      </c>
      <c r="B88" s="1426" t="s">
        <v>420</v>
      </c>
      <c r="C88" s="1427">
        <v>4848</v>
      </c>
      <c r="D88" s="1431">
        <v>956</v>
      </c>
      <c r="E88" s="1427">
        <v>2451</v>
      </c>
      <c r="F88" s="1427">
        <v>258341</v>
      </c>
    </row>
    <row r="89" spans="1:6">
      <c r="A89" s="1426">
        <v>2017</v>
      </c>
      <c r="B89" s="1426" t="s">
        <v>423</v>
      </c>
      <c r="C89" s="1427">
        <v>4327</v>
      </c>
      <c r="D89" s="1431">
        <v>1045</v>
      </c>
      <c r="E89" s="1427">
        <v>2192</v>
      </c>
      <c r="F89" s="1427">
        <v>195604</v>
      </c>
    </row>
    <row r="90" spans="1:6">
      <c r="A90" s="1426">
        <v>2017</v>
      </c>
      <c r="B90" s="1426" t="s">
        <v>424</v>
      </c>
      <c r="C90" s="1427">
        <v>5618</v>
      </c>
      <c r="D90" s="1431">
        <v>986</v>
      </c>
      <c r="E90" s="1427">
        <v>3058</v>
      </c>
      <c r="F90" s="1427">
        <v>273082</v>
      </c>
    </row>
    <row r="91" spans="1:6">
      <c r="A91" s="1426">
        <v>2017</v>
      </c>
      <c r="B91" s="1426" t="s">
        <v>425</v>
      </c>
      <c r="C91" s="1427">
        <v>2624</v>
      </c>
      <c r="D91" s="1431">
        <v>1148</v>
      </c>
      <c r="E91" s="1427">
        <v>4425</v>
      </c>
      <c r="F91" s="1427">
        <v>208152</v>
      </c>
    </row>
    <row r="92" spans="1:6">
      <c r="A92" s="1426">
        <v>2017</v>
      </c>
      <c r="B92" s="1426" t="s">
        <v>411</v>
      </c>
      <c r="C92" s="1431">
        <v>2292</v>
      </c>
      <c r="D92" s="1431">
        <v>726</v>
      </c>
      <c r="E92" s="1427">
        <v>3103</v>
      </c>
      <c r="F92" s="1427">
        <v>204677</v>
      </c>
    </row>
    <row r="93" spans="1:6">
      <c r="A93" s="1426">
        <v>2017</v>
      </c>
      <c r="B93" s="1426" t="s">
        <v>426</v>
      </c>
      <c r="C93" s="1427">
        <v>8299</v>
      </c>
      <c r="D93" s="1431">
        <v>926</v>
      </c>
      <c r="E93" s="1427">
        <v>2578</v>
      </c>
      <c r="F93" s="1427">
        <v>262313</v>
      </c>
    </row>
    <row r="94" spans="1:6">
      <c r="A94" s="1426">
        <v>2017</v>
      </c>
      <c r="B94" s="1426" t="s">
        <v>427</v>
      </c>
      <c r="C94" s="1427">
        <v>8034</v>
      </c>
      <c r="D94" s="1431">
        <v>558</v>
      </c>
      <c r="E94" s="1427">
        <v>8629</v>
      </c>
      <c r="F94" s="1427">
        <v>262723</v>
      </c>
    </row>
    <row r="95" spans="1:6">
      <c r="A95" s="1426">
        <v>2017</v>
      </c>
      <c r="B95" s="1426" t="s">
        <v>428</v>
      </c>
      <c r="C95" s="1427">
        <v>12761</v>
      </c>
      <c r="D95" s="1431">
        <v>156</v>
      </c>
      <c r="E95" s="1427">
        <v>5961</v>
      </c>
      <c r="F95" s="1427">
        <v>162932</v>
      </c>
    </row>
    <row r="96" spans="1:6">
      <c r="A96" s="1426">
        <v>2017</v>
      </c>
      <c r="B96" s="1426" t="s">
        <v>429</v>
      </c>
      <c r="C96" s="1427">
        <v>6703</v>
      </c>
      <c r="D96" s="1431">
        <v>198</v>
      </c>
      <c r="E96" s="1427">
        <v>4447</v>
      </c>
      <c r="F96" s="1427">
        <v>364696</v>
      </c>
    </row>
    <row r="97" spans="1:6">
      <c r="A97" s="1426">
        <v>2017</v>
      </c>
      <c r="B97" s="1426" t="s">
        <v>430</v>
      </c>
      <c r="C97" s="1427">
        <v>4306</v>
      </c>
      <c r="D97" s="1431">
        <v>1642</v>
      </c>
      <c r="E97" s="1427">
        <v>5833</v>
      </c>
      <c r="F97" s="1427">
        <v>316269</v>
      </c>
    </row>
    <row r="98" spans="1:6">
      <c r="A98" s="1426">
        <v>2017</v>
      </c>
      <c r="B98" s="1426" t="s">
        <v>431</v>
      </c>
      <c r="C98" s="1427">
        <v>4682</v>
      </c>
      <c r="D98" s="1431">
        <v>1762</v>
      </c>
      <c r="E98" s="1427">
        <v>5728</v>
      </c>
      <c r="F98" s="1427">
        <v>249482</v>
      </c>
    </row>
    <row r="99" spans="1:6">
      <c r="A99" s="1426">
        <v>2017</v>
      </c>
      <c r="B99" s="1426" t="s">
        <v>432</v>
      </c>
      <c r="C99" s="1427">
        <v>28464</v>
      </c>
      <c r="D99" s="1431">
        <v>806</v>
      </c>
      <c r="E99" s="1427">
        <v>5654</v>
      </c>
      <c r="F99" s="1427">
        <v>258940</v>
      </c>
    </row>
    <row r="100" spans="1:6">
      <c r="A100" s="1426">
        <v>2016</v>
      </c>
      <c r="B100" s="1426" t="s">
        <v>420</v>
      </c>
      <c r="C100" s="1427">
        <v>3974</v>
      </c>
      <c r="D100" s="1431">
        <v>439</v>
      </c>
      <c r="E100" s="1427">
        <v>1704</v>
      </c>
      <c r="F100" s="1427">
        <v>318256</v>
      </c>
    </row>
    <row r="101" spans="1:6">
      <c r="A101" s="1426">
        <v>2016</v>
      </c>
      <c r="B101" s="1426" t="s">
        <v>423</v>
      </c>
      <c r="C101" s="1427">
        <v>7464</v>
      </c>
      <c r="D101" s="1431">
        <v>563</v>
      </c>
      <c r="E101" s="1427">
        <v>2426</v>
      </c>
      <c r="F101" s="1427">
        <v>249823</v>
      </c>
    </row>
    <row r="102" spans="1:6">
      <c r="A102" s="1426">
        <v>2016</v>
      </c>
      <c r="B102" s="1426" t="s">
        <v>424</v>
      </c>
      <c r="C102" s="1427">
        <v>6686</v>
      </c>
      <c r="D102" s="1431">
        <v>859</v>
      </c>
      <c r="E102" s="1427">
        <v>2638</v>
      </c>
      <c r="F102" s="1427">
        <v>235611</v>
      </c>
    </row>
    <row r="103" spans="1:6">
      <c r="A103" s="1426">
        <v>2016</v>
      </c>
      <c r="B103" s="1426" t="s">
        <v>425</v>
      </c>
      <c r="C103" s="1427">
        <v>4474</v>
      </c>
      <c r="D103" s="1431">
        <v>932</v>
      </c>
      <c r="E103" s="1427">
        <v>2352</v>
      </c>
      <c r="F103" s="1427">
        <v>247945</v>
      </c>
    </row>
    <row r="104" spans="1:6">
      <c r="A104" s="1426">
        <v>2016</v>
      </c>
      <c r="B104" s="1426" t="s">
        <v>411</v>
      </c>
      <c r="C104" s="1427">
        <v>3655</v>
      </c>
      <c r="D104" s="1431">
        <v>758</v>
      </c>
      <c r="E104" s="1427">
        <v>1448</v>
      </c>
      <c r="F104" s="1427">
        <v>246203</v>
      </c>
    </row>
    <row r="105" spans="1:6">
      <c r="A105" s="1426">
        <v>2016</v>
      </c>
      <c r="B105" s="1426" t="s">
        <v>426</v>
      </c>
      <c r="C105" s="1427">
        <v>5391</v>
      </c>
      <c r="D105" s="1431">
        <v>466</v>
      </c>
      <c r="E105" s="1427">
        <v>1207</v>
      </c>
      <c r="F105" s="1427">
        <v>268190</v>
      </c>
    </row>
    <row r="106" spans="1:6">
      <c r="A106" s="1426">
        <v>2016</v>
      </c>
      <c r="B106" s="1426" t="s">
        <v>427</v>
      </c>
      <c r="C106" s="1427">
        <v>3211</v>
      </c>
      <c r="D106" s="1431">
        <v>527</v>
      </c>
      <c r="E106" s="1427">
        <v>1413</v>
      </c>
      <c r="F106" s="1427">
        <v>243414</v>
      </c>
    </row>
    <row r="107" spans="1:6">
      <c r="A107" s="1426">
        <v>2016</v>
      </c>
      <c r="B107" s="1426" t="s">
        <v>428</v>
      </c>
      <c r="C107" s="1427">
        <v>5043</v>
      </c>
      <c r="D107" s="1431">
        <v>411</v>
      </c>
      <c r="E107" s="1427">
        <v>1427</v>
      </c>
      <c r="F107" s="1427">
        <v>264349</v>
      </c>
    </row>
    <row r="108" spans="1:6">
      <c r="A108" s="1426">
        <v>2016</v>
      </c>
      <c r="B108" s="1426" t="s">
        <v>429</v>
      </c>
      <c r="C108" s="1427">
        <v>7665</v>
      </c>
      <c r="D108" s="1431">
        <v>161</v>
      </c>
      <c r="E108" s="1427">
        <v>2120</v>
      </c>
      <c r="F108" s="1427">
        <v>305324</v>
      </c>
    </row>
    <row r="109" spans="1:6">
      <c r="A109" s="1426">
        <v>2016</v>
      </c>
      <c r="B109" s="1426" t="s">
        <v>430</v>
      </c>
      <c r="C109" s="1427">
        <v>5059</v>
      </c>
      <c r="D109" s="1431">
        <v>1171</v>
      </c>
      <c r="E109" s="1427">
        <v>3544</v>
      </c>
      <c r="F109" s="1427">
        <v>269821</v>
      </c>
    </row>
    <row r="110" spans="1:6">
      <c r="A110" s="1426">
        <v>2016</v>
      </c>
      <c r="B110" s="1426" t="s">
        <v>431</v>
      </c>
      <c r="C110" s="1427">
        <v>3929</v>
      </c>
      <c r="D110" s="1431">
        <v>942</v>
      </c>
      <c r="E110" s="1427">
        <v>3848</v>
      </c>
      <c r="F110" s="1427">
        <v>213537</v>
      </c>
    </row>
    <row r="111" spans="1:6">
      <c r="A111" s="1426">
        <v>2016</v>
      </c>
      <c r="B111" s="1426" t="s">
        <v>432</v>
      </c>
      <c r="C111" s="1427">
        <v>10332</v>
      </c>
      <c r="D111" s="1431">
        <v>1008</v>
      </c>
      <c r="E111" s="1427">
        <v>7182</v>
      </c>
      <c r="F111" s="1427">
        <v>280215</v>
      </c>
    </row>
    <row r="112" spans="1:6">
      <c r="A112" s="1426">
        <v>2015</v>
      </c>
      <c r="B112" s="1426" t="s">
        <v>420</v>
      </c>
      <c r="C112" s="1427">
        <v>7244</v>
      </c>
      <c r="D112" s="1431">
        <v>57</v>
      </c>
      <c r="E112" s="1427">
        <v>2135</v>
      </c>
      <c r="F112" s="1427">
        <v>347797</v>
      </c>
    </row>
    <row r="113" spans="1:6">
      <c r="A113" s="1426">
        <v>2015</v>
      </c>
      <c r="B113" s="1426" t="s">
        <v>423</v>
      </c>
      <c r="C113" s="1427">
        <v>5799</v>
      </c>
      <c r="D113" s="1431">
        <v>185</v>
      </c>
      <c r="E113" s="1427">
        <v>3372</v>
      </c>
      <c r="F113" s="1427">
        <v>236680</v>
      </c>
    </row>
    <row r="114" spans="1:6">
      <c r="A114" s="1426">
        <v>2015</v>
      </c>
      <c r="B114" s="1426" t="s">
        <v>424</v>
      </c>
      <c r="C114" s="1427">
        <v>13921</v>
      </c>
      <c r="D114" s="1431">
        <v>437</v>
      </c>
      <c r="E114" s="1427">
        <v>3098</v>
      </c>
      <c r="F114" s="1427">
        <v>329719</v>
      </c>
    </row>
    <row r="115" spans="1:6">
      <c r="A115" s="1426">
        <v>2015</v>
      </c>
      <c r="B115" s="1426" t="s">
        <v>425</v>
      </c>
      <c r="C115" s="1427">
        <v>10272</v>
      </c>
      <c r="D115" s="1431">
        <v>158</v>
      </c>
      <c r="E115" s="1427">
        <v>2763</v>
      </c>
      <c r="F115" s="1427">
        <v>388245</v>
      </c>
    </row>
    <row r="116" spans="1:6">
      <c r="A116" s="1426">
        <v>2015</v>
      </c>
      <c r="B116" s="1426" t="s">
        <v>411</v>
      </c>
      <c r="C116" s="1427">
        <v>7963</v>
      </c>
      <c r="D116" s="1431">
        <v>773</v>
      </c>
      <c r="E116" s="1427">
        <v>2635</v>
      </c>
      <c r="F116" s="1427">
        <v>294821</v>
      </c>
    </row>
    <row r="117" spans="1:6">
      <c r="A117" s="1426">
        <v>2015</v>
      </c>
      <c r="B117" s="1426" t="s">
        <v>426</v>
      </c>
      <c r="C117" s="1427">
        <v>7422</v>
      </c>
      <c r="D117" s="1431">
        <v>190</v>
      </c>
      <c r="E117" s="1427">
        <v>3362</v>
      </c>
      <c r="F117" s="1427">
        <v>298331</v>
      </c>
    </row>
    <row r="118" spans="1:6">
      <c r="A118" s="1426">
        <v>2015</v>
      </c>
      <c r="B118" s="1426" t="s">
        <v>427</v>
      </c>
      <c r="C118" s="1427">
        <v>6693</v>
      </c>
      <c r="D118" s="1431">
        <v>196</v>
      </c>
      <c r="E118" s="1427">
        <v>2598</v>
      </c>
      <c r="F118" s="1427">
        <v>421101</v>
      </c>
    </row>
    <row r="119" spans="1:6">
      <c r="A119" s="1426">
        <v>2015</v>
      </c>
      <c r="B119" s="1426" t="s">
        <v>428</v>
      </c>
      <c r="C119" s="1427">
        <v>5488</v>
      </c>
      <c r="D119" s="1431">
        <v>347</v>
      </c>
      <c r="E119" s="1427">
        <v>3639</v>
      </c>
      <c r="F119" s="1427">
        <v>237167</v>
      </c>
    </row>
    <row r="120" spans="1:6">
      <c r="A120" s="1426">
        <v>2015</v>
      </c>
      <c r="B120" s="1426" t="s">
        <v>429</v>
      </c>
      <c r="C120" s="1427">
        <v>7260</v>
      </c>
      <c r="D120" s="1431">
        <v>317</v>
      </c>
      <c r="E120" s="1427">
        <v>6246</v>
      </c>
      <c r="F120" s="1427">
        <v>294022</v>
      </c>
    </row>
    <row r="121" spans="1:6">
      <c r="A121" s="1426">
        <v>2015</v>
      </c>
      <c r="B121" s="1426" t="s">
        <v>430</v>
      </c>
      <c r="C121" s="1427">
        <v>3556</v>
      </c>
      <c r="D121" s="1431">
        <v>242</v>
      </c>
      <c r="E121" s="1427">
        <v>4858</v>
      </c>
      <c r="F121" s="1427">
        <v>299813</v>
      </c>
    </row>
    <row r="122" spans="1:6">
      <c r="A122" s="1426">
        <v>2015</v>
      </c>
      <c r="B122" s="1426" t="s">
        <v>431</v>
      </c>
      <c r="C122" s="1427">
        <v>3815</v>
      </c>
      <c r="D122" s="1431">
        <v>384</v>
      </c>
      <c r="E122" s="1427">
        <v>3816</v>
      </c>
      <c r="F122" s="1427">
        <v>343028</v>
      </c>
    </row>
    <row r="123" spans="1:6">
      <c r="A123" s="1426">
        <v>2015</v>
      </c>
      <c r="B123" s="1426" t="s">
        <v>432</v>
      </c>
      <c r="C123" s="1427">
        <v>3737</v>
      </c>
      <c r="D123" s="1431">
        <v>365</v>
      </c>
      <c r="E123" s="1427">
        <v>3526</v>
      </c>
      <c r="F123" s="1427">
        <v>316216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rgb="FF92D050"/>
  </sheetPr>
  <dimension ref="A1:F125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14" width="14.69140625" customWidth="1"/>
  </cols>
  <sheetData>
    <row r="1" spans="1:6" ht="18">
      <c r="A1" s="1404" t="s">
        <v>436</v>
      </c>
      <c r="B1" s="1403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9">
        <v>423.17262830482116</v>
      </c>
      <c r="D4" s="1430">
        <v>561.55988857938723</v>
      </c>
      <c r="E4" s="1429">
        <v>453.27006395708685</v>
      </c>
      <c r="F4" s="1429">
        <v>487.14572243874909</v>
      </c>
    </row>
    <row r="5" spans="1:6">
      <c r="A5" s="1426">
        <v>2024</v>
      </c>
      <c r="B5" s="1426" t="s">
        <v>423</v>
      </c>
      <c r="C5" s="1429">
        <v>444.59727953538135</v>
      </c>
      <c r="D5" s="1430">
        <v>573.02325581395348</v>
      </c>
      <c r="E5" s="1429">
        <v>504.24348844015219</v>
      </c>
      <c r="F5" s="1429">
        <v>488.46308854750112</v>
      </c>
    </row>
    <row r="6" spans="1:6">
      <c r="A6" s="1426">
        <v>2024</v>
      </c>
      <c r="B6" s="1426" t="s">
        <v>424</v>
      </c>
      <c r="C6" s="1429">
        <v>364.70314859997677</v>
      </c>
      <c r="D6" s="1430">
        <v>612.91989664082689</v>
      </c>
      <c r="E6" s="1429">
        <v>450.834879406308</v>
      </c>
      <c r="F6" s="1429">
        <v>468.26254491716946</v>
      </c>
    </row>
    <row r="7" spans="1:6">
      <c r="A7" s="1426">
        <v>2024</v>
      </c>
      <c r="B7" s="1426" t="s">
        <v>425</v>
      </c>
      <c r="C7" s="1429">
        <v>340.49526584122361</v>
      </c>
      <c r="D7" s="1430">
        <v>632.9501915708812</v>
      </c>
      <c r="E7" s="1429">
        <v>413.33333333333331</v>
      </c>
      <c r="F7" s="1429">
        <v>469.61176435208853</v>
      </c>
    </row>
    <row r="8" spans="1:6">
      <c r="A8" s="1426">
        <v>2024</v>
      </c>
      <c r="B8" s="1426" t="s">
        <v>411</v>
      </c>
      <c r="C8" s="1429">
        <v>455.24881308246881</v>
      </c>
      <c r="D8" s="1430">
        <v>550.85435313262815</v>
      </c>
      <c r="E8" s="1429">
        <v>489.55310504933254</v>
      </c>
      <c r="F8" s="1429">
        <v>426.04189324815775</v>
      </c>
    </row>
    <row r="9" spans="1:6">
      <c r="A9" s="1426">
        <v>2024</v>
      </c>
      <c r="B9" s="1426" t="s">
        <v>426</v>
      </c>
      <c r="C9" s="1429">
        <v>600.66903616976788</v>
      </c>
      <c r="D9" s="1430">
        <v>532.4114088159032</v>
      </c>
      <c r="E9" s="1429">
        <v>525.27227031555435</v>
      </c>
      <c r="F9" s="1429">
        <v>432.97375996823399</v>
      </c>
    </row>
    <row r="10" spans="1:6">
      <c r="A10" s="1426">
        <v>2024</v>
      </c>
      <c r="B10" s="1426" t="s">
        <v>427</v>
      </c>
      <c r="C10" s="1429">
        <v>341.04218362282876</v>
      </c>
      <c r="D10" s="1430">
        <v>569.11764705882354</v>
      </c>
      <c r="E10" s="1429">
        <v>465.85294972391745</v>
      </c>
      <c r="F10" s="1429">
        <v>455.2569083024465</v>
      </c>
    </row>
    <row r="11" spans="1:6">
      <c r="A11" s="1426">
        <v>2024</v>
      </c>
      <c r="B11" s="1426" t="s">
        <v>428</v>
      </c>
      <c r="C11" s="1429">
        <v>367.30316867303168</v>
      </c>
      <c r="D11" s="1430">
        <v>589.080459770115</v>
      </c>
      <c r="E11" s="1429">
        <v>397.19945355191254</v>
      </c>
      <c r="F11" s="1429">
        <v>450.88558788288429</v>
      </c>
    </row>
    <row r="12" spans="1:6">
      <c r="A12" s="1426">
        <v>2024</v>
      </c>
      <c r="B12" s="1426" t="s">
        <v>429</v>
      </c>
      <c r="C12" s="1429">
        <v>322.14008269640397</v>
      </c>
      <c r="D12" s="1430">
        <v>457.84313725490193</v>
      </c>
      <c r="E12" s="1429">
        <v>376.53874004344675</v>
      </c>
      <c r="F12" s="1429">
        <v>454.17441055355124</v>
      </c>
    </row>
    <row r="13" spans="1:6">
      <c r="A13" s="1426">
        <v>2024</v>
      </c>
      <c r="B13" s="1426" t="s">
        <v>430</v>
      </c>
      <c r="C13" s="1429">
        <v>353.66012222077751</v>
      </c>
      <c r="D13" s="1430">
        <v>503.21304992585272</v>
      </c>
      <c r="E13" s="1429">
        <v>375.15006002400958</v>
      </c>
      <c r="F13" s="1429">
        <v>421.28381899670933</v>
      </c>
    </row>
    <row r="14" spans="1:6">
      <c r="A14" s="1426">
        <v>2024</v>
      </c>
      <c r="B14" s="1426" t="s">
        <v>431</v>
      </c>
      <c r="C14" s="1429">
        <v>482.97977306364083</v>
      </c>
      <c r="D14" s="1430">
        <v>544.28202923473771</v>
      </c>
      <c r="E14" s="1429">
        <v>392.82589676290462</v>
      </c>
      <c r="F14" s="1429">
        <v>414.15308261669446</v>
      </c>
    </row>
    <row r="15" spans="1:6">
      <c r="A15" s="1426">
        <v>2024</v>
      </c>
      <c r="B15" s="1426" t="s">
        <v>432</v>
      </c>
      <c r="C15" s="1429">
        <v>397.93165467625897</v>
      </c>
      <c r="D15" s="1430">
        <v>510.78515962036238</v>
      </c>
      <c r="E15" s="1429">
        <v>411.95199608131276</v>
      </c>
      <c r="F15" s="1429">
        <v>428.03469327557082</v>
      </c>
    </row>
    <row r="16" spans="1:6">
      <c r="A16" s="1426">
        <v>2023</v>
      </c>
      <c r="B16" s="1426" t="s">
        <v>420</v>
      </c>
      <c r="C16" s="1429">
        <v>443.03891108152095</v>
      </c>
      <c r="D16" s="1430">
        <v>670.77175697865357</v>
      </c>
      <c r="E16" s="1429">
        <v>438.84505021520806</v>
      </c>
      <c r="F16" s="1429">
        <v>584.13379213620578</v>
      </c>
    </row>
    <row r="17" spans="1:6">
      <c r="A17" s="1426">
        <v>2023</v>
      </c>
      <c r="B17" s="1426" t="s">
        <v>423</v>
      </c>
      <c r="C17" s="1429">
        <v>461.98830409356725</v>
      </c>
      <c r="D17" s="1430">
        <v>725.531914893617</v>
      </c>
      <c r="E17" s="1429">
        <v>431.4484014108545</v>
      </c>
      <c r="F17" s="1429">
        <v>594.89629901062665</v>
      </c>
    </row>
    <row r="18" spans="1:6">
      <c r="A18" s="1426">
        <v>2023</v>
      </c>
      <c r="B18" s="1426" t="s">
        <v>424</v>
      </c>
      <c r="C18" s="1429">
        <v>445.78757278690944</v>
      </c>
      <c r="D18" s="1430">
        <v>738.60465116279067</v>
      </c>
      <c r="E18" s="1429">
        <v>451.11911499871366</v>
      </c>
      <c r="F18" s="1429">
        <v>592.50346943712361</v>
      </c>
    </row>
    <row r="19" spans="1:6">
      <c r="A19" s="1426">
        <v>2023</v>
      </c>
      <c r="B19" s="1426" t="s">
        <v>425</v>
      </c>
      <c r="C19" s="1429">
        <v>366.29465677411309</v>
      </c>
      <c r="D19" s="1430">
        <v>645.33538936006164</v>
      </c>
      <c r="E19" s="1429">
        <v>400.20488304592794</v>
      </c>
      <c r="F19" s="1429">
        <v>577.05867170360284</v>
      </c>
    </row>
    <row r="20" spans="1:6">
      <c r="A20" s="1426">
        <v>2023</v>
      </c>
      <c r="B20" s="1426" t="s">
        <v>411</v>
      </c>
      <c r="C20" s="1429">
        <v>384.64500231018019</v>
      </c>
      <c r="D20" s="1430">
        <v>761.40350877192986</v>
      </c>
      <c r="E20" s="1429">
        <v>507.85340314136124</v>
      </c>
      <c r="F20" s="1429">
        <v>565.08222923661515</v>
      </c>
    </row>
    <row r="21" spans="1:6">
      <c r="A21" s="1426">
        <v>2023</v>
      </c>
      <c r="B21" s="1426" t="s">
        <v>426</v>
      </c>
      <c r="C21" s="1429">
        <v>365.25730426339481</v>
      </c>
      <c r="D21" s="1430">
        <v>620.15503875968989</v>
      </c>
      <c r="E21" s="1429">
        <v>501.04384133611688</v>
      </c>
      <c r="F21" s="1429">
        <v>543.04664878683002</v>
      </c>
    </row>
    <row r="22" spans="1:6">
      <c r="A22" s="1426">
        <v>2023</v>
      </c>
      <c r="B22" s="1426" t="s">
        <v>427</v>
      </c>
      <c r="C22" s="1429">
        <v>333.33333333333331</v>
      </c>
      <c r="D22" s="1430">
        <v>481.28610901783469</v>
      </c>
      <c r="E22" s="1429">
        <v>491.5</v>
      </c>
      <c r="F22" s="1429">
        <v>550.23181747720582</v>
      </c>
    </row>
    <row r="23" spans="1:6">
      <c r="A23" s="1426">
        <v>2023</v>
      </c>
      <c r="B23" s="1426" t="s">
        <v>428</v>
      </c>
      <c r="C23" s="1429">
        <v>299.26801801801804</v>
      </c>
      <c r="D23" s="1430">
        <v>541.21863799283153</v>
      </c>
      <c r="E23" s="1429">
        <v>534.88372093023258</v>
      </c>
      <c r="F23" s="1429">
        <v>549.15191216194046</v>
      </c>
    </row>
    <row r="24" spans="1:6">
      <c r="A24" s="1426">
        <v>2023</v>
      </c>
      <c r="B24" s="1426" t="s">
        <v>429</v>
      </c>
      <c r="C24" s="1429">
        <v>299.63470752882017</v>
      </c>
      <c r="D24" s="1430">
        <v>593.45794392523362</v>
      </c>
      <c r="E24" s="1429">
        <v>509.90379173740803</v>
      </c>
      <c r="F24" s="1429">
        <v>664.04872828003022</v>
      </c>
    </row>
    <row r="25" spans="1:6">
      <c r="A25" s="1426">
        <v>2023</v>
      </c>
      <c r="B25" s="1426" t="s">
        <v>430</v>
      </c>
      <c r="C25" s="1429">
        <v>311.75958771166586</v>
      </c>
      <c r="D25" s="1430">
        <v>656.68662674650693</v>
      </c>
      <c r="E25" s="1429">
        <v>514.03756816804685</v>
      </c>
      <c r="F25" s="1429">
        <v>531.69543257312841</v>
      </c>
    </row>
    <row r="26" spans="1:6">
      <c r="A26" s="1426">
        <v>2023</v>
      </c>
      <c r="B26" s="1426" t="s">
        <v>431</v>
      </c>
      <c r="C26" s="1429">
        <v>293.56074836576755</v>
      </c>
      <c r="D26" s="1430">
        <v>456.3662374821173</v>
      </c>
      <c r="E26" s="1429">
        <v>493.579766536965</v>
      </c>
      <c r="F26" s="1429">
        <v>505.67731333099482</v>
      </c>
    </row>
    <row r="27" spans="1:6">
      <c r="A27" s="1426">
        <v>2023</v>
      </c>
      <c r="B27" s="1426" t="s">
        <v>432</v>
      </c>
      <c r="C27" s="1429">
        <v>321.76454470727919</v>
      </c>
      <c r="D27" s="1430">
        <v>552.58245177349102</v>
      </c>
      <c r="E27" s="1429">
        <v>466.34615384615387</v>
      </c>
      <c r="F27" s="1429">
        <v>501.5072030491196</v>
      </c>
    </row>
    <row r="28" spans="1:6">
      <c r="A28" s="1426">
        <v>2022</v>
      </c>
      <c r="B28" s="1426" t="s">
        <v>420</v>
      </c>
      <c r="C28" s="1429">
        <v>383.80706287683034</v>
      </c>
      <c r="D28" s="1430">
        <v>504.35624394966118</v>
      </c>
      <c r="E28" s="1429">
        <v>386.67850799289522</v>
      </c>
      <c r="F28" s="1429">
        <v>504.55183332733617</v>
      </c>
    </row>
    <row r="29" spans="1:6">
      <c r="A29" s="1426">
        <v>2022</v>
      </c>
      <c r="B29" s="1426" t="s">
        <v>423</v>
      </c>
      <c r="C29" s="1429">
        <v>370.60627506487378</v>
      </c>
      <c r="D29" s="1430">
        <v>664.61538461538464</v>
      </c>
      <c r="E29" s="1429">
        <v>380.40110875591063</v>
      </c>
      <c r="F29" s="1429">
        <v>523.88661503583216</v>
      </c>
    </row>
    <row r="30" spans="1:6">
      <c r="A30" s="1426">
        <v>2022</v>
      </c>
      <c r="B30" s="1426" t="s">
        <v>424</v>
      </c>
      <c r="C30" s="1429">
        <v>374.53302599157462</v>
      </c>
      <c r="D30" s="1430">
        <v>391.16535890729438</v>
      </c>
      <c r="E30" s="1429">
        <v>381.09919571045577</v>
      </c>
      <c r="F30" s="1429">
        <v>534.05343752823205</v>
      </c>
    </row>
    <row r="31" spans="1:6">
      <c r="A31" s="1426">
        <v>2022</v>
      </c>
      <c r="B31" s="1426" t="s">
        <v>425</v>
      </c>
      <c r="C31" s="1429">
        <v>424.16555407209614</v>
      </c>
      <c r="D31" s="1430">
        <v>825.80645161290317</v>
      </c>
      <c r="E31" s="1429">
        <v>426.90286159236911</v>
      </c>
      <c r="F31" s="1429">
        <v>612.27388216899385</v>
      </c>
    </row>
    <row r="32" spans="1:6">
      <c r="A32" s="1426">
        <v>2022</v>
      </c>
      <c r="B32" s="1426" t="s">
        <v>411</v>
      </c>
      <c r="C32" s="1429">
        <v>426.09425255209061</v>
      </c>
      <c r="D32" s="1430">
        <v>596.67359667359665</v>
      </c>
      <c r="E32" s="1429">
        <v>497.13145422798704</v>
      </c>
      <c r="F32" s="1429">
        <v>638.67512569662313</v>
      </c>
    </row>
    <row r="33" spans="1:6">
      <c r="A33" s="1426">
        <v>2022</v>
      </c>
      <c r="B33" s="1426" t="s">
        <v>426</v>
      </c>
      <c r="C33" s="1429">
        <v>488.83950140110153</v>
      </c>
      <c r="D33" s="1430">
        <v>511.62790697674421</v>
      </c>
      <c r="E33" s="1429">
        <v>409.32859234469777</v>
      </c>
      <c r="F33" s="1429">
        <v>658.02955382700088</v>
      </c>
    </row>
    <row r="34" spans="1:6">
      <c r="A34" s="1426">
        <v>2022</v>
      </c>
      <c r="B34" s="1426" t="s">
        <v>427</v>
      </c>
      <c r="C34" s="1429">
        <v>443.85893798135385</v>
      </c>
      <c r="D34" s="1430">
        <v>447.48858447488584</v>
      </c>
      <c r="E34" s="1429">
        <v>478.44036697247708</v>
      </c>
      <c r="F34" s="1429">
        <v>651.14417471504396</v>
      </c>
    </row>
    <row r="35" spans="1:6">
      <c r="A35" s="1426">
        <v>2022</v>
      </c>
      <c r="B35" s="1426" t="s">
        <v>428</v>
      </c>
      <c r="C35" s="1429">
        <v>439.57042103013464</v>
      </c>
      <c r="D35" s="1430">
        <v>566.53992395437263</v>
      </c>
      <c r="E35" s="1429">
        <v>480.48210109731968</v>
      </c>
      <c r="F35" s="1429">
        <v>666.35473369271529</v>
      </c>
    </row>
    <row r="36" spans="1:6">
      <c r="A36" s="1426">
        <v>2022</v>
      </c>
      <c r="B36" s="1426" t="s">
        <v>429</v>
      </c>
      <c r="C36" s="1429">
        <v>447.12383823160008</v>
      </c>
      <c r="D36" s="1430">
        <v>527.74352651048093</v>
      </c>
      <c r="E36" s="1429">
        <v>573.1470702367094</v>
      </c>
      <c r="F36" s="1429">
        <v>675.50712990167017</v>
      </c>
    </row>
    <row r="37" spans="1:6">
      <c r="A37" s="1426">
        <v>2022</v>
      </c>
      <c r="B37" s="1426" t="s">
        <v>430</v>
      </c>
      <c r="C37" s="1429">
        <v>395.3954646017699</v>
      </c>
      <c r="D37" s="1430">
        <v>573.18573185731861</v>
      </c>
      <c r="E37" s="1429">
        <v>544.1230997404524</v>
      </c>
      <c r="F37" s="1429">
        <v>648.0773619351894</v>
      </c>
    </row>
    <row r="38" spans="1:6">
      <c r="A38" s="1426">
        <v>2022</v>
      </c>
      <c r="B38" s="1426" t="s">
        <v>431</v>
      </c>
      <c r="C38" s="1429">
        <v>433.58029352083429</v>
      </c>
      <c r="D38" s="1430">
        <v>593.54838709677415</v>
      </c>
      <c r="E38" s="1429">
        <v>526.20893318567732</v>
      </c>
      <c r="F38" s="1429">
        <v>628.36655642869425</v>
      </c>
    </row>
    <row r="39" spans="1:6">
      <c r="A39" s="1426">
        <v>2022</v>
      </c>
      <c r="B39" s="1426" t="s">
        <v>432</v>
      </c>
      <c r="C39" s="1429">
        <v>575.88385535690281</v>
      </c>
      <c r="D39" s="1430">
        <v>570.48748353096175</v>
      </c>
      <c r="E39" s="1429">
        <v>477.14808043875684</v>
      </c>
      <c r="F39" s="1429">
        <v>606.35810166507736</v>
      </c>
    </row>
    <row r="40" spans="1:6">
      <c r="A40" s="1426">
        <v>2021</v>
      </c>
      <c r="B40" s="1426" t="s">
        <v>420</v>
      </c>
      <c r="C40" s="1429">
        <v>346.54842636063296</v>
      </c>
      <c r="D40" s="1430">
        <v>604.68140442132642</v>
      </c>
      <c r="E40" s="1429">
        <v>300.85886424817329</v>
      </c>
      <c r="F40" s="1429">
        <v>411.44099810099442</v>
      </c>
    </row>
    <row r="41" spans="1:6">
      <c r="A41" s="1426">
        <v>2021</v>
      </c>
      <c r="B41" s="1426" t="s">
        <v>423</v>
      </c>
      <c r="C41" s="1429">
        <v>323.45596803728984</v>
      </c>
      <c r="D41" s="1430">
        <v>328.95987830386002</v>
      </c>
      <c r="E41" s="1429">
        <v>366.75539781129845</v>
      </c>
      <c r="F41" s="1429">
        <v>418.97844352928752</v>
      </c>
    </row>
    <row r="42" spans="1:6">
      <c r="A42" s="1426">
        <v>2021</v>
      </c>
      <c r="B42" s="1426" t="s">
        <v>424</v>
      </c>
      <c r="C42" s="1429">
        <v>316.54401223358502</v>
      </c>
      <c r="D42" s="1430">
        <v>514.38127090300998</v>
      </c>
      <c r="E42" s="1429">
        <v>350.21041557075222</v>
      </c>
      <c r="F42" s="1429">
        <v>461.00434643189374</v>
      </c>
    </row>
    <row r="43" spans="1:6">
      <c r="A43" s="1426">
        <v>2021</v>
      </c>
      <c r="B43" s="1426" t="s">
        <v>425</v>
      </c>
      <c r="C43" s="1429">
        <v>328.48969212605579</v>
      </c>
      <c r="D43" s="1430">
        <v>613.68348306841744</v>
      </c>
      <c r="E43" s="1429">
        <v>337.14031444675169</v>
      </c>
      <c r="F43" s="1429">
        <v>379.72116395165529</v>
      </c>
    </row>
    <row r="44" spans="1:6">
      <c r="A44" s="1426">
        <v>2021</v>
      </c>
      <c r="B44" s="1426" t="s">
        <v>411</v>
      </c>
      <c r="C44" s="1429">
        <v>266.96451696451697</v>
      </c>
      <c r="D44" s="1430">
        <v>383.18098720292505</v>
      </c>
      <c r="E44" s="1429">
        <v>370.40420187257365</v>
      </c>
      <c r="F44" s="1429">
        <v>433.96966086692862</v>
      </c>
    </row>
    <row r="45" spans="1:6">
      <c r="A45" s="1426">
        <v>2021</v>
      </c>
      <c r="B45" s="1426" t="s">
        <v>426</v>
      </c>
      <c r="C45" s="1429">
        <v>342.61407579273009</v>
      </c>
      <c r="D45" s="1430">
        <v>452.42480049109884</v>
      </c>
      <c r="E45" s="1429">
        <v>392.4539972166383</v>
      </c>
      <c r="F45" s="1429">
        <v>463.35878129068971</v>
      </c>
    </row>
    <row r="46" spans="1:6">
      <c r="A46" s="1426">
        <v>2021</v>
      </c>
      <c r="B46" s="1426" t="s">
        <v>427</v>
      </c>
      <c r="C46" s="1429">
        <v>396.52646997279766</v>
      </c>
      <c r="D46" s="1430">
        <v>582.70676691729318</v>
      </c>
      <c r="E46" s="1429">
        <v>335.31064626912269</v>
      </c>
      <c r="F46" s="1429">
        <v>485.0420801999104</v>
      </c>
    </row>
    <row r="47" spans="1:6">
      <c r="A47" s="1426">
        <v>2021</v>
      </c>
      <c r="B47" s="1426" t="s">
        <v>428</v>
      </c>
      <c r="C47" s="1429">
        <v>276.03408854707959</v>
      </c>
      <c r="D47" s="1430">
        <v>475.63805104408351</v>
      </c>
      <c r="E47" s="1429">
        <v>349.80988593155894</v>
      </c>
      <c r="F47" s="1429">
        <v>499.42741190179612</v>
      </c>
    </row>
    <row r="48" spans="1:6">
      <c r="A48" s="1426">
        <v>2021</v>
      </c>
      <c r="B48" s="1426" t="s">
        <v>429</v>
      </c>
      <c r="C48" s="1429">
        <v>295.48098048507302</v>
      </c>
      <c r="D48" s="1430">
        <v>516.62404092071608</v>
      </c>
      <c r="E48" s="1429">
        <v>333.52545629202689</v>
      </c>
      <c r="F48" s="1429">
        <v>497.72331047362854</v>
      </c>
    </row>
    <row r="49" spans="1:6">
      <c r="A49" s="1426">
        <v>2021</v>
      </c>
      <c r="B49" s="1426" t="s">
        <v>430</v>
      </c>
      <c r="C49" s="1429">
        <v>297.23795723005315</v>
      </c>
      <c r="D49" s="1430">
        <v>398.62542955326461</v>
      </c>
      <c r="E49" s="1429">
        <v>452.17903415783275</v>
      </c>
      <c r="F49" s="1429">
        <v>499.13032674866446</v>
      </c>
    </row>
    <row r="50" spans="1:6">
      <c r="A50" s="1426">
        <v>2021</v>
      </c>
      <c r="B50" s="1426" t="s">
        <v>431</v>
      </c>
      <c r="C50" s="1429">
        <v>375.17760133723363</v>
      </c>
      <c r="D50" s="1430">
        <v>529.78056426332284</v>
      </c>
      <c r="E50" s="1429">
        <v>318.37372947615324</v>
      </c>
      <c r="F50" s="1429">
        <v>484.79627374052063</v>
      </c>
    </row>
    <row r="51" spans="1:6">
      <c r="A51" s="1426">
        <v>2021</v>
      </c>
      <c r="B51" s="1426" t="s">
        <v>432</v>
      </c>
      <c r="C51" s="1429">
        <v>345.65581678769104</v>
      </c>
      <c r="D51" s="1430">
        <v>540.86538461538464</v>
      </c>
      <c r="E51" s="1429">
        <v>443.49049964813514</v>
      </c>
      <c r="F51" s="1429">
        <v>469.74236270291283</v>
      </c>
    </row>
    <row r="52" spans="1:6">
      <c r="A52" s="1426">
        <v>2020</v>
      </c>
      <c r="B52" s="1426" t="s">
        <v>420</v>
      </c>
      <c r="C52" s="1429">
        <v>386.8033735736729</v>
      </c>
      <c r="D52" s="1430">
        <v>437.22772277227722</v>
      </c>
      <c r="E52" s="1429">
        <v>316.53414405986905</v>
      </c>
      <c r="F52" s="1429">
        <v>352.27596157368657</v>
      </c>
    </row>
    <row r="53" spans="1:6">
      <c r="A53" s="1426">
        <v>2020</v>
      </c>
      <c r="B53" s="1426" t="s">
        <v>423</v>
      </c>
      <c r="C53" s="1429">
        <v>281.29944098723763</v>
      </c>
      <c r="D53" s="1430">
        <v>529.17505030181087</v>
      </c>
      <c r="E53" s="1429">
        <v>293.50366100638729</v>
      </c>
      <c r="F53" s="1429">
        <v>356.15088101996434</v>
      </c>
    </row>
    <row r="54" spans="1:6">
      <c r="A54" s="1426">
        <v>2020</v>
      </c>
      <c r="B54" s="1426" t="s">
        <v>424</v>
      </c>
      <c r="C54" s="1429">
        <v>270.87144215994732</v>
      </c>
      <c r="D54" s="1430">
        <v>401.33301594858369</v>
      </c>
      <c r="E54" s="1429">
        <v>282.10116731517508</v>
      </c>
      <c r="F54" s="1429">
        <v>353.45580117589668</v>
      </c>
    </row>
    <row r="55" spans="1:6">
      <c r="A55" s="1426">
        <v>2020</v>
      </c>
      <c r="B55" s="1426" t="s">
        <v>425</v>
      </c>
      <c r="C55" s="1429">
        <v>442.43208279430792</v>
      </c>
      <c r="D55" s="1430">
        <v>462.5386996904025</v>
      </c>
      <c r="E55" s="1429">
        <v>333.86049608789745</v>
      </c>
      <c r="F55" s="1429">
        <v>336.61109386507923</v>
      </c>
    </row>
    <row r="56" spans="1:6">
      <c r="A56" s="1426">
        <v>2020</v>
      </c>
      <c r="B56" s="1426" t="s">
        <v>411</v>
      </c>
      <c r="C56" s="1429">
        <v>343.5395756574768</v>
      </c>
      <c r="D56" s="1430">
        <v>428.30882352941177</v>
      </c>
      <c r="E56" s="1429">
        <v>247.41395523791613</v>
      </c>
      <c r="F56" s="1429">
        <v>434.4589599486344</v>
      </c>
    </row>
    <row r="57" spans="1:6">
      <c r="A57" s="1426">
        <v>2020</v>
      </c>
      <c r="B57" s="1426" t="s">
        <v>426</v>
      </c>
      <c r="C57" s="1429">
        <v>305.89608873321657</v>
      </c>
      <c r="D57" s="1430">
        <v>474.00346620450608</v>
      </c>
      <c r="E57" s="1429">
        <v>236.04095563139933</v>
      </c>
      <c r="F57" s="1429">
        <v>349.61375529529033</v>
      </c>
    </row>
    <row r="58" spans="1:6">
      <c r="A58" s="1426">
        <v>2020</v>
      </c>
      <c r="B58" s="1426" t="s">
        <v>427</v>
      </c>
      <c r="C58" s="1429">
        <v>421.3527329925285</v>
      </c>
      <c r="D58" s="1430">
        <v>553.35968379446638</v>
      </c>
      <c r="E58" s="1429">
        <v>272.97198091276152</v>
      </c>
      <c r="F58" s="1429">
        <v>325.5127236681426</v>
      </c>
    </row>
    <row r="59" spans="1:6">
      <c r="A59" s="1426">
        <v>2020</v>
      </c>
      <c r="B59" s="1426" t="s">
        <v>428</v>
      </c>
      <c r="C59" s="1429">
        <v>243.9408246773686</v>
      </c>
      <c r="D59" s="1430">
        <v>1005.4347826086956</v>
      </c>
      <c r="E59" s="1429">
        <v>225.54320106089972</v>
      </c>
      <c r="F59" s="1429">
        <v>328.53950119959887</v>
      </c>
    </row>
    <row r="60" spans="1:6">
      <c r="A60" s="1426">
        <v>2020</v>
      </c>
      <c r="B60" s="1426" t="s">
        <v>429</v>
      </c>
      <c r="C60" s="1429">
        <v>241.45059867344301</v>
      </c>
      <c r="D60" s="1430">
        <v>412.5</v>
      </c>
      <c r="E60" s="1429">
        <v>296.62077596996244</v>
      </c>
      <c r="F60" s="1429">
        <v>329.54231357823278</v>
      </c>
    </row>
    <row r="61" spans="1:6">
      <c r="A61" s="1426">
        <v>2020</v>
      </c>
      <c r="B61" s="1426" t="s">
        <v>430</v>
      </c>
      <c r="C61" s="1429">
        <v>255.75510707893599</v>
      </c>
      <c r="D61" s="1430">
        <v>450.41816009557942</v>
      </c>
      <c r="E61" s="1429">
        <v>387.61632068718683</v>
      </c>
      <c r="F61" s="1429">
        <v>331.82645681741002</v>
      </c>
    </row>
    <row r="62" spans="1:6">
      <c r="A62" s="1426">
        <v>2020</v>
      </c>
      <c r="B62" s="1426" t="s">
        <v>431</v>
      </c>
      <c r="C62" s="1429">
        <v>271.37788719136921</v>
      </c>
      <c r="D62" s="1430">
        <v>450.16077170418009</v>
      </c>
      <c r="E62" s="1429">
        <v>461.16362927589904</v>
      </c>
      <c r="F62" s="1429">
        <v>366.67070133547537</v>
      </c>
    </row>
    <row r="63" spans="1:6">
      <c r="A63" s="1426">
        <v>2020</v>
      </c>
      <c r="B63" s="1426" t="s">
        <v>432</v>
      </c>
      <c r="C63" s="1429">
        <v>332.4426281043697</v>
      </c>
      <c r="D63" s="1430">
        <v>619.9213630406291</v>
      </c>
      <c r="E63" s="1429">
        <v>320.98985223428878</v>
      </c>
      <c r="F63" s="1429">
        <v>383.16272891910239</v>
      </c>
    </row>
    <row r="64" spans="1:6">
      <c r="A64" s="1426">
        <v>2019</v>
      </c>
      <c r="B64" s="1426" t="s">
        <v>420</v>
      </c>
      <c r="C64" s="1429">
        <v>323.18894697535472</v>
      </c>
      <c r="D64" s="1430">
        <v>318.0643645759925</v>
      </c>
      <c r="E64" s="1429">
        <v>355.223315669947</v>
      </c>
      <c r="F64" s="1429">
        <v>335.53861408670491</v>
      </c>
    </row>
    <row r="65" spans="1:6">
      <c r="A65" s="1426">
        <v>2019</v>
      </c>
      <c r="B65" s="1426" t="s">
        <v>423</v>
      </c>
      <c r="C65" s="1429">
        <v>251.36</v>
      </c>
      <c r="D65" s="1430">
        <v>350.44455628250296</v>
      </c>
      <c r="E65" s="1429">
        <v>327.4722533981793</v>
      </c>
      <c r="F65" s="1429">
        <v>335.19414654439339</v>
      </c>
    </row>
    <row r="66" spans="1:6">
      <c r="A66" s="1426">
        <v>2019</v>
      </c>
      <c r="B66" s="1426" t="s">
        <v>424</v>
      </c>
      <c r="C66" s="1429">
        <v>295.63026670141602</v>
      </c>
      <c r="D66" s="1430">
        <v>364.37080651786937</v>
      </c>
      <c r="E66" s="1429">
        <v>275.13518467601506</v>
      </c>
      <c r="F66" s="1429">
        <v>338.75811333645817</v>
      </c>
    </row>
    <row r="67" spans="1:6">
      <c r="A67" s="1426">
        <v>2019</v>
      </c>
      <c r="B67" s="1426" t="s">
        <v>425</v>
      </c>
      <c r="C67" s="1429">
        <v>275.74053243344582</v>
      </c>
      <c r="D67" s="1430">
        <v>394.34768320736117</v>
      </c>
      <c r="E67" s="1429">
        <v>377.44628438483647</v>
      </c>
      <c r="F67" s="1429">
        <v>338.30827846482259</v>
      </c>
    </row>
    <row r="68" spans="1:6">
      <c r="A68" s="1426">
        <v>2019</v>
      </c>
      <c r="B68" s="1426" t="s">
        <v>411</v>
      </c>
      <c r="C68" s="1429">
        <v>254.6023985944542</v>
      </c>
      <c r="D68" s="1430">
        <v>344.96453900709218</v>
      </c>
      <c r="E68" s="1429">
        <v>266.80613668061369</v>
      </c>
      <c r="F68" s="1429">
        <v>377.99302664816594</v>
      </c>
    </row>
    <row r="69" spans="1:6">
      <c r="A69" s="1426">
        <v>2019</v>
      </c>
      <c r="B69" s="1426" t="s">
        <v>426</v>
      </c>
      <c r="C69" s="1429">
        <v>305.23076923076923</v>
      </c>
      <c r="D69" s="1430">
        <v>370.45084193373168</v>
      </c>
      <c r="E69" s="1429">
        <v>345.47888161808447</v>
      </c>
      <c r="F69" s="1429">
        <v>338.92083690199439</v>
      </c>
    </row>
    <row r="70" spans="1:6">
      <c r="A70" s="1426">
        <v>2019</v>
      </c>
      <c r="B70" s="1426" t="s">
        <v>427</v>
      </c>
      <c r="C70" s="1429">
        <v>337.76091081593927</v>
      </c>
      <c r="D70" s="1430">
        <v>353.16997277323998</v>
      </c>
      <c r="E70" s="1429">
        <v>345.79591836734693</v>
      </c>
      <c r="F70" s="1429">
        <v>329.51416900362386</v>
      </c>
    </row>
    <row r="71" spans="1:6">
      <c r="A71" s="1426">
        <v>2019</v>
      </c>
      <c r="B71" s="1426" t="s">
        <v>428</v>
      </c>
      <c r="C71" s="1429">
        <v>354.85000583634877</v>
      </c>
      <c r="D71" s="1430">
        <v>442.77108433734941</v>
      </c>
      <c r="E71" s="1429">
        <v>322.01680672268907</v>
      </c>
      <c r="F71" s="1429">
        <v>335.98870093784853</v>
      </c>
    </row>
    <row r="72" spans="1:6">
      <c r="A72" s="1426">
        <v>2019</v>
      </c>
      <c r="B72" s="1426" t="s">
        <v>429</v>
      </c>
      <c r="C72" s="1429">
        <v>285.09386382740263</v>
      </c>
      <c r="D72" s="1430">
        <v>244.19804022692108</v>
      </c>
      <c r="E72" s="1429">
        <v>385.10769230769233</v>
      </c>
      <c r="F72" s="1429">
        <v>345.23745802689848</v>
      </c>
    </row>
    <row r="73" spans="1:6">
      <c r="A73" s="1426">
        <v>2019</v>
      </c>
      <c r="B73" s="1426" t="s">
        <v>430</v>
      </c>
      <c r="C73" s="1429">
        <v>292.59533115031161</v>
      </c>
      <c r="D73" s="1430">
        <v>280.82996215581363</v>
      </c>
      <c r="E73" s="1429">
        <v>320.14388489208631</v>
      </c>
      <c r="F73" s="1429">
        <v>329.36705911172584</v>
      </c>
    </row>
    <row r="74" spans="1:6">
      <c r="A74" s="1426">
        <v>2019</v>
      </c>
      <c r="B74" s="1426" t="s">
        <v>431</v>
      </c>
      <c r="C74" s="1429">
        <v>278.4304323503556</v>
      </c>
      <c r="D74" s="1430">
        <v>409.53947368421052</v>
      </c>
      <c r="E74" s="1429">
        <v>412.96968278122438</v>
      </c>
      <c r="F74" s="1429">
        <v>346.16945591711033</v>
      </c>
    </row>
    <row r="75" spans="1:6">
      <c r="A75" s="1426">
        <v>2019</v>
      </c>
      <c r="B75" s="1426" t="s">
        <v>432</v>
      </c>
      <c r="C75" s="1429">
        <v>299.94141769185705</v>
      </c>
      <c r="D75" s="1430">
        <v>419.5859872611465</v>
      </c>
      <c r="E75" s="1429">
        <v>320.82850521436848</v>
      </c>
      <c r="F75" s="1429">
        <v>342.8959032907992</v>
      </c>
    </row>
    <row r="76" spans="1:6">
      <c r="A76" s="1426">
        <v>2018</v>
      </c>
      <c r="B76" s="1426" t="s">
        <v>420</v>
      </c>
      <c r="C76" s="1429">
        <v>242.2175458965242</v>
      </c>
      <c r="D76" s="1430">
        <v>464.64646464646466</v>
      </c>
      <c r="E76" s="1429">
        <v>312.00289226319597</v>
      </c>
      <c r="F76" s="1429">
        <v>343.73917394818892</v>
      </c>
    </row>
    <row r="77" spans="1:6">
      <c r="A77" s="1426">
        <v>2018</v>
      </c>
      <c r="B77" s="1426" t="s">
        <v>423</v>
      </c>
      <c r="C77" s="1429">
        <v>265.33641160949867</v>
      </c>
      <c r="D77" s="1430">
        <v>247.32824427480915</v>
      </c>
      <c r="E77" s="1429">
        <v>294.6927374301676</v>
      </c>
      <c r="F77" s="1429">
        <v>334.74256484794273</v>
      </c>
    </row>
    <row r="78" spans="1:6">
      <c r="A78" s="1426">
        <v>2018</v>
      </c>
      <c r="B78" s="1426" t="s">
        <v>424</v>
      </c>
      <c r="C78" s="1429">
        <v>268.57288741383712</v>
      </c>
      <c r="D78" s="1430">
        <v>278.76359473382945</v>
      </c>
      <c r="E78" s="1429">
        <v>330.90847572322787</v>
      </c>
      <c r="F78" s="1429">
        <v>344.22416169039963</v>
      </c>
    </row>
    <row r="79" spans="1:6">
      <c r="A79" s="1426">
        <v>2018</v>
      </c>
      <c r="B79" s="1426" t="s">
        <v>425</v>
      </c>
      <c r="C79" s="1429">
        <v>272.83526927138331</v>
      </c>
      <c r="D79" s="1430">
        <v>419.20374707259953</v>
      </c>
      <c r="E79" s="1429">
        <v>297.79584180084413</v>
      </c>
      <c r="F79" s="1429">
        <v>348.1700544896118</v>
      </c>
    </row>
    <row r="80" spans="1:6">
      <c r="A80" s="1426">
        <v>2018</v>
      </c>
      <c r="B80" s="1426" t="s">
        <v>411</v>
      </c>
      <c r="C80" s="1429">
        <v>317.88707891823503</v>
      </c>
      <c r="D80" s="1430">
        <v>438.63049095607238</v>
      </c>
      <c r="E80" s="1429">
        <v>335.7275254865616</v>
      </c>
      <c r="F80" s="1429">
        <v>355.71492105848341</v>
      </c>
    </row>
    <row r="81" spans="1:6">
      <c r="A81" s="1426">
        <v>2018</v>
      </c>
      <c r="B81" s="1426" t="s">
        <v>426</v>
      </c>
      <c r="C81" s="1429">
        <v>284.74178403755866</v>
      </c>
      <c r="D81" s="1430">
        <v>423.89006342494713</v>
      </c>
      <c r="E81" s="1429">
        <v>316.90698779908098</v>
      </c>
      <c r="F81" s="1429">
        <v>367.40807462528704</v>
      </c>
    </row>
    <row r="82" spans="1:6">
      <c r="A82" s="1426">
        <v>2018</v>
      </c>
      <c r="B82" s="1426" t="s">
        <v>427</v>
      </c>
      <c r="C82" s="1429">
        <v>334.57296742754551</v>
      </c>
      <c r="D82" s="1430">
        <v>385.23644752018453</v>
      </c>
      <c r="E82" s="1429">
        <v>268.07938109653549</v>
      </c>
      <c r="F82" s="1429">
        <v>355.68370079877951</v>
      </c>
    </row>
    <row r="83" spans="1:6">
      <c r="A83" s="1426">
        <v>2018</v>
      </c>
      <c r="B83" s="1426" t="s">
        <v>428</v>
      </c>
      <c r="C83" s="1429">
        <v>251.54471544715446</v>
      </c>
      <c r="D83" s="1430">
        <v>382.52427184466018</v>
      </c>
      <c r="E83" s="1429">
        <v>306.69113966294009</v>
      </c>
      <c r="F83" s="1429">
        <v>360.64251488746692</v>
      </c>
    </row>
    <row r="84" spans="1:6">
      <c r="A84" s="1426">
        <v>2018</v>
      </c>
      <c r="B84" s="1426" t="s">
        <v>429</v>
      </c>
      <c r="C84" s="1429">
        <v>242.95867333508818</v>
      </c>
      <c r="D84" s="1430">
        <v>357.79816513761466</v>
      </c>
      <c r="E84" s="1429">
        <v>288.18217510797018</v>
      </c>
      <c r="F84" s="1429">
        <v>349.52564623673584</v>
      </c>
    </row>
    <row r="85" spans="1:6">
      <c r="A85" s="1426">
        <v>2018</v>
      </c>
      <c r="B85" s="1426" t="s">
        <v>430</v>
      </c>
      <c r="C85" s="1429">
        <v>232.48150638870209</v>
      </c>
      <c r="D85" s="1430">
        <v>381.12655449890269</v>
      </c>
      <c r="E85" s="1429">
        <v>293.76012965964344</v>
      </c>
      <c r="F85" s="1429">
        <v>312.88481695718002</v>
      </c>
    </row>
    <row r="86" spans="1:6">
      <c r="A86" s="1426">
        <v>2018</v>
      </c>
      <c r="B86" s="1426" t="s">
        <v>431</v>
      </c>
      <c r="C86" s="1429">
        <v>211.83167719354708</v>
      </c>
      <c r="D86" s="1430">
        <v>306.7202757036186</v>
      </c>
      <c r="E86" s="1429">
        <v>304.19230218915436</v>
      </c>
      <c r="F86" s="1429">
        <v>324.52535135026767</v>
      </c>
    </row>
    <row r="87" spans="1:6">
      <c r="A87" s="1426">
        <v>2018</v>
      </c>
      <c r="B87" s="1426" t="s">
        <v>432</v>
      </c>
      <c r="C87" s="1429">
        <v>261.20756672713139</v>
      </c>
      <c r="D87" s="1430">
        <v>308.84353741496597</v>
      </c>
      <c r="E87" s="1429">
        <v>295.87603709126404</v>
      </c>
      <c r="F87" s="1429">
        <v>331.94032812093104</v>
      </c>
    </row>
    <row r="88" spans="1:6">
      <c r="A88" s="1426">
        <v>2017</v>
      </c>
      <c r="B88" s="1426" t="s">
        <v>420</v>
      </c>
      <c r="C88" s="1429">
        <v>435.64356435643566</v>
      </c>
      <c r="D88" s="1430">
        <v>397.48953974895397</v>
      </c>
      <c r="E88" s="1429">
        <v>293.75764993880051</v>
      </c>
      <c r="F88" s="1429">
        <v>399.85523010284857</v>
      </c>
    </row>
    <row r="89" spans="1:6">
      <c r="A89" s="1426">
        <v>2017</v>
      </c>
      <c r="B89" s="1426" t="s">
        <v>423</v>
      </c>
      <c r="C89" s="1429">
        <v>350.58932285648257</v>
      </c>
      <c r="D89" s="1430">
        <v>456.45933014354068</v>
      </c>
      <c r="E89" s="1429">
        <v>372.71897810218979</v>
      </c>
      <c r="F89" s="1429">
        <v>407.06734013619354</v>
      </c>
    </row>
    <row r="90" spans="1:6">
      <c r="A90" s="1426">
        <v>2017</v>
      </c>
      <c r="B90" s="1426" t="s">
        <v>424</v>
      </c>
      <c r="C90" s="1429">
        <v>340.51263794944822</v>
      </c>
      <c r="D90" s="1430">
        <v>546.6531440162272</v>
      </c>
      <c r="E90" s="1429">
        <v>311.96860693263574</v>
      </c>
      <c r="F90" s="1429">
        <v>393.32874374729937</v>
      </c>
    </row>
    <row r="91" spans="1:6">
      <c r="A91" s="1426">
        <v>2017</v>
      </c>
      <c r="B91" s="1426" t="s">
        <v>425</v>
      </c>
      <c r="C91" s="1429">
        <v>467.98780487804879</v>
      </c>
      <c r="D91" s="1430">
        <v>471.25435540069685</v>
      </c>
      <c r="E91" s="1429">
        <v>183.50282485875707</v>
      </c>
      <c r="F91" s="1429">
        <v>372.59790922018527</v>
      </c>
    </row>
    <row r="92" spans="1:6">
      <c r="A92" s="1426">
        <v>2017</v>
      </c>
      <c r="B92" s="1426" t="s">
        <v>411</v>
      </c>
      <c r="C92" s="1429">
        <v>385.25305410122166</v>
      </c>
      <c r="D92" s="1430">
        <v>464.18732782369148</v>
      </c>
      <c r="E92" s="1429">
        <v>247.82468578794715</v>
      </c>
      <c r="F92" s="1429">
        <v>370.05623494579265</v>
      </c>
    </row>
    <row r="93" spans="1:6">
      <c r="A93" s="1426">
        <v>2017</v>
      </c>
      <c r="B93" s="1426" t="s">
        <v>426</v>
      </c>
      <c r="C93" s="1429">
        <v>310.76033257018918</v>
      </c>
      <c r="D93" s="1430">
        <v>383.36933045356369</v>
      </c>
      <c r="E93" s="1429">
        <v>274.2435996896819</v>
      </c>
      <c r="F93" s="1429">
        <v>351.75915795252234</v>
      </c>
    </row>
    <row r="94" spans="1:6">
      <c r="A94" s="1426">
        <v>2017</v>
      </c>
      <c r="B94" s="1426" t="s">
        <v>427</v>
      </c>
      <c r="C94" s="1429">
        <v>304.58053273587257</v>
      </c>
      <c r="D94" s="1430">
        <v>426.52329749103944</v>
      </c>
      <c r="E94" s="1429">
        <v>116.00417197821301</v>
      </c>
      <c r="F94" s="1429">
        <v>339.54012400893714</v>
      </c>
    </row>
    <row r="95" spans="1:6">
      <c r="A95" s="1426">
        <v>2017</v>
      </c>
      <c r="B95" s="1426" t="s">
        <v>428</v>
      </c>
      <c r="C95" s="1429">
        <v>252.48804952589921</v>
      </c>
      <c r="D95" s="1430">
        <v>378.20512820512823</v>
      </c>
      <c r="E95" s="1429">
        <v>208.68981714477437</v>
      </c>
      <c r="F95" s="1429">
        <v>335.17663810669484</v>
      </c>
    </row>
    <row r="96" spans="1:6">
      <c r="A96" s="1426">
        <v>2017</v>
      </c>
      <c r="B96" s="1426" t="s">
        <v>429</v>
      </c>
      <c r="C96" s="1429">
        <v>314.18767715948081</v>
      </c>
      <c r="D96" s="1430">
        <v>282.82828282828285</v>
      </c>
      <c r="E96" s="1429">
        <v>318.41691027659095</v>
      </c>
      <c r="F96" s="1429">
        <v>338.35578125342749</v>
      </c>
    </row>
    <row r="97" spans="1:6">
      <c r="A97" s="1426">
        <v>2017</v>
      </c>
      <c r="B97" s="1426" t="s">
        <v>430</v>
      </c>
      <c r="C97" s="1429">
        <v>346.72549930329774</v>
      </c>
      <c r="D97" s="1430">
        <v>303.89768574908646</v>
      </c>
      <c r="E97" s="1429">
        <v>329.3331047488428</v>
      </c>
      <c r="F97" s="1429">
        <v>344.98480723687749</v>
      </c>
    </row>
    <row r="98" spans="1:6">
      <c r="A98" s="1426">
        <v>2017</v>
      </c>
      <c r="B98" s="1426" t="s">
        <v>431</v>
      </c>
      <c r="C98" s="1429">
        <v>395.9846219564289</v>
      </c>
      <c r="D98" s="1430">
        <v>374.00681044267878</v>
      </c>
      <c r="E98" s="1429">
        <v>330.8310055865922</v>
      </c>
      <c r="F98" s="1429">
        <v>357.12396084687475</v>
      </c>
    </row>
    <row r="99" spans="1:6">
      <c r="A99" s="1426">
        <v>2017</v>
      </c>
      <c r="B99" s="1426" t="s">
        <v>432</v>
      </c>
      <c r="C99" s="1429">
        <v>225.58319280494661</v>
      </c>
      <c r="D99" s="1430">
        <v>397.0223325062035</v>
      </c>
      <c r="E99" s="1429">
        <v>292.18252564556064</v>
      </c>
      <c r="F99" s="1429">
        <v>345.39661697690588</v>
      </c>
    </row>
    <row r="100" spans="1:6">
      <c r="A100" s="1426">
        <v>2016</v>
      </c>
      <c r="B100" s="1426" t="s">
        <v>420</v>
      </c>
      <c r="C100" s="1429">
        <v>379.21489682939102</v>
      </c>
      <c r="D100" s="1430">
        <v>542.14123006833711</v>
      </c>
      <c r="E100" s="1429">
        <v>332.74647887323943</v>
      </c>
      <c r="F100" s="1429">
        <v>351.62259313257255</v>
      </c>
    </row>
    <row r="101" spans="1:6">
      <c r="A101" s="1426">
        <v>2016</v>
      </c>
      <c r="B101" s="1426" t="s">
        <v>423</v>
      </c>
      <c r="C101" s="1429">
        <v>308.41371918542336</v>
      </c>
      <c r="D101" s="1430">
        <v>500.88809946714031</v>
      </c>
      <c r="E101" s="1429">
        <v>231.24484748557296</v>
      </c>
      <c r="F101" s="1429">
        <v>351.25668973633333</v>
      </c>
    </row>
    <row r="102" spans="1:6">
      <c r="A102" s="1426">
        <v>2016</v>
      </c>
      <c r="B102" s="1426" t="s">
        <v>424</v>
      </c>
      <c r="C102" s="1429">
        <v>286.12025127131318</v>
      </c>
      <c r="D102" s="1430">
        <v>490.10477299185101</v>
      </c>
      <c r="E102" s="1429">
        <v>236.92191053828657</v>
      </c>
      <c r="F102" s="1429">
        <v>346.14682676105951</v>
      </c>
    </row>
    <row r="103" spans="1:6">
      <c r="A103" s="1426">
        <v>2016</v>
      </c>
      <c r="B103" s="1426" t="s">
        <v>425</v>
      </c>
      <c r="C103" s="1429">
        <v>357.17478766204738</v>
      </c>
      <c r="D103" s="1430">
        <v>456.00858369098711</v>
      </c>
      <c r="E103" s="1429">
        <v>252.97619047619048</v>
      </c>
      <c r="F103" s="1429">
        <v>335.91723971041966</v>
      </c>
    </row>
    <row r="104" spans="1:6">
      <c r="A104" s="1426">
        <v>2016</v>
      </c>
      <c r="B104" s="1426" t="s">
        <v>411</v>
      </c>
      <c r="C104" s="1429">
        <v>380.8481532147743</v>
      </c>
      <c r="D104" s="1430">
        <v>478.89182058047493</v>
      </c>
      <c r="E104" s="1429">
        <v>279.69613259668506</v>
      </c>
      <c r="F104" s="1429">
        <v>330.81237840318761</v>
      </c>
    </row>
    <row r="105" spans="1:6">
      <c r="A105" s="1426">
        <v>2016</v>
      </c>
      <c r="B105" s="1426" t="s">
        <v>426</v>
      </c>
      <c r="C105" s="1429">
        <v>310.14654053051385</v>
      </c>
      <c r="D105" s="1430">
        <v>409.87124463519314</v>
      </c>
      <c r="E105" s="1429">
        <v>366.19718309859155</v>
      </c>
      <c r="F105" s="1429">
        <v>359.03650397106531</v>
      </c>
    </row>
    <row r="106" spans="1:6">
      <c r="A106" s="1426">
        <v>2016</v>
      </c>
      <c r="B106" s="1426" t="s">
        <v>427</v>
      </c>
      <c r="C106" s="1429">
        <v>334.47524135783243</v>
      </c>
      <c r="D106" s="1430">
        <v>453.51043643263756</v>
      </c>
      <c r="E106" s="1429">
        <v>216.56050955414014</v>
      </c>
      <c r="F106" s="1429">
        <v>400.76988176522303</v>
      </c>
    </row>
    <row r="107" spans="1:6">
      <c r="A107" s="1426">
        <v>2016</v>
      </c>
      <c r="B107" s="1426" t="s">
        <v>428</v>
      </c>
      <c r="C107" s="1429">
        <v>334.91969066032124</v>
      </c>
      <c r="D107" s="1430">
        <v>433.09002433090023</v>
      </c>
      <c r="E107" s="1429">
        <v>358.79467414155573</v>
      </c>
      <c r="F107" s="1429">
        <v>422.79713560482543</v>
      </c>
    </row>
    <row r="108" spans="1:6">
      <c r="A108" s="1426">
        <v>2016</v>
      </c>
      <c r="B108" s="1426" t="s">
        <v>429</v>
      </c>
      <c r="C108" s="1429">
        <v>315.19895629484671</v>
      </c>
      <c r="D108" s="1430">
        <v>645.96273291925468</v>
      </c>
      <c r="E108" s="1429">
        <v>316.98113207547169</v>
      </c>
      <c r="F108" s="1429">
        <v>372.35854371094314</v>
      </c>
    </row>
    <row r="109" spans="1:6">
      <c r="A109" s="1426">
        <v>2016</v>
      </c>
      <c r="B109" s="1426" t="s">
        <v>430</v>
      </c>
      <c r="C109" s="1429">
        <v>398.8930618699348</v>
      </c>
      <c r="D109" s="1430">
        <v>425.27754056362085</v>
      </c>
      <c r="E109" s="1429">
        <v>237.02031602708803</v>
      </c>
      <c r="F109" s="1429">
        <v>380.96367591847928</v>
      </c>
    </row>
    <row r="110" spans="1:6">
      <c r="A110" s="1426">
        <v>2016</v>
      </c>
      <c r="B110" s="1426" t="s">
        <v>431</v>
      </c>
      <c r="C110" s="1429">
        <v>422.75388139475695</v>
      </c>
      <c r="D110" s="1430">
        <v>378.98089171974522</v>
      </c>
      <c r="E110" s="1429">
        <v>376.29937629937632</v>
      </c>
      <c r="F110" s="1429">
        <v>378.79618052140847</v>
      </c>
    </row>
    <row r="111" spans="1:6">
      <c r="A111" s="1426">
        <v>2016</v>
      </c>
      <c r="B111" s="1426" t="s">
        <v>432</v>
      </c>
      <c r="C111" s="1429">
        <v>259.29152148664343</v>
      </c>
      <c r="D111" s="1430">
        <v>434.52380952380952</v>
      </c>
      <c r="E111" s="1429">
        <v>112.78195488721805</v>
      </c>
      <c r="F111" s="1429">
        <v>386.20345092161375</v>
      </c>
    </row>
    <row r="112" spans="1:6">
      <c r="A112" s="1426">
        <v>2015</v>
      </c>
      <c r="B112" s="1426" t="s">
        <v>420</v>
      </c>
      <c r="C112" s="1429">
        <v>339.86747653230259</v>
      </c>
      <c r="D112" s="1430">
        <v>929.82456140350882</v>
      </c>
      <c r="E112" s="1429">
        <v>340.04683840749414</v>
      </c>
      <c r="F112" s="1429">
        <v>391.21671549783349</v>
      </c>
    </row>
    <row r="113" spans="1:6">
      <c r="A113" s="1426">
        <v>2015</v>
      </c>
      <c r="B113" s="1426" t="s">
        <v>423</v>
      </c>
      <c r="C113" s="1429">
        <v>355.92343507501295</v>
      </c>
      <c r="D113" s="1430">
        <v>551.35135135135135</v>
      </c>
      <c r="E113" s="1429">
        <v>237.24792408066429</v>
      </c>
      <c r="F113" s="1429">
        <v>402.58999492986311</v>
      </c>
    </row>
    <row r="114" spans="1:6">
      <c r="A114" s="1426">
        <v>2015</v>
      </c>
      <c r="B114" s="1426" t="s">
        <v>424</v>
      </c>
      <c r="C114" s="1429">
        <v>298.32626966453557</v>
      </c>
      <c r="D114" s="1430">
        <v>526.31578947368416</v>
      </c>
      <c r="E114" s="1429">
        <v>225.62943834732084</v>
      </c>
      <c r="F114" s="1429">
        <v>401.42666937604446</v>
      </c>
    </row>
    <row r="115" spans="1:6">
      <c r="A115" s="1426">
        <v>2015</v>
      </c>
      <c r="B115" s="1426" t="s">
        <v>425</v>
      </c>
      <c r="C115" s="1429">
        <v>302.95950155763239</v>
      </c>
      <c r="D115" s="1430">
        <v>658.22784810126586</v>
      </c>
      <c r="E115" s="1429">
        <v>231.27035830618894</v>
      </c>
      <c r="F115" s="1429">
        <v>408.51009027804611</v>
      </c>
    </row>
    <row r="116" spans="1:6">
      <c r="A116" s="1426">
        <v>2015</v>
      </c>
      <c r="B116" s="1426" t="s">
        <v>411</v>
      </c>
      <c r="C116" s="1429">
        <v>333.291473062916</v>
      </c>
      <c r="D116" s="1430">
        <v>456.66235446313067</v>
      </c>
      <c r="E116" s="1429">
        <v>247.05882352941177</v>
      </c>
      <c r="F116" s="1429">
        <v>379.99667594913524</v>
      </c>
    </row>
    <row r="117" spans="1:6">
      <c r="A117" s="1426">
        <v>2015</v>
      </c>
      <c r="B117" s="1426" t="s">
        <v>426</v>
      </c>
      <c r="C117" s="1429">
        <v>334.14174077068174</v>
      </c>
      <c r="D117" s="1430">
        <v>536.84210526315792</v>
      </c>
      <c r="E117" s="1429">
        <v>256.98988697204044</v>
      </c>
      <c r="F117" s="1429">
        <v>383.11472827161776</v>
      </c>
    </row>
    <row r="118" spans="1:6">
      <c r="A118" s="1426">
        <v>2015</v>
      </c>
      <c r="B118" s="1426" t="s">
        <v>427</v>
      </c>
      <c r="C118" s="1429">
        <v>283.43044972359183</v>
      </c>
      <c r="D118" s="1430">
        <v>459.18367346938777</v>
      </c>
      <c r="E118" s="1429">
        <v>302.92532717474978</v>
      </c>
      <c r="F118" s="1429">
        <v>360.97990743313363</v>
      </c>
    </row>
    <row r="119" spans="1:6">
      <c r="A119" s="1426">
        <v>2015</v>
      </c>
      <c r="B119" s="1426" t="s">
        <v>428</v>
      </c>
      <c r="C119" s="1429">
        <v>277.69679300291546</v>
      </c>
      <c r="D119" s="1430">
        <v>331.41210374639769</v>
      </c>
      <c r="E119" s="1429">
        <v>230.28304479252543</v>
      </c>
      <c r="F119" s="1429">
        <v>379.16742211184521</v>
      </c>
    </row>
    <row r="120" spans="1:6">
      <c r="A120" s="1426">
        <v>2015</v>
      </c>
      <c r="B120" s="1426" t="s">
        <v>429</v>
      </c>
      <c r="C120" s="1429">
        <v>295.73002754820936</v>
      </c>
      <c r="D120" s="1430">
        <v>302.8391167192429</v>
      </c>
      <c r="E120" s="1429">
        <v>237.59205891770733</v>
      </c>
      <c r="F120" s="1429">
        <v>373.27138785533054</v>
      </c>
    </row>
    <row r="121" spans="1:6">
      <c r="A121" s="1426">
        <v>2015</v>
      </c>
      <c r="B121" s="1426" t="s">
        <v>430</v>
      </c>
      <c r="C121" s="1429">
        <v>368.11023622047242</v>
      </c>
      <c r="D121" s="1430">
        <v>541.32231404958679</v>
      </c>
      <c r="E121" s="1429">
        <v>260.18937834499792</v>
      </c>
      <c r="F121" s="1429">
        <v>353.75050448112654</v>
      </c>
    </row>
    <row r="122" spans="1:6">
      <c r="A122" s="1426">
        <v>2015</v>
      </c>
      <c r="B122" s="1426" t="s">
        <v>431</v>
      </c>
      <c r="C122" s="1429">
        <v>396.06815203145476</v>
      </c>
      <c r="D122" s="1430">
        <v>453.125</v>
      </c>
      <c r="E122" s="1429">
        <v>170.8595387840671</v>
      </c>
      <c r="F122" s="1429">
        <v>353.04989680142728</v>
      </c>
    </row>
    <row r="123" spans="1:6">
      <c r="A123" s="1426">
        <v>2015</v>
      </c>
      <c r="B123" s="1426" t="s">
        <v>432</v>
      </c>
      <c r="C123" s="1429">
        <v>395.77200963339578</v>
      </c>
      <c r="D123" s="1430">
        <v>553.42465753424653</v>
      </c>
      <c r="E123" s="1429">
        <v>263.75496313102667</v>
      </c>
      <c r="F123" s="1429">
        <v>365.97136134793936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D4:D123 C4:C123 C3:D3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tabColor rgb="FF92D050"/>
  </sheetPr>
  <dimension ref="A1:F125"/>
  <sheetViews>
    <sheetView zoomScale="140" zoomScaleNormal="140" zoomScaleSheetLayoutView="55" workbookViewId="0">
      <pane ySplit="2" topLeftCell="A3" activePane="bottomLeft" state="frozen"/>
      <selection pane="bottomLeft"/>
    </sheetView>
  </sheetViews>
  <sheetFormatPr baseColWidth="10" defaultColWidth="9.69140625" defaultRowHeight="14.15"/>
  <cols>
    <col min="1" max="1" width="14.69140625" customWidth="1"/>
    <col min="2" max="2" width="8.15234375" bestFit="1" customWidth="1"/>
    <col min="3" max="4" width="14.69140625" customWidth="1"/>
    <col min="5" max="5" width="16.69140625" customWidth="1"/>
    <col min="6" max="14" width="14.69140625" customWidth="1"/>
  </cols>
  <sheetData>
    <row r="1" spans="1:6" ht="18">
      <c r="A1" s="1404" t="s">
        <v>666</v>
      </c>
      <c r="B1" s="1403"/>
      <c r="C1" s="1403"/>
      <c r="D1" s="1403"/>
      <c r="E1" s="1403"/>
      <c r="F1" s="1403"/>
    </row>
    <row r="2" spans="1:6" ht="34.75">
      <c r="A2" s="1408" t="s">
        <v>118</v>
      </c>
      <c r="B2" s="1408" t="s">
        <v>433</v>
      </c>
      <c r="C2" s="1409" t="s">
        <v>409</v>
      </c>
      <c r="D2" s="1409" t="s">
        <v>421</v>
      </c>
      <c r="E2" s="1409" t="s">
        <v>450</v>
      </c>
      <c r="F2" s="1409" t="s">
        <v>422</v>
      </c>
    </row>
    <row r="3" spans="1:6">
      <c r="A3" s="1458"/>
      <c r="B3" s="1458"/>
      <c r="C3" s="1457" t="s">
        <v>496</v>
      </c>
      <c r="D3" s="1457" t="s">
        <v>484</v>
      </c>
      <c r="E3" s="1457" t="s">
        <v>497</v>
      </c>
      <c r="F3" s="1457" t="s">
        <v>498</v>
      </c>
    </row>
    <row r="4" spans="1:6">
      <c r="A4" s="1426">
        <v>2024</v>
      </c>
      <c r="B4" s="1426" t="s">
        <v>420</v>
      </c>
      <c r="C4" s="1429">
        <v>644</v>
      </c>
      <c r="D4" s="1430">
        <v>969</v>
      </c>
      <c r="E4" s="1429">
        <v>3900</v>
      </c>
      <c r="F4" s="1429">
        <v>3444</v>
      </c>
    </row>
    <row r="5" spans="1:6">
      <c r="A5" s="1426">
        <v>2024</v>
      </c>
      <c r="B5" s="1426" t="s">
        <v>423</v>
      </c>
      <c r="C5" s="1429">
        <v>763</v>
      </c>
      <c r="D5" s="1430">
        <v>1240</v>
      </c>
      <c r="E5" s="1429">
        <v>2875</v>
      </c>
      <c r="F5" s="1429">
        <v>2744</v>
      </c>
    </row>
    <row r="6" spans="1:6">
      <c r="A6" s="1426">
        <v>2024</v>
      </c>
      <c r="B6" s="1426" t="s">
        <v>424</v>
      </c>
      <c r="C6" s="1429">
        <v>1370</v>
      </c>
      <c r="D6" s="1430">
        <v>1189</v>
      </c>
      <c r="E6" s="1429">
        <v>3330</v>
      </c>
      <c r="F6" s="1429">
        <v>6105</v>
      </c>
    </row>
    <row r="7" spans="1:6">
      <c r="A7" s="1426">
        <v>2024</v>
      </c>
      <c r="B7" s="1426" t="s">
        <v>425</v>
      </c>
      <c r="C7" s="1429">
        <v>1640</v>
      </c>
      <c r="D7" s="1430">
        <v>1738</v>
      </c>
      <c r="E7" s="1429">
        <v>3136</v>
      </c>
      <c r="F7" s="1429">
        <v>1644</v>
      </c>
    </row>
    <row r="8" spans="1:6">
      <c r="A8" s="1426">
        <v>2024</v>
      </c>
      <c r="B8" s="1426" t="s">
        <v>411</v>
      </c>
      <c r="C8" s="1429">
        <v>958</v>
      </c>
      <c r="D8" s="1430">
        <v>899</v>
      </c>
      <c r="E8" s="1429">
        <v>2345</v>
      </c>
      <c r="F8" s="1429">
        <v>798</v>
      </c>
    </row>
    <row r="9" spans="1:6">
      <c r="A9" s="1426">
        <v>2024</v>
      </c>
      <c r="B9" s="1426" t="s">
        <v>426</v>
      </c>
      <c r="C9" s="1429">
        <v>645</v>
      </c>
      <c r="D9" s="1430">
        <v>888</v>
      </c>
      <c r="E9" s="1429">
        <v>2392</v>
      </c>
      <c r="F9" s="1429">
        <v>1164</v>
      </c>
    </row>
    <row r="10" spans="1:6">
      <c r="A10" s="1426">
        <v>2024</v>
      </c>
      <c r="B10" s="1426" t="s">
        <v>427</v>
      </c>
      <c r="C10" s="1429">
        <v>531</v>
      </c>
      <c r="D10" s="1430">
        <v>887</v>
      </c>
      <c r="E10" s="1429">
        <v>2447</v>
      </c>
      <c r="F10" s="1429">
        <v>735</v>
      </c>
    </row>
    <row r="11" spans="1:6">
      <c r="A11" s="1426">
        <v>2024</v>
      </c>
      <c r="B11" s="1426" t="s">
        <v>428</v>
      </c>
      <c r="C11" s="1429">
        <v>825</v>
      </c>
      <c r="D11" s="1430">
        <v>187</v>
      </c>
      <c r="E11" s="1429">
        <v>2192</v>
      </c>
      <c r="F11" s="1429">
        <v>1028</v>
      </c>
    </row>
    <row r="12" spans="1:6">
      <c r="A12" s="1426">
        <v>2024</v>
      </c>
      <c r="B12" s="1426" t="s">
        <v>429</v>
      </c>
      <c r="C12" s="1429">
        <v>840</v>
      </c>
      <c r="D12" s="1430">
        <v>450</v>
      </c>
      <c r="E12" s="1429">
        <v>2125</v>
      </c>
      <c r="F12" s="1429">
        <v>750</v>
      </c>
    </row>
    <row r="13" spans="1:6">
      <c r="A13" s="1426">
        <v>2024</v>
      </c>
      <c r="B13" s="1426" t="s">
        <v>430</v>
      </c>
      <c r="C13" s="1429">
        <v>832</v>
      </c>
      <c r="D13" s="1430">
        <v>624</v>
      </c>
      <c r="E13" s="1429">
        <v>2236</v>
      </c>
      <c r="F13" s="1429">
        <v>1144</v>
      </c>
    </row>
    <row r="14" spans="1:6">
      <c r="A14" s="1426">
        <v>2024</v>
      </c>
      <c r="B14" s="1426" t="s">
        <v>431</v>
      </c>
      <c r="C14" s="1429">
        <v>671</v>
      </c>
      <c r="D14" s="1430">
        <v>1060</v>
      </c>
      <c r="E14" s="1429">
        <v>2996</v>
      </c>
      <c r="F14" s="1429">
        <v>2366</v>
      </c>
    </row>
    <row r="15" spans="1:6">
      <c r="A15" s="1426">
        <v>2024</v>
      </c>
      <c r="B15" s="1426" t="s">
        <v>432</v>
      </c>
      <c r="C15" s="1429">
        <v>871</v>
      </c>
      <c r="D15" s="1430">
        <v>837</v>
      </c>
      <c r="E15" s="1429">
        <v>2561</v>
      </c>
      <c r="F15" s="1429">
        <v>820</v>
      </c>
    </row>
    <row r="16" spans="1:6">
      <c r="A16" s="1426">
        <v>2023</v>
      </c>
      <c r="B16" s="1426" t="s">
        <v>420</v>
      </c>
      <c r="C16" s="1429">
        <v>668</v>
      </c>
      <c r="D16" s="1430">
        <v>1877</v>
      </c>
      <c r="E16" s="1429">
        <v>3444</v>
      </c>
      <c r="F16" s="1429">
        <v>1772</v>
      </c>
    </row>
    <row r="17" spans="1:6">
      <c r="A17" s="1426">
        <v>2023</v>
      </c>
      <c r="B17" s="1426" t="s">
        <v>423</v>
      </c>
      <c r="C17" s="1429">
        <v>1023</v>
      </c>
      <c r="D17" s="1430">
        <v>2659</v>
      </c>
      <c r="E17" s="1429">
        <v>4389</v>
      </c>
      <c r="F17" s="1429">
        <v>2381</v>
      </c>
    </row>
    <row r="18" spans="1:6">
      <c r="A18" s="1426">
        <v>2023</v>
      </c>
      <c r="B18" s="1426" t="s">
        <v>424</v>
      </c>
      <c r="C18" s="1429">
        <v>1317</v>
      </c>
      <c r="D18" s="1430">
        <v>2537</v>
      </c>
      <c r="E18" s="1429">
        <v>4614</v>
      </c>
      <c r="F18" s="1429">
        <v>1647</v>
      </c>
    </row>
    <row r="19" spans="1:6">
      <c r="A19" s="1426">
        <v>2023</v>
      </c>
      <c r="B19" s="1426" t="s">
        <v>425</v>
      </c>
      <c r="C19" s="1429">
        <v>632</v>
      </c>
      <c r="D19" s="1430">
        <v>1225</v>
      </c>
      <c r="E19" s="1429">
        <v>3984</v>
      </c>
      <c r="F19" s="1429">
        <v>1829</v>
      </c>
    </row>
    <row r="20" spans="1:6">
      <c r="A20" s="1426">
        <v>2023</v>
      </c>
      <c r="B20" s="1426" t="s">
        <v>411</v>
      </c>
      <c r="C20" s="1429">
        <v>448</v>
      </c>
      <c r="D20" s="1430">
        <v>927</v>
      </c>
      <c r="E20" s="1429">
        <v>3364</v>
      </c>
      <c r="F20" s="1429">
        <v>1542</v>
      </c>
    </row>
    <row r="21" spans="1:6">
      <c r="A21" s="1426">
        <v>2023</v>
      </c>
      <c r="B21" s="1426" t="s">
        <v>426</v>
      </c>
      <c r="C21" s="1429">
        <v>673</v>
      </c>
      <c r="D21" s="1430">
        <v>3386</v>
      </c>
      <c r="E21" s="1429">
        <v>3101</v>
      </c>
      <c r="F21" s="1429">
        <v>1280</v>
      </c>
    </row>
    <row r="22" spans="1:6">
      <c r="A22" s="1426">
        <v>2023</v>
      </c>
      <c r="B22" s="1426" t="s">
        <v>427</v>
      </c>
      <c r="C22" s="1429">
        <v>337</v>
      </c>
      <c r="D22" s="1430">
        <v>1222</v>
      </c>
      <c r="E22" s="1429">
        <v>2871</v>
      </c>
      <c r="F22" s="1429">
        <v>777</v>
      </c>
    </row>
    <row r="23" spans="1:6">
      <c r="A23" s="1426">
        <v>2023</v>
      </c>
      <c r="B23" s="1426" t="s">
        <v>428</v>
      </c>
      <c r="C23" s="1429">
        <v>411</v>
      </c>
      <c r="D23" s="1430">
        <v>1917</v>
      </c>
      <c r="E23" s="1429">
        <v>2631</v>
      </c>
      <c r="F23" s="1429">
        <v>1165</v>
      </c>
    </row>
    <row r="24" spans="1:6">
      <c r="A24" s="1426">
        <v>2023</v>
      </c>
      <c r="B24" s="1426" t="s">
        <v>429</v>
      </c>
      <c r="C24" s="1429">
        <v>402</v>
      </c>
      <c r="D24" s="1430">
        <v>1585</v>
      </c>
      <c r="E24" s="1429">
        <v>2762</v>
      </c>
      <c r="F24" s="1429">
        <v>1181</v>
      </c>
    </row>
    <row r="25" spans="1:6">
      <c r="A25" s="1426">
        <v>2023</v>
      </c>
      <c r="B25" s="1426" t="s">
        <v>430</v>
      </c>
      <c r="C25" s="1429">
        <v>476</v>
      </c>
      <c r="D25" s="1430">
        <v>1172</v>
      </c>
      <c r="E25" s="1429">
        <v>2811</v>
      </c>
      <c r="F25" s="1429">
        <v>1546</v>
      </c>
    </row>
    <row r="26" spans="1:6">
      <c r="A26" s="1426">
        <v>2023</v>
      </c>
      <c r="B26" s="1426" t="s">
        <v>431</v>
      </c>
      <c r="C26" s="1429">
        <v>554</v>
      </c>
      <c r="D26" s="1430">
        <v>845</v>
      </c>
      <c r="E26" s="1429">
        <v>3073</v>
      </c>
      <c r="F26" s="1429">
        <v>2631</v>
      </c>
    </row>
    <row r="27" spans="1:6">
      <c r="A27" s="1426">
        <v>2023</v>
      </c>
      <c r="B27" s="1426" t="s">
        <v>432</v>
      </c>
      <c r="C27" s="1429">
        <v>417</v>
      </c>
      <c r="D27" s="1430">
        <v>744</v>
      </c>
      <c r="E27" s="1429">
        <v>2760</v>
      </c>
      <c r="F27" s="1429">
        <v>2091</v>
      </c>
    </row>
    <row r="28" spans="1:6">
      <c r="A28" s="1426">
        <v>2022</v>
      </c>
      <c r="B28" s="1426" t="s">
        <v>420</v>
      </c>
      <c r="C28" s="1429">
        <v>738</v>
      </c>
      <c r="D28" s="1430">
        <v>3804</v>
      </c>
      <c r="E28" s="1429">
        <v>3031</v>
      </c>
      <c r="F28" s="1429">
        <v>1557</v>
      </c>
    </row>
    <row r="29" spans="1:6">
      <c r="A29" s="1426">
        <v>2022</v>
      </c>
      <c r="B29" s="1426" t="s">
        <v>423</v>
      </c>
      <c r="C29" s="1429">
        <v>1090</v>
      </c>
      <c r="D29" s="1430">
        <v>1662</v>
      </c>
      <c r="E29" s="1429">
        <v>2961</v>
      </c>
      <c r="F29" s="1429">
        <v>2279</v>
      </c>
    </row>
    <row r="30" spans="1:6">
      <c r="A30" s="1426">
        <v>2022</v>
      </c>
      <c r="B30" s="1426" t="s">
        <v>424</v>
      </c>
      <c r="C30" s="1429">
        <v>750</v>
      </c>
      <c r="D30" s="1430">
        <v>3465</v>
      </c>
      <c r="E30" s="1429">
        <v>3260</v>
      </c>
      <c r="F30" s="1429">
        <v>2788</v>
      </c>
    </row>
    <row r="31" spans="1:6">
      <c r="A31" s="1426">
        <v>2022</v>
      </c>
      <c r="B31" s="1426" t="s">
        <v>425</v>
      </c>
      <c r="C31" s="1429">
        <v>548</v>
      </c>
      <c r="D31" s="1430">
        <v>1000</v>
      </c>
      <c r="E31" s="1429">
        <v>2633</v>
      </c>
      <c r="F31" s="1429">
        <v>2022</v>
      </c>
    </row>
    <row r="32" spans="1:6">
      <c r="A32" s="1426">
        <v>2022</v>
      </c>
      <c r="B32" s="1426" t="s">
        <v>411</v>
      </c>
      <c r="C32" s="1429">
        <v>622</v>
      </c>
      <c r="D32" s="1430">
        <v>1014</v>
      </c>
      <c r="E32" s="1429">
        <v>2293</v>
      </c>
      <c r="F32" s="1429">
        <v>2632</v>
      </c>
    </row>
    <row r="33" spans="1:6">
      <c r="A33" s="1426">
        <v>2022</v>
      </c>
      <c r="B33" s="1426" t="s">
        <v>426</v>
      </c>
      <c r="C33" s="1429">
        <v>261</v>
      </c>
      <c r="D33" s="1430">
        <v>1810</v>
      </c>
      <c r="E33" s="1429">
        <v>2207</v>
      </c>
      <c r="F33" s="1429">
        <v>2189</v>
      </c>
    </row>
    <row r="34" spans="1:6">
      <c r="A34" s="1426">
        <v>2022</v>
      </c>
      <c r="B34" s="1426" t="s">
        <v>427</v>
      </c>
      <c r="C34" s="1429">
        <v>500</v>
      </c>
      <c r="D34" s="1430">
        <v>522</v>
      </c>
      <c r="E34" s="1429">
        <v>1922</v>
      </c>
      <c r="F34" s="1429">
        <v>9127</v>
      </c>
    </row>
    <row r="35" spans="1:6">
      <c r="A35" s="1426">
        <v>2022</v>
      </c>
      <c r="B35" s="1426" t="s">
        <v>428</v>
      </c>
      <c r="C35" s="1429">
        <v>1033</v>
      </c>
      <c r="D35" s="1430">
        <v>1420</v>
      </c>
      <c r="E35" s="1429">
        <v>2938</v>
      </c>
      <c r="F35" s="1429">
        <v>2298</v>
      </c>
    </row>
    <row r="36" spans="1:6">
      <c r="A36" s="1426">
        <v>2022</v>
      </c>
      <c r="B36" s="1426" t="s">
        <v>429</v>
      </c>
      <c r="C36" s="1429">
        <v>841</v>
      </c>
      <c r="D36" s="1430">
        <v>2097</v>
      </c>
      <c r="E36" s="1429">
        <v>4192</v>
      </c>
      <c r="F36" s="1429">
        <v>1859</v>
      </c>
    </row>
    <row r="37" spans="1:6">
      <c r="A37" s="1426">
        <v>2022</v>
      </c>
      <c r="B37" s="1426" t="s">
        <v>430</v>
      </c>
      <c r="C37" s="1429">
        <v>975</v>
      </c>
      <c r="D37" s="1430">
        <v>2572</v>
      </c>
      <c r="E37" s="1429">
        <v>4535</v>
      </c>
      <c r="F37" s="1429">
        <v>1386</v>
      </c>
    </row>
    <row r="38" spans="1:6">
      <c r="A38" s="1426">
        <v>2022</v>
      </c>
      <c r="B38" s="1426" t="s">
        <v>431</v>
      </c>
      <c r="C38" s="1429">
        <v>954</v>
      </c>
      <c r="D38" s="1430">
        <v>1528</v>
      </c>
      <c r="E38" s="1429">
        <v>4610</v>
      </c>
      <c r="F38" s="1429">
        <v>1750</v>
      </c>
    </row>
    <row r="39" spans="1:6">
      <c r="A39" s="1426">
        <v>2022</v>
      </c>
      <c r="B39" s="1426" t="s">
        <v>432</v>
      </c>
      <c r="C39" s="1429">
        <v>530</v>
      </c>
      <c r="D39" s="1430">
        <v>1312</v>
      </c>
      <c r="E39" s="1429">
        <v>4346</v>
      </c>
      <c r="F39" s="1429">
        <v>3469</v>
      </c>
    </row>
    <row r="40" spans="1:6">
      <c r="A40" s="1426">
        <v>2021</v>
      </c>
      <c r="B40" s="1426" t="s">
        <v>420</v>
      </c>
      <c r="C40" s="1429">
        <v>714</v>
      </c>
      <c r="D40" s="1430">
        <v>1856</v>
      </c>
      <c r="E40" s="1429">
        <v>2348</v>
      </c>
      <c r="F40" s="1429">
        <v>1216</v>
      </c>
    </row>
    <row r="41" spans="1:6">
      <c r="A41" s="1426">
        <v>2021</v>
      </c>
      <c r="B41" s="1426" t="s">
        <v>423</v>
      </c>
      <c r="C41" s="1429">
        <v>428</v>
      </c>
      <c r="D41" s="1430">
        <v>1715</v>
      </c>
      <c r="E41" s="1429">
        <v>3047</v>
      </c>
      <c r="F41" s="1429">
        <v>847</v>
      </c>
    </row>
    <row r="42" spans="1:6">
      <c r="A42" s="1426">
        <v>2021</v>
      </c>
      <c r="B42" s="1426" t="s">
        <v>424</v>
      </c>
      <c r="C42" s="1429">
        <v>477</v>
      </c>
      <c r="D42" s="1430">
        <v>2219</v>
      </c>
      <c r="E42" s="1429">
        <v>3033</v>
      </c>
      <c r="F42" s="1429">
        <v>1098</v>
      </c>
    </row>
    <row r="43" spans="1:6">
      <c r="A43" s="1426">
        <v>2021</v>
      </c>
      <c r="B43" s="1426" t="s">
        <v>425</v>
      </c>
      <c r="C43" s="1429">
        <v>1658</v>
      </c>
      <c r="D43" s="1430">
        <v>1253</v>
      </c>
      <c r="E43" s="1429">
        <v>3074</v>
      </c>
      <c r="F43" s="1429">
        <v>1466</v>
      </c>
    </row>
    <row r="44" spans="1:6">
      <c r="A44" s="1426">
        <v>2021</v>
      </c>
      <c r="B44" s="1426" t="s">
        <v>411</v>
      </c>
      <c r="C44" s="1429">
        <v>1433</v>
      </c>
      <c r="D44" s="1430">
        <v>685</v>
      </c>
      <c r="E44" s="1429">
        <v>2683</v>
      </c>
      <c r="F44" s="1429">
        <v>1787</v>
      </c>
    </row>
    <row r="45" spans="1:6">
      <c r="A45" s="1426">
        <v>2021</v>
      </c>
      <c r="B45" s="1426" t="s">
        <v>426</v>
      </c>
      <c r="C45" s="1429">
        <v>764</v>
      </c>
      <c r="D45" s="1430">
        <v>768</v>
      </c>
      <c r="E45" s="1429">
        <v>2512</v>
      </c>
      <c r="F45" s="1429">
        <v>1220</v>
      </c>
    </row>
    <row r="46" spans="1:6">
      <c r="A46" s="1426">
        <v>2021</v>
      </c>
      <c r="B46" s="1426" t="s">
        <v>427</v>
      </c>
      <c r="C46" s="1429">
        <v>1019</v>
      </c>
      <c r="D46" s="1430">
        <v>1122</v>
      </c>
      <c r="E46" s="1429">
        <v>1933</v>
      </c>
      <c r="F46" s="1429">
        <v>2197</v>
      </c>
    </row>
    <row r="47" spans="1:6">
      <c r="A47" s="1426">
        <v>2021</v>
      </c>
      <c r="B47" s="1426" t="s">
        <v>428</v>
      </c>
      <c r="C47" s="1429">
        <v>1446</v>
      </c>
      <c r="D47" s="1430">
        <v>509</v>
      </c>
      <c r="E47" s="1429">
        <v>2038</v>
      </c>
      <c r="F47" s="1429">
        <v>602</v>
      </c>
    </row>
    <row r="48" spans="1:6">
      <c r="A48" s="1426">
        <v>2021</v>
      </c>
      <c r="B48" s="1426" t="s">
        <v>429</v>
      </c>
      <c r="C48" s="1429">
        <v>968</v>
      </c>
      <c r="D48" s="1430">
        <v>851</v>
      </c>
      <c r="E48" s="1429">
        <v>2378</v>
      </c>
      <c r="F48" s="1429">
        <v>1086</v>
      </c>
    </row>
    <row r="49" spans="1:6">
      <c r="A49" s="1426">
        <v>2021</v>
      </c>
      <c r="B49" s="1426" t="s">
        <v>430</v>
      </c>
      <c r="C49" s="1429">
        <v>715</v>
      </c>
      <c r="D49" s="1430">
        <v>2871</v>
      </c>
      <c r="E49" s="1429">
        <v>2946</v>
      </c>
      <c r="F49" s="1429">
        <v>1062</v>
      </c>
    </row>
    <row r="50" spans="1:6">
      <c r="A50" s="1426">
        <v>2021</v>
      </c>
      <c r="B50" s="1426" t="s">
        <v>431</v>
      </c>
      <c r="C50" s="1429">
        <v>464</v>
      </c>
      <c r="D50" s="1430">
        <v>2270</v>
      </c>
      <c r="E50" s="1429">
        <v>2782</v>
      </c>
      <c r="F50" s="1429">
        <v>1066</v>
      </c>
    </row>
    <row r="51" spans="1:6">
      <c r="A51" s="1426">
        <v>2021</v>
      </c>
      <c r="B51" s="1426" t="s">
        <v>432</v>
      </c>
      <c r="C51" s="1429">
        <v>464</v>
      </c>
      <c r="D51" s="1430">
        <v>2691</v>
      </c>
      <c r="E51" s="1429">
        <v>3248</v>
      </c>
      <c r="F51" s="1429">
        <v>2160</v>
      </c>
    </row>
    <row r="52" spans="1:6">
      <c r="A52" s="1426">
        <v>2020</v>
      </c>
      <c r="B52" s="1426" t="s">
        <v>420</v>
      </c>
      <c r="C52" s="1429">
        <v>502</v>
      </c>
      <c r="D52" s="1430">
        <v>4269</v>
      </c>
      <c r="E52" s="1429">
        <v>3389</v>
      </c>
      <c r="F52" s="1429">
        <v>3433</v>
      </c>
    </row>
    <row r="53" spans="1:6">
      <c r="A53" s="1426">
        <v>2020</v>
      </c>
      <c r="B53" s="1426" t="s">
        <v>423</v>
      </c>
      <c r="C53" s="1429">
        <v>585</v>
      </c>
      <c r="D53" s="1430">
        <v>2086</v>
      </c>
      <c r="E53" s="1429">
        <v>2507</v>
      </c>
      <c r="F53" s="1429">
        <v>1704</v>
      </c>
    </row>
    <row r="54" spans="1:6">
      <c r="A54" s="1426">
        <v>2020</v>
      </c>
      <c r="B54" s="1426" t="s">
        <v>424</v>
      </c>
      <c r="C54" s="1429">
        <v>1022</v>
      </c>
      <c r="D54" s="1430">
        <v>1633</v>
      </c>
      <c r="E54" s="1429">
        <v>4223</v>
      </c>
      <c r="F54" s="1429">
        <v>1606</v>
      </c>
    </row>
    <row r="55" spans="1:6">
      <c r="A55" s="1426">
        <v>2020</v>
      </c>
      <c r="B55" s="1426" t="s">
        <v>425</v>
      </c>
      <c r="C55" s="1429">
        <v>743</v>
      </c>
      <c r="D55" s="1430">
        <v>921</v>
      </c>
      <c r="E55" s="1429">
        <v>2928</v>
      </c>
      <c r="F55" s="1429">
        <v>1112</v>
      </c>
    </row>
    <row r="56" spans="1:6">
      <c r="A56" s="1426">
        <v>2020</v>
      </c>
      <c r="B56" s="1426" t="s">
        <v>411</v>
      </c>
      <c r="C56" s="1429">
        <v>807</v>
      </c>
      <c r="D56" s="1430">
        <v>1133</v>
      </c>
      <c r="E56" s="1429">
        <v>2421</v>
      </c>
      <c r="F56" s="1429">
        <v>1264</v>
      </c>
    </row>
    <row r="57" spans="1:6">
      <c r="A57" s="1426">
        <v>2020</v>
      </c>
      <c r="B57" s="1426" t="s">
        <v>426</v>
      </c>
      <c r="C57" s="1429">
        <v>870</v>
      </c>
      <c r="D57" s="1430">
        <v>1034</v>
      </c>
      <c r="E57" s="1429">
        <v>1653</v>
      </c>
      <c r="F57" s="1429">
        <v>1170</v>
      </c>
    </row>
    <row r="58" spans="1:6">
      <c r="A58" s="1426">
        <v>2020</v>
      </c>
      <c r="B58" s="1426" t="s">
        <v>427</v>
      </c>
      <c r="C58" s="1429">
        <v>495</v>
      </c>
      <c r="D58" s="1430">
        <v>392</v>
      </c>
      <c r="E58" s="1429">
        <v>1513</v>
      </c>
      <c r="F58" s="1429">
        <v>746</v>
      </c>
    </row>
    <row r="59" spans="1:6">
      <c r="A59" s="1426">
        <v>2020</v>
      </c>
      <c r="B59" s="1426" t="s">
        <v>428</v>
      </c>
      <c r="C59" s="1429">
        <v>619</v>
      </c>
      <c r="D59" s="1430">
        <v>830</v>
      </c>
      <c r="E59" s="1429">
        <v>1705</v>
      </c>
      <c r="F59" s="1429">
        <v>1467</v>
      </c>
    </row>
    <row r="60" spans="1:6">
      <c r="A60" s="1426">
        <v>2020</v>
      </c>
      <c r="B60" s="1426" t="s">
        <v>429</v>
      </c>
      <c r="C60" s="1429">
        <v>469</v>
      </c>
      <c r="D60" s="1430">
        <v>3042</v>
      </c>
      <c r="E60" s="1429">
        <v>1814</v>
      </c>
      <c r="F60" s="1429">
        <v>1217</v>
      </c>
    </row>
    <row r="61" spans="1:6">
      <c r="A61" s="1426">
        <v>2020</v>
      </c>
      <c r="B61" s="1426" t="s">
        <v>430</v>
      </c>
      <c r="C61" s="1429">
        <v>367</v>
      </c>
      <c r="D61" s="1430">
        <v>1744</v>
      </c>
      <c r="E61" s="1429">
        <v>2053</v>
      </c>
      <c r="F61" s="1429">
        <v>1151</v>
      </c>
    </row>
    <row r="62" spans="1:6">
      <c r="A62" s="1426">
        <v>2020</v>
      </c>
      <c r="B62" s="1426" t="s">
        <v>431</v>
      </c>
      <c r="C62" s="1429">
        <v>427</v>
      </c>
      <c r="D62" s="1430">
        <v>932</v>
      </c>
      <c r="E62" s="1429">
        <v>2817</v>
      </c>
      <c r="F62" s="1429">
        <v>1570</v>
      </c>
    </row>
    <row r="63" spans="1:6">
      <c r="A63" s="1426">
        <v>2020</v>
      </c>
      <c r="B63" s="1426" t="s">
        <v>432</v>
      </c>
      <c r="C63" s="1429">
        <v>422</v>
      </c>
      <c r="D63" s="1430">
        <v>1594</v>
      </c>
      <c r="E63" s="1429">
        <v>2483</v>
      </c>
      <c r="F63" s="1429">
        <v>1694</v>
      </c>
    </row>
    <row r="64" spans="1:6">
      <c r="A64" s="1426">
        <v>2019</v>
      </c>
      <c r="B64" s="1426" t="s">
        <v>420</v>
      </c>
      <c r="C64" s="1429">
        <v>826</v>
      </c>
      <c r="D64" s="1430">
        <v>3151</v>
      </c>
      <c r="E64" s="1429">
        <v>2574</v>
      </c>
      <c r="F64" s="1429">
        <v>2437</v>
      </c>
    </row>
    <row r="65" spans="1:6">
      <c r="A65" s="1426">
        <v>2019</v>
      </c>
      <c r="B65" s="1426" t="s">
        <v>423</v>
      </c>
      <c r="C65" s="1429">
        <v>1433</v>
      </c>
      <c r="D65" s="1430">
        <v>1888</v>
      </c>
      <c r="E65" s="1429">
        <v>3624</v>
      </c>
      <c r="F65" s="1429">
        <v>2389</v>
      </c>
    </row>
    <row r="66" spans="1:6">
      <c r="A66" s="1426">
        <v>2019</v>
      </c>
      <c r="B66" s="1426" t="s">
        <v>424</v>
      </c>
      <c r="C66" s="1429">
        <v>489</v>
      </c>
      <c r="D66" s="1430">
        <v>3543</v>
      </c>
      <c r="E66" s="1429">
        <v>3148</v>
      </c>
      <c r="F66" s="1429">
        <v>2651</v>
      </c>
    </row>
    <row r="67" spans="1:6">
      <c r="A67" s="1426">
        <v>2019</v>
      </c>
      <c r="B67" s="1426" t="s">
        <v>425</v>
      </c>
      <c r="C67" s="1429">
        <v>346</v>
      </c>
      <c r="D67" s="1430">
        <v>1896</v>
      </c>
      <c r="E67" s="1429">
        <v>2613</v>
      </c>
      <c r="F67" s="1429">
        <v>1580</v>
      </c>
    </row>
    <row r="68" spans="1:6">
      <c r="A68" s="1426">
        <v>2019</v>
      </c>
      <c r="B68" s="1426" t="s">
        <v>411</v>
      </c>
      <c r="C68" s="1429">
        <v>265</v>
      </c>
      <c r="D68" s="1430">
        <v>1893</v>
      </c>
      <c r="E68" s="1429">
        <v>3662</v>
      </c>
      <c r="F68" s="1429">
        <v>1203</v>
      </c>
    </row>
    <row r="69" spans="1:6">
      <c r="A69" s="1426">
        <v>2019</v>
      </c>
      <c r="B69" s="1426" t="s">
        <v>426</v>
      </c>
      <c r="C69" s="1429">
        <v>432</v>
      </c>
      <c r="D69" s="1430">
        <v>1431</v>
      </c>
      <c r="E69" s="1429">
        <v>2506</v>
      </c>
      <c r="F69" s="1429">
        <v>1420</v>
      </c>
    </row>
    <row r="70" spans="1:6">
      <c r="A70" s="1426">
        <v>2019</v>
      </c>
      <c r="B70" s="1426" t="s">
        <v>427</v>
      </c>
      <c r="C70" s="1429">
        <v>155</v>
      </c>
      <c r="D70" s="1430">
        <v>506</v>
      </c>
      <c r="E70" s="1429">
        <v>2904</v>
      </c>
      <c r="F70" s="1429">
        <v>1097</v>
      </c>
    </row>
    <row r="71" spans="1:6">
      <c r="A71" s="1426">
        <v>2019</v>
      </c>
      <c r="B71" s="1426" t="s">
        <v>428</v>
      </c>
      <c r="C71" s="1429">
        <v>347</v>
      </c>
      <c r="D71" s="1430">
        <v>1343</v>
      </c>
      <c r="E71" s="1429">
        <v>1942</v>
      </c>
      <c r="F71" s="1429">
        <v>2118</v>
      </c>
    </row>
    <row r="72" spans="1:6">
      <c r="A72" s="1426">
        <v>2019</v>
      </c>
      <c r="B72" s="1426" t="s">
        <v>429</v>
      </c>
      <c r="C72" s="1429">
        <v>252</v>
      </c>
      <c r="D72" s="1430">
        <v>3557</v>
      </c>
      <c r="E72" s="1429">
        <v>2605</v>
      </c>
      <c r="F72" s="1429">
        <v>3277</v>
      </c>
    </row>
    <row r="73" spans="1:6">
      <c r="A73" s="1426">
        <v>2019</v>
      </c>
      <c r="B73" s="1426" t="s">
        <v>430</v>
      </c>
      <c r="C73" s="1429">
        <v>483</v>
      </c>
      <c r="D73" s="1430">
        <v>1176</v>
      </c>
      <c r="E73" s="1429">
        <v>2080</v>
      </c>
      <c r="F73" s="1429">
        <v>4409</v>
      </c>
    </row>
    <row r="74" spans="1:6">
      <c r="A74" s="1426">
        <v>2019</v>
      </c>
      <c r="B74" s="1426" t="s">
        <v>431</v>
      </c>
      <c r="C74" s="1429">
        <v>330</v>
      </c>
      <c r="D74" s="1430">
        <v>953</v>
      </c>
      <c r="E74" s="1429">
        <v>2382</v>
      </c>
      <c r="F74" s="1429">
        <v>3727</v>
      </c>
    </row>
    <row r="75" spans="1:6">
      <c r="A75" s="1426">
        <v>2019</v>
      </c>
      <c r="B75" s="1426" t="s">
        <v>432</v>
      </c>
      <c r="C75" s="1429">
        <v>352</v>
      </c>
      <c r="D75" s="1430">
        <v>482</v>
      </c>
      <c r="E75" s="1429">
        <v>2140</v>
      </c>
      <c r="F75" s="1429">
        <v>2275</v>
      </c>
    </row>
    <row r="76" spans="1:6">
      <c r="A76" s="1426">
        <v>2018</v>
      </c>
      <c r="B76" s="1426" t="s">
        <v>420</v>
      </c>
      <c r="C76" s="1429">
        <v>355</v>
      </c>
      <c r="D76" s="1430">
        <v>790</v>
      </c>
      <c r="E76" s="1429">
        <v>2540</v>
      </c>
      <c r="F76" s="1429">
        <v>4669</v>
      </c>
    </row>
    <row r="77" spans="1:6">
      <c r="A77" s="1426">
        <v>2018</v>
      </c>
      <c r="B77" s="1426" t="s">
        <v>423</v>
      </c>
      <c r="C77" s="1429">
        <v>328</v>
      </c>
      <c r="D77" s="1430">
        <v>790</v>
      </c>
      <c r="E77" s="1429">
        <v>3284</v>
      </c>
      <c r="F77" s="1429">
        <v>3168</v>
      </c>
    </row>
    <row r="78" spans="1:6">
      <c r="A78" s="1426">
        <v>2018</v>
      </c>
      <c r="B78" s="1426" t="s">
        <v>424</v>
      </c>
      <c r="C78" s="1429">
        <v>274</v>
      </c>
      <c r="D78" s="1430">
        <v>997</v>
      </c>
      <c r="E78" s="1429">
        <v>2787</v>
      </c>
      <c r="F78" s="1429">
        <v>4568</v>
      </c>
    </row>
    <row r="79" spans="1:6">
      <c r="A79" s="1426">
        <v>2018</v>
      </c>
      <c r="B79" s="1426" t="s">
        <v>425</v>
      </c>
      <c r="C79" s="1429">
        <v>352</v>
      </c>
      <c r="D79" s="1430">
        <v>743</v>
      </c>
      <c r="E79" s="1429">
        <v>3088</v>
      </c>
      <c r="F79" s="1429">
        <v>5928</v>
      </c>
    </row>
    <row r="80" spans="1:6">
      <c r="A80" s="1426">
        <v>2018</v>
      </c>
      <c r="B80" s="1426" t="s">
        <v>411</v>
      </c>
      <c r="C80" s="1429">
        <v>382</v>
      </c>
      <c r="D80" s="1430">
        <v>674</v>
      </c>
      <c r="E80" s="1429">
        <v>2131</v>
      </c>
      <c r="F80" s="1429">
        <v>5721</v>
      </c>
    </row>
    <row r="81" spans="1:6">
      <c r="A81" s="1426">
        <v>2018</v>
      </c>
      <c r="B81" s="1426" t="s">
        <v>426</v>
      </c>
      <c r="C81" s="1429">
        <v>409</v>
      </c>
      <c r="D81" s="1430">
        <v>513</v>
      </c>
      <c r="E81" s="1429">
        <v>1763</v>
      </c>
      <c r="F81" s="1429">
        <v>5911</v>
      </c>
    </row>
    <row r="82" spans="1:6">
      <c r="A82" s="1426">
        <v>2018</v>
      </c>
      <c r="B82" s="1426" t="s">
        <v>427</v>
      </c>
      <c r="C82" s="1429">
        <v>247</v>
      </c>
      <c r="D82" s="1430">
        <v>443</v>
      </c>
      <c r="E82" s="1429">
        <v>1790</v>
      </c>
      <c r="F82" s="1429">
        <v>5544</v>
      </c>
    </row>
    <row r="83" spans="1:6">
      <c r="A83" s="1426">
        <v>2018</v>
      </c>
      <c r="B83" s="1426" t="s">
        <v>428</v>
      </c>
      <c r="C83" s="1429">
        <v>693</v>
      </c>
      <c r="D83" s="1430">
        <v>309</v>
      </c>
      <c r="E83" s="1429">
        <v>2691</v>
      </c>
      <c r="F83" s="1429">
        <v>6315</v>
      </c>
    </row>
    <row r="84" spans="1:6">
      <c r="A84" s="1426">
        <v>2018</v>
      </c>
      <c r="B84" s="1426" t="s">
        <v>429</v>
      </c>
      <c r="C84" s="1429">
        <v>481</v>
      </c>
      <c r="D84" s="1430">
        <v>670</v>
      </c>
      <c r="E84" s="1429">
        <v>3300</v>
      </c>
      <c r="F84" s="1429">
        <v>4832</v>
      </c>
    </row>
    <row r="85" spans="1:6">
      <c r="A85" s="1426">
        <v>2018</v>
      </c>
      <c r="B85" s="1426" t="s">
        <v>430</v>
      </c>
      <c r="C85" s="1429">
        <v>443</v>
      </c>
      <c r="D85" s="1430">
        <v>1628</v>
      </c>
      <c r="E85" s="1429">
        <v>3361</v>
      </c>
      <c r="F85" s="1429">
        <v>5594</v>
      </c>
    </row>
    <row r="86" spans="1:6">
      <c r="A86" s="1426">
        <v>2018</v>
      </c>
      <c r="B86" s="1426" t="s">
        <v>431</v>
      </c>
      <c r="C86" s="1429">
        <v>497</v>
      </c>
      <c r="D86" s="1430">
        <v>2220</v>
      </c>
      <c r="E86" s="1429">
        <v>3856</v>
      </c>
      <c r="F86" s="1429">
        <v>4144</v>
      </c>
    </row>
    <row r="87" spans="1:6">
      <c r="A87" s="1426">
        <v>2018</v>
      </c>
      <c r="B87" s="1426" t="s">
        <v>432</v>
      </c>
      <c r="C87" s="1429">
        <v>424</v>
      </c>
      <c r="D87" s="1430">
        <v>1789</v>
      </c>
      <c r="E87" s="1429">
        <v>2594</v>
      </c>
      <c r="F87" s="1429">
        <v>2871</v>
      </c>
    </row>
    <row r="88" spans="1:6">
      <c r="A88" s="1426">
        <v>2017</v>
      </c>
      <c r="B88" s="1426" t="s">
        <v>420</v>
      </c>
      <c r="C88" s="1429">
        <v>866</v>
      </c>
      <c r="D88" s="1430">
        <v>461</v>
      </c>
      <c r="E88" s="1429">
        <v>2298</v>
      </c>
      <c r="F88" s="1429">
        <v>3945</v>
      </c>
    </row>
    <row r="89" spans="1:6">
      <c r="A89" s="1426">
        <v>2017</v>
      </c>
      <c r="B89" s="1426" t="s">
        <v>423</v>
      </c>
      <c r="C89" s="1429">
        <v>10246</v>
      </c>
      <c r="D89" s="1430">
        <v>518</v>
      </c>
      <c r="E89" s="1429">
        <v>2683</v>
      </c>
      <c r="F89" s="1429">
        <v>3350</v>
      </c>
    </row>
    <row r="90" spans="1:6">
      <c r="A90" s="1426">
        <v>2017</v>
      </c>
      <c r="B90" s="1426" t="s">
        <v>424</v>
      </c>
      <c r="C90" s="1429">
        <v>478</v>
      </c>
      <c r="D90" s="1430">
        <v>473</v>
      </c>
      <c r="E90" s="1429">
        <v>2307</v>
      </c>
      <c r="F90" s="1429">
        <v>4560</v>
      </c>
    </row>
    <row r="91" spans="1:6">
      <c r="A91" s="1426">
        <v>2017</v>
      </c>
      <c r="B91" s="1426" t="s">
        <v>425</v>
      </c>
      <c r="C91" s="1429">
        <v>567</v>
      </c>
      <c r="D91" s="1430">
        <v>472</v>
      </c>
      <c r="E91" s="1429">
        <v>2208</v>
      </c>
      <c r="F91" s="1429">
        <v>4648</v>
      </c>
    </row>
    <row r="92" spans="1:6">
      <c r="A92" s="1426">
        <v>2017</v>
      </c>
      <c r="B92" s="1426" t="s">
        <v>411</v>
      </c>
      <c r="C92" s="1429">
        <v>444</v>
      </c>
      <c r="D92" s="1430">
        <v>296</v>
      </c>
      <c r="E92" s="1429">
        <v>1591</v>
      </c>
      <c r="F92" s="1429">
        <v>3964</v>
      </c>
    </row>
    <row r="93" spans="1:6">
      <c r="A93" s="1426">
        <v>2017</v>
      </c>
      <c r="B93" s="1426" t="s">
        <v>426</v>
      </c>
      <c r="C93" s="1429">
        <v>526</v>
      </c>
      <c r="D93" s="1430">
        <v>33</v>
      </c>
      <c r="E93" s="1429">
        <v>2063</v>
      </c>
      <c r="F93" s="1429">
        <v>4571</v>
      </c>
    </row>
    <row r="94" spans="1:6">
      <c r="A94" s="1426">
        <v>2017</v>
      </c>
      <c r="B94" s="1426" t="s">
        <v>427</v>
      </c>
      <c r="C94" s="1429">
        <v>390</v>
      </c>
      <c r="D94" s="1430">
        <v>166</v>
      </c>
      <c r="E94" s="1429">
        <v>1642</v>
      </c>
      <c r="F94" s="1429">
        <v>4105</v>
      </c>
    </row>
    <row r="95" spans="1:6">
      <c r="A95" s="1426">
        <v>2017</v>
      </c>
      <c r="B95" s="1426" t="s">
        <v>428</v>
      </c>
      <c r="C95" s="1429">
        <v>311</v>
      </c>
      <c r="D95" s="1430">
        <v>130</v>
      </c>
      <c r="E95" s="1429">
        <v>2012</v>
      </c>
      <c r="F95" s="1429">
        <v>3793</v>
      </c>
    </row>
    <row r="96" spans="1:6">
      <c r="A96" s="1426">
        <v>2017</v>
      </c>
      <c r="B96" s="1426" t="s">
        <v>429</v>
      </c>
      <c r="C96" s="1429">
        <v>434</v>
      </c>
      <c r="D96" s="1430">
        <v>164</v>
      </c>
      <c r="E96" s="1429">
        <v>2186</v>
      </c>
      <c r="F96" s="1429">
        <v>3327</v>
      </c>
    </row>
    <row r="97" spans="1:6">
      <c r="A97" s="1426">
        <v>2017</v>
      </c>
      <c r="B97" s="1426" t="s">
        <v>430</v>
      </c>
      <c r="C97" s="1429">
        <v>421</v>
      </c>
      <c r="D97" s="1430">
        <v>275</v>
      </c>
      <c r="E97" s="1429">
        <v>2228</v>
      </c>
      <c r="F97" s="1429">
        <v>3639</v>
      </c>
    </row>
    <row r="98" spans="1:6">
      <c r="A98" s="1426">
        <v>2017</v>
      </c>
      <c r="B98" s="1426" t="s">
        <v>431</v>
      </c>
      <c r="C98" s="1429">
        <v>282</v>
      </c>
      <c r="D98" s="1430">
        <v>538</v>
      </c>
      <c r="E98" s="1429">
        <v>2736</v>
      </c>
      <c r="F98" s="1429">
        <v>4149</v>
      </c>
    </row>
    <row r="99" spans="1:6">
      <c r="A99" s="1426">
        <v>2017</v>
      </c>
      <c r="B99" s="1426" t="s">
        <v>432</v>
      </c>
      <c r="C99" s="1429">
        <v>232</v>
      </c>
      <c r="D99" s="1430">
        <v>302</v>
      </c>
      <c r="E99" s="1429">
        <v>2225</v>
      </c>
      <c r="F99" s="1429">
        <v>4574</v>
      </c>
    </row>
    <row r="100" spans="1:6">
      <c r="A100" s="1426">
        <v>2016</v>
      </c>
      <c r="B100" s="1426" t="s">
        <v>420</v>
      </c>
      <c r="C100" s="1429">
        <v>519</v>
      </c>
      <c r="D100" s="1430">
        <v>727</v>
      </c>
      <c r="E100" s="1429">
        <v>2312</v>
      </c>
      <c r="F100" s="1429">
        <v>1074</v>
      </c>
    </row>
    <row r="101" spans="1:6">
      <c r="A101" s="1426">
        <v>2016</v>
      </c>
      <c r="B101" s="1426" t="s">
        <v>423</v>
      </c>
      <c r="C101" s="1429">
        <v>622</v>
      </c>
      <c r="D101" s="1430">
        <v>558</v>
      </c>
      <c r="E101" s="1429">
        <v>3000</v>
      </c>
      <c r="F101" s="1429">
        <v>1142</v>
      </c>
    </row>
    <row r="102" spans="1:6">
      <c r="A102" s="1426">
        <v>2016</v>
      </c>
      <c r="B102" s="1426" t="s">
        <v>424</v>
      </c>
      <c r="C102" s="1429">
        <v>406</v>
      </c>
      <c r="D102" s="1430">
        <v>644</v>
      </c>
      <c r="E102" s="1429">
        <v>3289</v>
      </c>
      <c r="F102" s="1429">
        <v>3957</v>
      </c>
    </row>
    <row r="103" spans="1:6">
      <c r="A103" s="1426">
        <v>2016</v>
      </c>
      <c r="B103" s="1426" t="s">
        <v>425</v>
      </c>
      <c r="C103" s="1429">
        <v>7049</v>
      </c>
      <c r="D103" s="1430">
        <v>319</v>
      </c>
      <c r="E103" s="1429">
        <v>2592</v>
      </c>
      <c r="F103" s="1429">
        <v>3145</v>
      </c>
    </row>
    <row r="104" spans="1:6">
      <c r="A104" s="1426">
        <v>2016</v>
      </c>
      <c r="B104" s="1426" t="s">
        <v>411</v>
      </c>
      <c r="C104" s="1429">
        <v>894</v>
      </c>
      <c r="D104" s="1430">
        <v>143</v>
      </c>
      <c r="E104" s="1429">
        <v>2003</v>
      </c>
      <c r="F104" s="1429">
        <v>2604</v>
      </c>
    </row>
    <row r="105" spans="1:6">
      <c r="A105" s="1426">
        <v>2016</v>
      </c>
      <c r="B105" s="1426" t="s">
        <v>426</v>
      </c>
      <c r="C105" s="1429">
        <v>1018</v>
      </c>
      <c r="D105" s="1430">
        <v>110</v>
      </c>
      <c r="E105" s="1429">
        <v>2314</v>
      </c>
      <c r="F105" s="1429">
        <v>2767</v>
      </c>
    </row>
    <row r="106" spans="1:6">
      <c r="A106" s="1426">
        <v>2016</v>
      </c>
      <c r="B106" s="1426" t="s">
        <v>427</v>
      </c>
      <c r="C106" s="1429">
        <v>2342</v>
      </c>
      <c r="D106" s="1430">
        <v>111</v>
      </c>
      <c r="E106" s="1429">
        <v>1587</v>
      </c>
      <c r="F106" s="1429">
        <v>3211</v>
      </c>
    </row>
    <row r="107" spans="1:6">
      <c r="A107" s="1426">
        <v>2016</v>
      </c>
      <c r="B107" s="1426" t="s">
        <v>428</v>
      </c>
      <c r="C107" s="1429">
        <v>1738</v>
      </c>
      <c r="D107" s="1430">
        <v>115</v>
      </c>
      <c r="E107" s="1429">
        <v>1756</v>
      </c>
      <c r="F107" s="1429">
        <v>3515</v>
      </c>
    </row>
    <row r="108" spans="1:6">
      <c r="A108" s="1426">
        <v>2016</v>
      </c>
      <c r="B108" s="1426" t="s">
        <v>429</v>
      </c>
      <c r="C108" s="1429">
        <v>492</v>
      </c>
      <c r="D108" s="1430">
        <v>101</v>
      </c>
      <c r="E108" s="1429">
        <v>1910</v>
      </c>
      <c r="F108" s="1429">
        <v>3349</v>
      </c>
    </row>
    <row r="109" spans="1:6">
      <c r="A109" s="1426">
        <v>2016</v>
      </c>
      <c r="B109" s="1426" t="s">
        <v>430</v>
      </c>
      <c r="C109" s="1429">
        <v>600</v>
      </c>
      <c r="D109" s="1430">
        <v>343</v>
      </c>
      <c r="E109" s="1429">
        <v>1780</v>
      </c>
      <c r="F109" s="1429">
        <v>4076</v>
      </c>
    </row>
    <row r="110" spans="1:6">
      <c r="A110" s="1426">
        <v>2016</v>
      </c>
      <c r="B110" s="1426" t="s">
        <v>431</v>
      </c>
      <c r="C110" s="1429">
        <v>1780</v>
      </c>
      <c r="D110" s="1430">
        <v>385</v>
      </c>
      <c r="E110" s="1429">
        <v>1692</v>
      </c>
      <c r="F110" s="1429">
        <v>4464</v>
      </c>
    </row>
    <row r="111" spans="1:6">
      <c r="A111" s="1426">
        <v>2016</v>
      </c>
      <c r="B111" s="1426" t="s">
        <v>432</v>
      </c>
      <c r="C111" s="1429">
        <v>697</v>
      </c>
      <c r="D111" s="1430">
        <v>250</v>
      </c>
      <c r="E111" s="1429">
        <v>2281</v>
      </c>
      <c r="F111" s="1429">
        <v>2902</v>
      </c>
    </row>
    <row r="112" spans="1:6">
      <c r="A112" s="1426">
        <v>2015</v>
      </c>
      <c r="B112" s="1426" t="s">
        <v>420</v>
      </c>
      <c r="C112" s="1429">
        <v>581</v>
      </c>
      <c r="D112" s="1430">
        <v>349</v>
      </c>
      <c r="E112" s="1429">
        <v>2257</v>
      </c>
      <c r="F112" s="1429">
        <v>4724</v>
      </c>
    </row>
    <row r="113" spans="1:6">
      <c r="A113" s="1426">
        <v>2015</v>
      </c>
      <c r="B113" s="1426" t="s">
        <v>423</v>
      </c>
      <c r="C113" s="1429">
        <v>468</v>
      </c>
      <c r="D113" s="1430">
        <v>510</v>
      </c>
      <c r="E113" s="1429">
        <v>1961</v>
      </c>
      <c r="F113" s="1429">
        <v>2802</v>
      </c>
    </row>
    <row r="114" spans="1:6">
      <c r="A114" s="1426">
        <v>2015</v>
      </c>
      <c r="B114" s="1426" t="s">
        <v>424</v>
      </c>
      <c r="C114" s="1429">
        <v>634</v>
      </c>
      <c r="D114" s="1430">
        <v>520</v>
      </c>
      <c r="E114" s="1429">
        <v>3103</v>
      </c>
      <c r="F114" s="1429">
        <v>4364</v>
      </c>
    </row>
    <row r="115" spans="1:6">
      <c r="A115" s="1426">
        <v>2015</v>
      </c>
      <c r="B115" s="1426" t="s">
        <v>425</v>
      </c>
      <c r="C115" s="1429">
        <v>229</v>
      </c>
      <c r="D115" s="1430">
        <v>453</v>
      </c>
      <c r="E115" s="1429">
        <v>2155</v>
      </c>
      <c r="F115" s="1429">
        <v>3617</v>
      </c>
    </row>
    <row r="116" spans="1:6">
      <c r="A116" s="1426">
        <v>2015</v>
      </c>
      <c r="B116" s="1426" t="s">
        <v>411</v>
      </c>
      <c r="C116" s="1429">
        <v>229</v>
      </c>
      <c r="D116" s="1430">
        <v>399</v>
      </c>
      <c r="E116" s="1429">
        <v>1709</v>
      </c>
      <c r="F116" s="1429">
        <v>2781</v>
      </c>
    </row>
    <row r="117" spans="1:6">
      <c r="A117" s="1426">
        <v>2015</v>
      </c>
      <c r="B117" s="1426" t="s">
        <v>426</v>
      </c>
      <c r="C117" s="1429">
        <v>399</v>
      </c>
      <c r="D117" s="1430">
        <v>239</v>
      </c>
      <c r="E117" s="1429">
        <v>2170</v>
      </c>
      <c r="F117" s="1429">
        <v>3072</v>
      </c>
    </row>
    <row r="118" spans="1:6">
      <c r="A118" s="1426">
        <v>2015</v>
      </c>
      <c r="B118" s="1426" t="s">
        <v>427</v>
      </c>
      <c r="C118" s="1429">
        <v>964</v>
      </c>
      <c r="D118" s="1430">
        <v>343</v>
      </c>
      <c r="E118" s="1429">
        <v>1999</v>
      </c>
      <c r="F118" s="1429">
        <v>2904</v>
      </c>
    </row>
    <row r="119" spans="1:6">
      <c r="A119" s="1426">
        <v>2015</v>
      </c>
      <c r="B119" s="1426" t="s">
        <v>428</v>
      </c>
      <c r="C119" s="1429">
        <v>389</v>
      </c>
      <c r="D119" s="1430">
        <v>72</v>
      </c>
      <c r="E119" s="1429">
        <v>2003</v>
      </c>
      <c r="F119" s="1429">
        <v>2699</v>
      </c>
    </row>
    <row r="120" spans="1:6">
      <c r="A120" s="1426">
        <v>2015</v>
      </c>
      <c r="B120" s="1426" t="s">
        <v>429</v>
      </c>
      <c r="C120" s="1429">
        <v>665</v>
      </c>
      <c r="D120" s="1430">
        <v>147</v>
      </c>
      <c r="E120" s="1429">
        <v>2523</v>
      </c>
      <c r="F120" s="1429">
        <v>2488</v>
      </c>
    </row>
    <row r="121" spans="1:6">
      <c r="A121" s="1426">
        <v>2015</v>
      </c>
      <c r="B121" s="1426" t="s">
        <v>430</v>
      </c>
      <c r="C121" s="1429">
        <v>297</v>
      </c>
      <c r="D121" s="1430">
        <v>148</v>
      </c>
      <c r="E121" s="1429">
        <v>2731</v>
      </c>
      <c r="F121" s="1429">
        <v>2968</v>
      </c>
    </row>
    <row r="122" spans="1:6">
      <c r="A122" s="1426">
        <v>2015</v>
      </c>
      <c r="B122" s="1426" t="s">
        <v>431</v>
      </c>
      <c r="C122" s="1429">
        <v>449</v>
      </c>
      <c r="D122" s="1430">
        <v>341</v>
      </c>
      <c r="E122" s="1429">
        <v>2480</v>
      </c>
      <c r="F122" s="1429">
        <v>2501</v>
      </c>
    </row>
    <row r="123" spans="1:6">
      <c r="A123" s="1426">
        <v>2015</v>
      </c>
      <c r="B123" s="1426" t="s">
        <v>432</v>
      </c>
      <c r="C123" s="1429">
        <v>401</v>
      </c>
      <c r="D123" s="1430">
        <v>186</v>
      </c>
      <c r="E123" s="1429">
        <v>3099</v>
      </c>
      <c r="F123" s="1429">
        <v>2629</v>
      </c>
    </row>
    <row r="124" spans="1:6">
      <c r="A124" s="1420"/>
      <c r="B124" s="1420"/>
      <c r="C124" s="1420"/>
      <c r="D124" s="1420"/>
      <c r="E124" s="1420"/>
      <c r="F124" s="1420"/>
    </row>
    <row r="125" spans="1:6">
      <c r="A125" s="1433" t="s">
        <v>462</v>
      </c>
      <c r="B125" s="1420"/>
      <c r="C125" s="1420"/>
      <c r="D125" s="1420"/>
      <c r="E125" s="1420"/>
      <c r="F125" s="1420"/>
    </row>
  </sheetData>
  <printOptions horizontalCentered="1"/>
  <pageMargins left="0.27559055118110237" right="0.19685039370078741" top="0.35433070866141736" bottom="0.39370078740157483" header="0.19685039370078741" footer="0.23622047244094491"/>
  <pageSetup paperSize="9" scale="95" orientation="landscape" r:id="rId1"/>
  <headerFooter alignWithMargins="0">
    <oddHeader xml:space="preserve">&amp;R
</oddHeader>
    <oddFooter>&amp;R&amp;10
&amp;12
...</oddFooter>
  </headerFooter>
  <ignoredErrors>
    <ignoredError sqref="C5:D123 C4:D4 C3:D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50</vt:i4>
      </vt:variant>
    </vt:vector>
  </HeadingPairs>
  <TitlesOfParts>
    <vt:vector size="93" baseType="lpstr">
      <vt:lpstr>Deckblatt LeguDash</vt:lpstr>
      <vt:lpstr>A. Anbaufläche</vt:lpstr>
      <vt:lpstr>A. Ausbildungsverh. Landwirt</vt:lpstr>
      <vt:lpstr>B. Erntemenge</vt:lpstr>
      <vt:lpstr>C. Ertrag je Hektar</vt:lpstr>
      <vt:lpstr>D. Importvolumen (Tausend Euro)</vt:lpstr>
      <vt:lpstr>E. Importvolumen (Tonnen)</vt:lpstr>
      <vt:lpstr>F. Einkaufspreise Import</vt:lpstr>
      <vt:lpstr>G. Exportvolumen (Tausend Euro)</vt:lpstr>
      <vt:lpstr>H. Exportvolumen (Tonnen)</vt:lpstr>
      <vt:lpstr>Fachkraft Agrarservice</vt:lpstr>
      <vt:lpstr>I. Verkaufspreise Export</vt:lpstr>
      <vt:lpstr>J. Inlandsverwendung</vt:lpstr>
      <vt:lpstr>K. Einkaufspreise konventionell</vt:lpstr>
      <vt:lpstr>L. Einkaufspreise ökologisch</vt:lpstr>
      <vt:lpstr>M. Verhältnis Einkaufspreise</vt:lpstr>
      <vt:lpstr>N. Saatguterzeugung</vt:lpstr>
      <vt:lpstr>O. neue Sorten</vt:lpstr>
      <vt:lpstr>P. Prognosen SoeLI</vt:lpstr>
      <vt:lpstr>Q. Prognosen Loehr</vt:lpstr>
      <vt:lpstr>R. Berechnungsmethode SoeLI</vt:lpstr>
      <vt:lpstr>S. Berechnungsmethode Löhr</vt:lpstr>
      <vt:lpstr>Winzer</vt:lpstr>
      <vt:lpstr>LW-Fachwerker</vt:lpstr>
      <vt:lpstr>Tierwirt</vt:lpstr>
      <vt:lpstr>Fischwirt</vt:lpstr>
      <vt:lpstr>Pferdewirt</vt:lpstr>
      <vt:lpstr>Pferdewirt (2)</vt:lpstr>
      <vt:lpstr>Gärtner</vt:lpstr>
      <vt:lpstr>Gaba-Fachwerker</vt:lpstr>
      <vt:lpstr>Revierjäger</vt:lpstr>
      <vt:lpstr>Forstwirt</vt:lpstr>
      <vt:lpstr>Molkereifachmann</vt:lpstr>
      <vt:lpstr>Milchtechnologe-technologin</vt:lpstr>
      <vt:lpstr>Milchw.Laborant</vt:lpstr>
      <vt:lpstr>Hauswirtschaft</vt:lpstr>
      <vt:lpstr>B. Entwicklung </vt:lpstr>
      <vt:lpstr>C. Verträge nach Vorbildung</vt:lpstr>
      <vt:lpstr>D. Vorz.gel.AVe</vt:lpstr>
      <vt:lpstr>E. Ausl. Auszubildende</vt:lpstr>
      <vt:lpstr>F. Prüf.i.d.berufl. Fortbildung</vt:lpstr>
      <vt:lpstr>17-Alle zusammen</vt:lpstr>
      <vt:lpstr>Alle zusammen</vt:lpstr>
      <vt:lpstr>'B. Entwicklung '!B._Entwicklung_der_Ausbildungsberufe</vt:lpstr>
      <vt:lpstr>'E. Ausl. Auszubildende'!Brenner\_in</vt:lpstr>
      <vt:lpstr>'F. Prüf.i.d.berufl. Fortbildung'!C.__Prüfungen_in_der_beruflichen_Fortbildung______46_BBiG</vt:lpstr>
      <vt:lpstr>Deckblatt</vt:lpstr>
      <vt:lpstr>'A. Anbaufläche'!Druckbereich</vt:lpstr>
      <vt:lpstr>'B. Erntemenge'!Druckbereich</vt:lpstr>
      <vt:lpstr>'C. Ertrag je Hektar'!Druckbereich</vt:lpstr>
      <vt:lpstr>'D. Importvolumen (Tausend Euro)'!Druckbereich</vt:lpstr>
      <vt:lpstr>'E. Importvolumen (Tonnen)'!Druckbereich</vt:lpstr>
      <vt:lpstr>'F. Einkaufspreise Import'!Druckbereich</vt:lpstr>
      <vt:lpstr>'G. Exportvolumen (Tausend Euro)'!Druckbereich</vt:lpstr>
      <vt:lpstr>'H. Exportvolumen (Tonnen)'!Druckbereich</vt:lpstr>
      <vt:lpstr>'I. Verkaufspreise Export'!Druckbereich</vt:lpstr>
      <vt:lpstr>'K. Einkaufspreise konventionell'!Druckbereich</vt:lpstr>
      <vt:lpstr>'L. Einkaufspreise ökologisch'!Druckbereich</vt:lpstr>
      <vt:lpstr>'M. Verhältnis Einkaufspreise'!Druckbereich</vt:lpstr>
      <vt:lpstr>'P. Prognosen SoeLI'!Druckbereich</vt:lpstr>
      <vt:lpstr>'Q. Prognosen Loehr'!Druckbereich</vt:lpstr>
      <vt:lpstr>Erntemenge</vt:lpstr>
      <vt:lpstr>'17-Alle zusammen'!Hauswirtschafter\_in_in_landwirtschaftlichen_Betrieben</vt:lpstr>
      <vt:lpstr>'Alle zusammen'!Hauswirtschafter\_in_in_landwirtschaftlichen_Betrieben</vt:lpstr>
      <vt:lpstr>'Fachkraft Agrarservice'!Landwirtschaftsfachwerker\_in______48_BBiG</vt:lpstr>
      <vt:lpstr>Fischwirt!Landwirtschaftsfachwerker\_in______48_BBiG</vt:lpstr>
      <vt:lpstr>Pferdewirt!Landwirtschaftsfachwerker\_in______48_BBiG</vt:lpstr>
      <vt:lpstr>'Pferdewirt (2)'!Landwirtschaftsfachwerker\_in______48_BBiG</vt:lpstr>
      <vt:lpstr>'Milchtechnologe-technologin'!Molkereifachmann\_frau</vt:lpstr>
      <vt:lpstr>Molkereifachmann!Molkereifachmann\_frau</vt:lpstr>
      <vt:lpstr>'17-Alle zusammen'!Print_Area</vt:lpstr>
      <vt:lpstr>'A. Ausbildungsverh. Landwirt'!Print_Area</vt:lpstr>
      <vt:lpstr>'Alle zusammen'!Print_Area</vt:lpstr>
      <vt:lpstr>'B. Entwicklung '!Print_Area</vt:lpstr>
      <vt:lpstr>'C. Verträge nach Vorbildung'!Print_Area</vt:lpstr>
      <vt:lpstr>'D. Vorz.gel.AVe'!Print_Area</vt:lpstr>
      <vt:lpstr>'E. Ausl. Auszubildende'!Print_Area</vt:lpstr>
      <vt:lpstr>'F. Prüf.i.d.berufl. Fortbildung'!Print_Area</vt:lpstr>
      <vt:lpstr>'Fachkraft Agrarservice'!Print_Area</vt:lpstr>
      <vt:lpstr>Fischwirt!Print_Area</vt:lpstr>
      <vt:lpstr>Forstwirt!Print_Area</vt:lpstr>
      <vt:lpstr>'Gaba-Fachwerker'!Print_Area</vt:lpstr>
      <vt:lpstr>Gärtner!Print_Area</vt:lpstr>
      <vt:lpstr>Hauswirtschaft!Print_Area</vt:lpstr>
      <vt:lpstr>'LW-Fachwerker'!Print_Area</vt:lpstr>
      <vt:lpstr>'Milchtechnologe-technologin'!Print_Area</vt:lpstr>
      <vt:lpstr>Milchw.Laborant!Print_Area</vt:lpstr>
      <vt:lpstr>Molkereifachmann!Print_Area</vt:lpstr>
      <vt:lpstr>Pferdewirt!Print_Area</vt:lpstr>
      <vt:lpstr>'Pferdewirt (2)'!Print_Area</vt:lpstr>
      <vt:lpstr>Revierjäger!Print_Area</vt:lpstr>
      <vt:lpstr>Tierwirt!Print_Area</vt:lpstr>
      <vt:lpstr>Winzer!Print_Area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2025-08-28T09:49:30Z</cp:lastPrinted>
  <dcterms:created xsi:type="dcterms:W3CDTF">1999-03-16T08:07:54Z</dcterms:created>
  <dcterms:modified xsi:type="dcterms:W3CDTF">2026-01-28T11:52:12Z</dcterms:modified>
</cp:coreProperties>
</file>