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comments1.xml" ContentType="application/vnd.openxmlformats-officedocument.spreadsheetml.comments+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comments2.xml" ContentType="application/vnd.openxmlformats-officedocument.spreadsheetml.comments+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comments3.xml" ContentType="application/vnd.openxmlformats-officedocument.spreadsheetml.comments+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K:\Referat 624\14 Ausbildungsstatistik\30 fertige Auswertungen\2025\"/>
    </mc:Choice>
  </mc:AlternateContent>
  <xr:revisionPtr revIDLastSave="0" documentId="13_ncr:1_{E834E5F3-1225-4A3E-B16A-4613C766A853}" xr6:coauthVersionLast="47" xr6:coauthVersionMax="47" xr10:uidLastSave="{00000000-0000-0000-0000-000000000000}"/>
  <bookViews>
    <workbookView xWindow="-120" yWindow="-120" windowWidth="29040" windowHeight="17520" tabRatio="936" xr2:uid="{00000000-000D-0000-FFFF-FFFF00000000}"/>
  </bookViews>
  <sheets>
    <sheet name="Deckblatt 2024" sheetId="75" r:id="rId1"/>
    <sheet name="24-A. Landwirt" sheetId="83" r:id="rId2"/>
    <sheet name="A. Ausbildungsverh. Landwirt" sheetId="17" state="hidden" r:id="rId3"/>
    <sheet name="24-A. Fachkraft Agrarservice " sheetId="86" r:id="rId4"/>
    <sheet name="Fachkraft Agrarservice" sheetId="41" state="hidden" r:id="rId5"/>
    <sheet name="24- A. Winzer" sheetId="87" r:id="rId6"/>
    <sheet name="Winzer" sheetId="20" state="hidden" r:id="rId7"/>
    <sheet name="LW-Fachwerker" sheetId="30" state="hidden" r:id="rId8"/>
    <sheet name="24-A. LW-Fachwerker " sheetId="88" r:id="rId9"/>
    <sheet name="24-A. Tierwirt" sheetId="97" r:id="rId10"/>
    <sheet name="Tierwirt" sheetId="19" state="hidden" r:id="rId11"/>
    <sheet name="24-A. Fischwirt" sheetId="90" r:id="rId12"/>
    <sheet name="Fischwirt" sheetId="46" state="hidden" r:id="rId13"/>
    <sheet name="24-A. Pferdewirt Monoberuf" sheetId="93" r:id="rId14"/>
    <sheet name="Pferdewirt" sheetId="50" state="hidden" r:id="rId15"/>
    <sheet name="24-A. Pferdewirt 2" sheetId="94" r:id="rId16"/>
    <sheet name="Pferdewirt (2)" sheetId="48" state="hidden" r:id="rId17"/>
    <sheet name="24-1A. Gärtner" sheetId="89" r:id="rId18"/>
    <sheet name="Gärtner" sheetId="21" state="hidden" r:id="rId19"/>
    <sheet name="24-2A.Gärtner" sheetId="107" r:id="rId20"/>
    <sheet name="24-A. Gaba - Fachwerker" sheetId="95" r:id="rId21"/>
    <sheet name="Gaba-Fachwerker" sheetId="31" state="hidden" r:id="rId22"/>
    <sheet name="24-A. Revierjäger" sheetId="96" r:id="rId23"/>
    <sheet name="Revierjäger" sheetId="25" state="hidden" r:id="rId24"/>
    <sheet name="24-A. Forstwirt " sheetId="98" r:id="rId25"/>
    <sheet name="Forstwirt" sheetId="24" state="hidden" r:id="rId26"/>
    <sheet name="Molkereifachmann" sheetId="65" state="hidden" r:id="rId27"/>
    <sheet name="24-A. Pflanzentechnologe" sheetId="99" r:id="rId28"/>
    <sheet name="24-A. Milchtechnologe" sheetId="100" r:id="rId29"/>
    <sheet name="Milchtechnologe-technologin" sheetId="49" state="hidden" r:id="rId30"/>
    <sheet name="24-A. Milchw. Laborant " sheetId="101" r:id="rId31"/>
    <sheet name="Milchw.Laborant" sheetId="28" state="hidden" r:id="rId32"/>
    <sheet name="24-A. Hauswirtschaft" sheetId="102" r:id="rId33"/>
    <sheet name="Hauswirtschaft" sheetId="18" state="hidden" r:id="rId34"/>
    <sheet name="B. Entwicklung " sheetId="40" state="hidden" r:id="rId35"/>
    <sheet name="24-1B. Entwicklung" sheetId="81" r:id="rId36"/>
    <sheet name="24-2B. Entwicklung" sheetId="108" r:id="rId37"/>
    <sheet name="24-C. Verträge nach Vorbild " sheetId="103" r:id="rId38"/>
    <sheet name="C. Verträge nach Vorbildung" sheetId="34" state="hidden" r:id="rId39"/>
    <sheet name="24-D. Vorz.gel.AVe" sheetId="104" r:id="rId40"/>
    <sheet name="D. Vorz.gel.AVe" sheetId="35" state="hidden" r:id="rId41"/>
    <sheet name="24-E. Ausl. Auszubildende" sheetId="72" r:id="rId42"/>
    <sheet name="E. Ausl. Auszubildende" sheetId="43" state="hidden" r:id="rId43"/>
    <sheet name="24-F. Prüf.i.d.berufl. Fort" sheetId="106" r:id="rId44"/>
    <sheet name="F. Prüf.i.d.berufl. Fortbildung" sheetId="47" state="hidden" r:id="rId45"/>
    <sheet name="17-Alle zusammen" sheetId="74" state="hidden" r:id="rId46"/>
    <sheet name="Alle zusammen" sheetId="52" state="hidden" r:id="rId47"/>
  </sheets>
  <externalReferences>
    <externalReference r:id="rId48"/>
    <externalReference r:id="rId49"/>
  </externalReferences>
  <definedNames>
    <definedName name="_FilterDatabase" localSheetId="43" hidden="1">'24-F. Prüf.i.d.berufl. Fort'!$A$2:$J$2</definedName>
    <definedName name="_FilterDatabase" localSheetId="44" hidden="1">'F. Prüf.i.d.berufl. Fortbildung'!$A$8:$K$13</definedName>
    <definedName name="B._Entwicklung_der_Ausbildungsberufe" localSheetId="45">#REF!</definedName>
    <definedName name="B._Entwicklung_der_Ausbildungsberufe" localSheetId="34">'B. Entwicklung '!$A$3</definedName>
    <definedName name="B._Entwicklung_der_Ausbildungsberufe" localSheetId="26">#REF!</definedName>
    <definedName name="Baden_Württemberg" localSheetId="45">#REF!</definedName>
    <definedName name="Baden_Württemberg" localSheetId="26">#REF!</definedName>
    <definedName name="Bayern" localSheetId="45">#REF!</definedName>
    <definedName name="Bayern" localSheetId="26">#REF!</definedName>
    <definedName name="Berlin" localSheetId="45">#REF!</definedName>
    <definedName name="Berlin" localSheetId="26">#REF!</definedName>
    <definedName name="Brandenburg" localSheetId="45">#REF!</definedName>
    <definedName name="Brandenburg" localSheetId="26">#REF!</definedName>
    <definedName name="Bremen" localSheetId="45">#REF!</definedName>
    <definedName name="Bremen" localSheetId="26">#REF!</definedName>
    <definedName name="Brenner\_in" localSheetId="45">#REF!</definedName>
    <definedName name="Brenner\_in" localSheetId="42">'E. Ausl. Auszubildende'!$A$6</definedName>
    <definedName name="Brenner\_in" localSheetId="26">#REF!</definedName>
    <definedName name="C.__Prüfungen_in_der_beruflichen_Fortbildung______46_BBiG" localSheetId="45">#REF!</definedName>
    <definedName name="C.__Prüfungen_in_der_beruflichen_Fortbildung______46_BBiG" localSheetId="44">'F. Prüf.i.d.berufl. Fortbildung'!$A$5</definedName>
    <definedName name="C.__Prüfungen_in_der_beruflichen_Fortbildung______46_BBiG" localSheetId="26">#REF!</definedName>
    <definedName name="_xlnm.Print_Area" localSheetId="35">'24-1B. Entwicklung'!$A$1:$H$201</definedName>
    <definedName name="_xlnm.Print_Area" localSheetId="36">'24-2B. Entwicklung'!$A$1:$H$212</definedName>
    <definedName name="_xlnm.Print_Area" localSheetId="11">'24-A. Fischwirt'!$A$1:$I$42</definedName>
    <definedName name="_xlnm.Print_Area" localSheetId="24">'24-A. Forstwirt '!$A$1:$J$44</definedName>
    <definedName name="_xlnm.Print_Area" localSheetId="20">'24-A. Gaba - Fachwerker'!$A$1:$J$43</definedName>
    <definedName name="_xlnm.Print_Area" localSheetId="32">'24-A. Hauswirtschaft'!$A$1:$I$43</definedName>
    <definedName name="_xlnm.Print_Area" localSheetId="1">'24-A. Landwirt'!$A$1:$I$42</definedName>
    <definedName name="_xlnm.Print_Area" localSheetId="28">'24-A. Milchtechnologe'!$A$1:$I$42</definedName>
    <definedName name="_xlnm.Print_Area" localSheetId="30">'24-A. Milchw. Laborant '!$A$1:$I$42</definedName>
    <definedName name="_xlnm.Print_Area" localSheetId="13">'24-A. Pferdewirt Monoberuf'!$A$1:$J$43</definedName>
    <definedName name="_xlnm.Print_Area" localSheetId="27">'24-A. Pflanzentechnologe'!$A$1:$I$42</definedName>
    <definedName name="_xlnm.Print_Area" localSheetId="9">'24-A. Tierwirt'!$A$1:$K$213</definedName>
    <definedName name="_xlnm.Print_Area" localSheetId="37">'24-C. Verträge nach Vorbild '!$A$1:$M$22</definedName>
    <definedName name="_xlnm.Print_Area" localSheetId="39">'24-D. Vorz.gel.AVe'!$A$1:$I$21</definedName>
    <definedName name="_xlnm.Print_Area" localSheetId="41">'24-E. Ausl. Auszubildende'!$A$1:$D$73</definedName>
    <definedName name="_xlnm.Print_Area" localSheetId="43">'24-F. Prüf.i.d.berufl. Fort'!$A$1:$J$93</definedName>
    <definedName name="_xlnm.Print_Titles" localSheetId="17">'24-1A. Gärtner'!$4:$4</definedName>
    <definedName name="_xlnm.Print_Titles" localSheetId="35">'24-1B. Entwicklung'!$3:$3</definedName>
    <definedName name="_xlnm.Print_Titles" localSheetId="19">'24-2A.Gärtner'!$4:$4</definedName>
    <definedName name="_xlnm.Print_Titles" localSheetId="36">'24-2B. Entwicklung'!$3:$3</definedName>
    <definedName name="_xlnm.Print_Titles" localSheetId="41">'24-E. Ausl. Auszubildende'!$1:$2</definedName>
    <definedName name="_xlnm.Print_Titles" localSheetId="43">'24-F. Prüf.i.d.berufl. Fort'!$2:$2</definedName>
    <definedName name="E.__Vorzeitig_gelöste_Ausbildungsverhältnisse_1997" localSheetId="45">#REF!</definedName>
    <definedName name="E.__Vorzeitig_gelöste_Ausbildungsverhältnisse_1997" localSheetId="40">'D. Vorz.gel.AVe'!#REF!</definedName>
    <definedName name="E.__Vorzeitig_gelöste_Ausbildungsverhältnisse_1997" localSheetId="26">#REF!</definedName>
    <definedName name="F.__Ausländische_Auszubildende_nach_Staatsangehörigkeit_1996" localSheetId="45">#REF!</definedName>
    <definedName name="F.__Ausländische_Auszubildende_nach_Staatsangehörigkeit_1996" localSheetId="26">#REF!</definedName>
    <definedName name="Fischwirt\_in" localSheetId="45">#REF!</definedName>
    <definedName name="Fischwirt\_in" localSheetId="26">#REF!</definedName>
    <definedName name="G._Ausbilder_nach_fachlicher_Eignung_und_Ländern_im_Bereich_Landwirtschaft_1996" localSheetId="45">#REF!</definedName>
    <definedName name="G._Ausbilder_nach_fachlicher_Eignung_und_Ländern_im_Bereich_Landwirtschaft_1996" localSheetId="26">#REF!</definedName>
    <definedName name="Gartenbaufachwerker\_in______48_BBiG" localSheetId="45">'[1]Gaba-Fachwerker'!#REF!</definedName>
    <definedName name="Gartenbaufachwerker\_in______48_BBiG" localSheetId="46">'[1]Gaba-Fachwerker'!#REF!</definedName>
    <definedName name="Gartenbaufachwerker\_in______48_BBiG" localSheetId="44">'[2]Gaba-Fachwerker'!#REF!</definedName>
    <definedName name="Gartenbaufachwerker\_in______48_BBiG" localSheetId="29">'Gaba-Fachwerker'!#REF!</definedName>
    <definedName name="Gartenbaufachwerker\_in______48_BBiG" localSheetId="26">'Gaba-Fachwerker'!#REF!</definedName>
    <definedName name="Gartenbaufachwerker\_in______48_BBiG" localSheetId="16">'Gaba-Fachwerker'!#REF!</definedName>
    <definedName name="Hamburg" localSheetId="45">#REF!</definedName>
    <definedName name="Hamburg" localSheetId="26">#REF!</definedName>
    <definedName name="Hauswirtschafter\_in_in_landwirtschaftlichen_Betrieben" localSheetId="45">'17-Alle zusammen'!$A$4</definedName>
    <definedName name="Hauswirtschafter\_in_in_landwirtschaftlichen_Betrieben" localSheetId="46">'Alle zusammen'!$A$4</definedName>
    <definedName name="Hessen" localSheetId="45">#REF!</definedName>
    <definedName name="Hessen" localSheetId="26">#REF!</definedName>
    <definedName name="Landwirt\_in" localSheetId="45">'[1]A. Ausbildungsverh. Landwirt'!#REF!</definedName>
    <definedName name="Landwirt\_in" localSheetId="46">'[1]A. Ausbildungsverh. Landwirt'!#REF!</definedName>
    <definedName name="Landwirt\_in" localSheetId="44">'[2]A. Ausbildungsverh. Landwirt'!#REF!</definedName>
    <definedName name="Landwirt\_in" localSheetId="29">'A. Ausbildungsverh. Landwirt'!#REF!</definedName>
    <definedName name="Landwirt\_in" localSheetId="26">'A. Ausbildungsverh. Landwirt'!#REF!</definedName>
    <definedName name="Landwirt\_in" localSheetId="16">'A. Ausbildungsverh. Landwirt'!#REF!</definedName>
    <definedName name="Landwirtschaftliche_r__Laborant\_in" localSheetId="45">#REF!</definedName>
    <definedName name="Landwirtschaftliche_r__Laborant\_in" localSheetId="26">#REF!</definedName>
    <definedName name="Landwirtschaftsfachwerker\_in______48_BBiG" localSheetId="4">'Fachkraft Agrarservice'!$A$4</definedName>
    <definedName name="Landwirtschaftsfachwerker\_in______48_BBiG" localSheetId="12">Fischwirt!$A$4</definedName>
    <definedName name="Landwirtschaftsfachwerker\_in______48_BBiG" localSheetId="14">Pferdewirt!$A$4</definedName>
    <definedName name="Landwirtschaftsfachwerker\_in______48_BBiG" localSheetId="16">'Pferdewirt (2)'!$B$4</definedName>
    <definedName name="Mecklenburg_Vorpommern" localSheetId="45">#REF!</definedName>
    <definedName name="Mecklenburg_Vorpommern" localSheetId="26">#REF!</definedName>
    <definedName name="Molkereifachmann\_frau" localSheetId="29">'Milchtechnologe-technologin'!$A$4</definedName>
    <definedName name="Molkereifachmann\_frau" localSheetId="26">Molkereifachmann!$A$4</definedName>
    <definedName name="Niedersachsen" localSheetId="45">#REF!</definedName>
    <definedName name="Niedersachsen" localSheetId="26">#REF!</definedName>
    <definedName name="Nordrhein_Westfalen" localSheetId="45">#REF!</definedName>
    <definedName name="Nordrhein_Westfalen" localSheetId="26">#REF!</definedName>
    <definedName name="Pferdewirt\_in" localSheetId="45">#REF!</definedName>
    <definedName name="Pferdewirt\_in" localSheetId="26">#REF!</definedName>
    <definedName name="Print_Area" localSheetId="45">'17-Alle zusammen'!$A$1:$P$33</definedName>
    <definedName name="Print_Area" localSheetId="2">'A. Ausbildungsverh. Landwirt'!$A$1:$P$36</definedName>
    <definedName name="Print_Area" localSheetId="46">'Alle zusammen'!$A$1:$P$33</definedName>
    <definedName name="Print_Area" localSheetId="34">'B. Entwicklung '!$A$1:$G$322</definedName>
    <definedName name="Print_Area" localSheetId="38">'C. Verträge nach Vorbildung'!$A$1:$N$35</definedName>
    <definedName name="Print_Area" localSheetId="40">'D. Vorz.gel.AVe'!$A$1:$J$36</definedName>
    <definedName name="Print_Area" localSheetId="42">'E. Ausl. Auszubildende'!$B$1:$F$70</definedName>
    <definedName name="Print_Area" localSheetId="44">'F. Prüf.i.d.berufl. Fortbildung'!$A$1:$K$165</definedName>
    <definedName name="Print_Area" localSheetId="4">'Fachkraft Agrarservice'!$A$1:$P$32</definedName>
    <definedName name="Print_Area" localSheetId="12">Fischwirt!$A$1:$P$35</definedName>
    <definedName name="Print_Area" localSheetId="25">Forstwirt!$A$1:$P$33</definedName>
    <definedName name="Print_Area" localSheetId="21">'Gaba-Fachwerker'!$A$1:$P$33</definedName>
    <definedName name="Print_Area" localSheetId="18">Gärtner!$A$1:$P$213</definedName>
    <definedName name="Print_Area" localSheetId="33">Hauswirtschaft!$A$1:$P$34</definedName>
    <definedName name="Print_Area" localSheetId="7">'LW-Fachwerker'!$A$1:$P$34</definedName>
    <definedName name="Print_Area" localSheetId="29">'Milchtechnologe-technologin'!$A$1:$P$32</definedName>
    <definedName name="Print_Area" localSheetId="31">Milchw.Laborant!$A$1:$P$32</definedName>
    <definedName name="Print_Area" localSheetId="26">Molkereifachmann!$A$1:$P$32</definedName>
    <definedName name="Print_Area" localSheetId="14">Pferdewirt!$A$1:$P$37</definedName>
    <definedName name="Print_Area" localSheetId="16">'Pferdewirt (2)'!$A$1:$P$35</definedName>
    <definedName name="Print_Area" localSheetId="23">Revierjäger!$A$1:$P$33</definedName>
    <definedName name="Print_Area" localSheetId="10">Tierwirt!$A$1:$P$187</definedName>
    <definedName name="Print_Area" localSheetId="6">Winzer!$A$1:$P$32</definedName>
    <definedName name="Rheinland_Pfalz" localSheetId="45">#REF!</definedName>
    <definedName name="Rheinland_Pfalz" localSheetId="26">#REF!</definedName>
    <definedName name="Saarland" localSheetId="45">#REF!</definedName>
    <definedName name="Saarland" localSheetId="26">#REF!</definedName>
    <definedName name="Sachsen" localSheetId="45">#REF!</definedName>
    <definedName name="Sachsen" localSheetId="26">#REF!</definedName>
    <definedName name="Sachsen_Anhalt" localSheetId="45">#REF!</definedName>
    <definedName name="Sachsen_Anhalt" localSheetId="26">#REF!</definedName>
    <definedName name="Schleswig_Holstein" localSheetId="45">#REF!</definedName>
    <definedName name="Schleswig_Holstein" localSheetId="26">#REF!</definedName>
    <definedName name="Thüringen" localSheetId="45">#REF!</definedName>
    <definedName name="Thüringen" localSheetId="26">#REF!</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 i="97" l="1"/>
  <c r="K5" i="97"/>
  <c r="D91" i="106"/>
  <c r="E91" i="106"/>
  <c r="F91" i="106"/>
  <c r="G91" i="106"/>
  <c r="H91" i="106"/>
  <c r="I91" i="106"/>
  <c r="J91" i="106"/>
  <c r="C91" i="106"/>
  <c r="D70" i="72"/>
  <c r="D134" i="107"/>
  <c r="F134" i="107"/>
  <c r="G134" i="107"/>
  <c r="H126" i="107"/>
  <c r="G126" i="107"/>
  <c r="F126" i="107"/>
  <c r="E126" i="107"/>
  <c r="D126" i="107"/>
  <c r="C126" i="107"/>
  <c r="H118" i="107"/>
  <c r="G118" i="107"/>
  <c r="F118" i="107"/>
  <c r="E118" i="107"/>
  <c r="D118" i="107"/>
  <c r="C118" i="107"/>
  <c r="D110" i="107"/>
  <c r="E110" i="107"/>
  <c r="F110" i="107"/>
  <c r="G110" i="107"/>
  <c r="H110" i="107"/>
  <c r="C110" i="107"/>
  <c r="D102" i="107"/>
  <c r="E102" i="107"/>
  <c r="F102" i="107"/>
  <c r="G102" i="107"/>
  <c r="H102" i="107"/>
  <c r="C102" i="107"/>
  <c r="H94" i="107"/>
  <c r="G94" i="107"/>
  <c r="F94" i="107"/>
  <c r="E94" i="107"/>
  <c r="D94" i="107"/>
  <c r="C94" i="107"/>
  <c r="H86" i="107"/>
  <c r="G86" i="107"/>
  <c r="F86" i="107"/>
  <c r="E86" i="107"/>
  <c r="D86" i="107"/>
  <c r="C86" i="107"/>
  <c r="D78" i="107"/>
  <c r="E78" i="107"/>
  <c r="F78" i="107"/>
  <c r="G78" i="107"/>
  <c r="H78" i="107"/>
  <c r="C78" i="107"/>
  <c r="D70" i="107"/>
  <c r="E70" i="107"/>
  <c r="F70" i="107"/>
  <c r="G70" i="107"/>
  <c r="H70" i="107"/>
  <c r="C70" i="107"/>
  <c r="D62" i="107"/>
  <c r="E62" i="107"/>
  <c r="F62" i="107"/>
  <c r="G62" i="107"/>
  <c r="H62" i="107"/>
  <c r="C62" i="107"/>
  <c r="D54" i="107"/>
  <c r="E54" i="107"/>
  <c r="F54" i="107"/>
  <c r="G54" i="107"/>
  <c r="H54" i="107"/>
  <c r="C54" i="107"/>
  <c r="D45" i="107"/>
  <c r="E45" i="107"/>
  <c r="F45" i="107"/>
  <c r="G45" i="107"/>
  <c r="H45" i="107"/>
  <c r="C45" i="107"/>
  <c r="D37" i="107"/>
  <c r="E37" i="107"/>
  <c r="F37" i="107"/>
  <c r="G37" i="107"/>
  <c r="H37" i="107"/>
  <c r="C37" i="107"/>
  <c r="D29" i="107"/>
  <c r="E29" i="107"/>
  <c r="F29" i="107"/>
  <c r="G29" i="107"/>
  <c r="H29" i="107"/>
  <c r="C29" i="107"/>
  <c r="D21" i="107"/>
  <c r="E21" i="107"/>
  <c r="F21" i="107"/>
  <c r="G21" i="107"/>
  <c r="H21" i="107"/>
  <c r="C21" i="107"/>
  <c r="D13" i="107"/>
  <c r="E13" i="107"/>
  <c r="F13" i="107"/>
  <c r="G13" i="107"/>
  <c r="H13" i="107"/>
  <c r="C13" i="107"/>
  <c r="D5" i="107"/>
  <c r="E5" i="107"/>
  <c r="F5" i="107"/>
  <c r="G5" i="107"/>
  <c r="H5" i="107"/>
  <c r="C5" i="107"/>
  <c r="D134" i="89"/>
  <c r="E134" i="89"/>
  <c r="D126" i="89"/>
  <c r="E126" i="89"/>
  <c r="F126" i="89"/>
  <c r="G126" i="89"/>
  <c r="H126" i="89"/>
  <c r="I126" i="89"/>
  <c r="J126" i="89"/>
  <c r="C126" i="89"/>
  <c r="J118" i="89"/>
  <c r="I118" i="89"/>
  <c r="H118" i="89"/>
  <c r="G118" i="89"/>
  <c r="F118" i="89"/>
  <c r="E118" i="89"/>
  <c r="D118" i="89"/>
  <c r="C118" i="89"/>
  <c r="D110" i="89"/>
  <c r="E110" i="89"/>
  <c r="F110" i="89"/>
  <c r="G110" i="89"/>
  <c r="H110" i="89"/>
  <c r="I110" i="89"/>
  <c r="J110" i="89"/>
  <c r="C110" i="89"/>
  <c r="J102" i="89"/>
  <c r="I102" i="89"/>
  <c r="H102" i="89"/>
  <c r="G102" i="89"/>
  <c r="F102" i="89"/>
  <c r="E102" i="89"/>
  <c r="D102" i="89"/>
  <c r="C102" i="89"/>
  <c r="D94" i="89"/>
  <c r="E94" i="89"/>
  <c r="F94" i="89"/>
  <c r="G94" i="89"/>
  <c r="H94" i="89"/>
  <c r="I94" i="89"/>
  <c r="J94" i="89"/>
  <c r="C94" i="89"/>
  <c r="J86" i="89"/>
  <c r="I86" i="89"/>
  <c r="H86" i="89"/>
  <c r="G86" i="89"/>
  <c r="F86" i="89"/>
  <c r="E86" i="89"/>
  <c r="D86" i="89"/>
  <c r="C86" i="89"/>
  <c r="J78" i="89"/>
  <c r="I78" i="89"/>
  <c r="H78" i="89"/>
  <c r="G78" i="89"/>
  <c r="F78" i="89"/>
  <c r="E78" i="89"/>
  <c r="D78" i="89"/>
  <c r="C78" i="89"/>
  <c r="J70" i="89"/>
  <c r="I70" i="89"/>
  <c r="H70" i="89"/>
  <c r="G70" i="89"/>
  <c r="F70" i="89"/>
  <c r="E70" i="89"/>
  <c r="D70" i="89"/>
  <c r="C70" i="89"/>
  <c r="D62" i="89"/>
  <c r="E62" i="89"/>
  <c r="F62" i="89"/>
  <c r="G62" i="89"/>
  <c r="H62" i="89"/>
  <c r="I62" i="89"/>
  <c r="J62" i="89"/>
  <c r="C62" i="89"/>
  <c r="D54" i="89"/>
  <c r="E54" i="89"/>
  <c r="F54" i="89"/>
  <c r="G54" i="89"/>
  <c r="H54" i="89"/>
  <c r="I54" i="89"/>
  <c r="J54" i="89"/>
  <c r="C54" i="89"/>
  <c r="D45" i="89"/>
  <c r="E45" i="89"/>
  <c r="F45" i="89"/>
  <c r="G45" i="89"/>
  <c r="H45" i="89"/>
  <c r="I45" i="89"/>
  <c r="J45" i="89"/>
  <c r="C45" i="89"/>
  <c r="D37" i="89"/>
  <c r="E37" i="89"/>
  <c r="F37" i="89"/>
  <c r="G37" i="89"/>
  <c r="H37" i="89"/>
  <c r="I37" i="89"/>
  <c r="J37" i="89"/>
  <c r="C37" i="89"/>
  <c r="D29" i="89"/>
  <c r="E29" i="89"/>
  <c r="F29" i="89"/>
  <c r="G29" i="89"/>
  <c r="H29" i="89"/>
  <c r="I29" i="89"/>
  <c r="J29" i="89"/>
  <c r="C29" i="89"/>
  <c r="D21" i="89"/>
  <c r="E21" i="89"/>
  <c r="F21" i="89"/>
  <c r="G21" i="89"/>
  <c r="H21" i="89"/>
  <c r="I21" i="89"/>
  <c r="J21" i="89"/>
  <c r="C21" i="89"/>
  <c r="D13" i="89"/>
  <c r="E13" i="89"/>
  <c r="F13" i="89"/>
  <c r="G13" i="89"/>
  <c r="H13" i="89"/>
  <c r="I13" i="89"/>
  <c r="J13" i="89"/>
  <c r="C13" i="89"/>
  <c r="D5" i="89"/>
  <c r="E5" i="89"/>
  <c r="F5" i="89"/>
  <c r="G5" i="89"/>
  <c r="H5" i="89"/>
  <c r="I5" i="89"/>
  <c r="J5" i="89"/>
  <c r="C5" i="89"/>
  <c r="E199" i="97"/>
  <c r="F199" i="97"/>
  <c r="G199" i="97"/>
  <c r="H199" i="97"/>
  <c r="I199" i="97"/>
  <c r="D199" i="97"/>
  <c r="E193" i="97"/>
  <c r="F193" i="97"/>
  <c r="G193" i="97"/>
  <c r="H193" i="97"/>
  <c r="I193" i="97"/>
  <c r="D193" i="97"/>
  <c r="E187" i="97"/>
  <c r="F187" i="97"/>
  <c r="G187" i="97"/>
  <c r="H187" i="97"/>
  <c r="I187" i="97"/>
  <c r="D187" i="97"/>
  <c r="E181" i="97"/>
  <c r="F181" i="97"/>
  <c r="G181" i="97"/>
  <c r="H181" i="97"/>
  <c r="I181" i="97"/>
  <c r="D181" i="97"/>
  <c r="E175" i="97"/>
  <c r="F175" i="97"/>
  <c r="G175" i="97"/>
  <c r="H175" i="97"/>
  <c r="I175" i="97"/>
  <c r="D175" i="97"/>
  <c r="E157" i="97"/>
  <c r="F157" i="97"/>
  <c r="G157" i="97"/>
  <c r="H157" i="97"/>
  <c r="I157" i="97"/>
  <c r="D157" i="97"/>
  <c r="E139" i="97"/>
  <c r="F139" i="97"/>
  <c r="G139" i="97"/>
  <c r="H139" i="97"/>
  <c r="I139" i="97"/>
  <c r="D139" i="97"/>
  <c r="E133" i="97"/>
  <c r="F133" i="97"/>
  <c r="G133" i="97"/>
  <c r="H133" i="97"/>
  <c r="I133" i="97"/>
  <c r="D133" i="97"/>
  <c r="E121" i="97"/>
  <c r="F121" i="97"/>
  <c r="G121" i="97"/>
  <c r="H121" i="97"/>
  <c r="I121" i="97"/>
  <c r="D121" i="97"/>
  <c r="E95" i="97"/>
  <c r="F95" i="97"/>
  <c r="G95" i="97"/>
  <c r="H95" i="97"/>
  <c r="I95" i="97"/>
  <c r="J95" i="97"/>
  <c r="K95" i="97"/>
  <c r="D95" i="97"/>
  <c r="E89" i="97"/>
  <c r="F89" i="97"/>
  <c r="G89" i="97"/>
  <c r="H89" i="97"/>
  <c r="I89" i="97"/>
  <c r="J89" i="97"/>
  <c r="K89" i="97"/>
  <c r="D89" i="97"/>
  <c r="E83" i="97"/>
  <c r="F83" i="97"/>
  <c r="G83" i="97"/>
  <c r="H83" i="97"/>
  <c r="I83" i="97"/>
  <c r="J83" i="97"/>
  <c r="K83" i="97"/>
  <c r="D83" i="97"/>
  <c r="E77" i="97"/>
  <c r="F77" i="97"/>
  <c r="G77" i="97"/>
  <c r="H77" i="97"/>
  <c r="I77" i="97"/>
  <c r="J77" i="97"/>
  <c r="K77" i="97"/>
  <c r="D77" i="97"/>
  <c r="E71" i="97"/>
  <c r="F71" i="97"/>
  <c r="G71" i="97"/>
  <c r="H71" i="97"/>
  <c r="I71" i="97"/>
  <c r="J71" i="97"/>
  <c r="K71" i="97"/>
  <c r="D71" i="97"/>
  <c r="E65" i="97"/>
  <c r="F65" i="97"/>
  <c r="G65" i="97"/>
  <c r="H65" i="97"/>
  <c r="I65" i="97"/>
  <c r="J65" i="97"/>
  <c r="K65" i="97"/>
  <c r="D65" i="97"/>
  <c r="E53" i="97"/>
  <c r="F53" i="97"/>
  <c r="G53" i="97"/>
  <c r="H53" i="97"/>
  <c r="I53" i="97"/>
  <c r="J53" i="97"/>
  <c r="K53" i="97"/>
  <c r="D53" i="97"/>
  <c r="E47" i="97"/>
  <c r="F47" i="97"/>
  <c r="G47" i="97"/>
  <c r="H47" i="97"/>
  <c r="I47" i="97"/>
  <c r="J47" i="97"/>
  <c r="K47" i="97"/>
  <c r="D47" i="97"/>
  <c r="E41" i="97"/>
  <c r="F41" i="97"/>
  <c r="G41" i="97"/>
  <c r="H41" i="97"/>
  <c r="I41" i="97"/>
  <c r="J41" i="97"/>
  <c r="K41" i="97"/>
  <c r="D41" i="97"/>
  <c r="E35" i="97"/>
  <c r="F35" i="97"/>
  <c r="G35" i="97"/>
  <c r="H35" i="97"/>
  <c r="I35" i="97"/>
  <c r="J35" i="97"/>
  <c r="K35" i="97"/>
  <c r="D35" i="97"/>
  <c r="E29" i="97"/>
  <c r="F29" i="97"/>
  <c r="G29" i="97"/>
  <c r="H29" i="97"/>
  <c r="I29" i="97"/>
  <c r="J29" i="97"/>
  <c r="K29" i="97"/>
  <c r="D29" i="97"/>
  <c r="E17" i="97"/>
  <c r="F17" i="97"/>
  <c r="G17" i="97"/>
  <c r="H17" i="97"/>
  <c r="I17" i="97"/>
  <c r="J17" i="97"/>
  <c r="K17" i="97"/>
  <c r="D17" i="97"/>
  <c r="D18" i="104" l="1"/>
  <c r="E18" i="104"/>
  <c r="F18" i="104"/>
  <c r="G18" i="104"/>
  <c r="H18" i="104"/>
  <c r="I18" i="104"/>
  <c r="C18" i="104"/>
  <c r="C20" i="103"/>
  <c r="D20" i="103"/>
  <c r="E20" i="103"/>
  <c r="F20" i="103"/>
  <c r="G20" i="103"/>
  <c r="H20" i="103"/>
  <c r="B20" i="103"/>
  <c r="M20" i="103"/>
  <c r="L20" i="103"/>
  <c r="K20" i="103"/>
  <c r="J20" i="103"/>
  <c r="I20" i="103"/>
  <c r="B21" i="72" l="1"/>
  <c r="C21" i="72"/>
  <c r="D21" i="72"/>
  <c r="G26" i="90"/>
  <c r="F26" i="90"/>
  <c r="D26" i="90"/>
  <c r="C26" i="90"/>
  <c r="I151" i="97"/>
  <c r="H151" i="97"/>
  <c r="G151" i="97"/>
  <c r="F151" i="97"/>
  <c r="E151" i="97"/>
  <c r="D151" i="97"/>
  <c r="I145" i="97"/>
  <c r="H145" i="97"/>
  <c r="G145" i="97"/>
  <c r="F145" i="97"/>
  <c r="E145" i="97"/>
  <c r="D145" i="97"/>
  <c r="C30" i="87"/>
  <c r="D30" i="87"/>
  <c r="F30" i="87"/>
  <c r="G30" i="87"/>
  <c r="J9" i="98"/>
  <c r="I10" i="93"/>
  <c r="H17" i="90"/>
  <c r="H7" i="90"/>
  <c r="H5" i="90"/>
  <c r="H9" i="98"/>
  <c r="G9" i="98"/>
  <c r="D9" i="98"/>
  <c r="C9" i="98"/>
  <c r="H8" i="95"/>
  <c r="D8" i="95"/>
  <c r="C8" i="95"/>
  <c r="F10" i="93"/>
  <c r="D10" i="93"/>
  <c r="C10" i="93"/>
  <c r="I72" i="97"/>
  <c r="E72" i="97"/>
  <c r="D72" i="97"/>
  <c r="E5" i="97"/>
  <c r="F5" i="97"/>
  <c r="G5" i="97"/>
  <c r="H5" i="97"/>
  <c r="I5" i="97"/>
  <c r="D5" i="97"/>
  <c r="C17" i="90"/>
  <c r="B17" i="90"/>
  <c r="F7" i="90"/>
  <c r="E7" i="90"/>
  <c r="C7" i="90"/>
  <c r="B7" i="90"/>
  <c r="G5" i="90"/>
  <c r="F5" i="90"/>
  <c r="C5" i="90"/>
  <c r="B5" i="90"/>
  <c r="G11" i="87"/>
  <c r="D11" i="87"/>
  <c r="C11" i="87"/>
  <c r="K59" i="97"/>
  <c r="K23" i="97"/>
  <c r="K11" i="97"/>
  <c r="I109" i="97"/>
  <c r="H109" i="97"/>
  <c r="G109" i="97"/>
  <c r="F109" i="97"/>
  <c r="E109" i="97"/>
  <c r="D109" i="97"/>
  <c r="D23" i="97"/>
  <c r="H46" i="108"/>
  <c r="G43" i="108"/>
  <c r="C30" i="72"/>
  <c r="D30" i="72"/>
  <c r="C3" i="72"/>
  <c r="D3" i="72"/>
  <c r="E163" i="97"/>
  <c r="F163" i="97"/>
  <c r="G163" i="97"/>
  <c r="H163" i="97"/>
  <c r="I163" i="97"/>
  <c r="D163" i="97"/>
  <c r="I169" i="97"/>
  <c r="H169" i="97"/>
  <c r="G169" i="97"/>
  <c r="F169" i="97"/>
  <c r="E169" i="97"/>
  <c r="D169" i="97"/>
  <c r="I127" i="97"/>
  <c r="H127" i="97"/>
  <c r="G127" i="97"/>
  <c r="F127" i="97"/>
  <c r="E127" i="97"/>
  <c r="D127" i="97"/>
  <c r="I115" i="97"/>
  <c r="H115" i="97"/>
  <c r="G115" i="97"/>
  <c r="F115" i="97"/>
  <c r="E115" i="97"/>
  <c r="D115" i="97"/>
  <c r="J59" i="97"/>
  <c r="I59" i="97"/>
  <c r="H59" i="97"/>
  <c r="G59" i="97"/>
  <c r="F59" i="97"/>
  <c r="E59" i="97"/>
  <c r="D59" i="97"/>
  <c r="J23" i="97"/>
  <c r="I23" i="97"/>
  <c r="H23" i="97"/>
  <c r="G23" i="97"/>
  <c r="F23" i="97"/>
  <c r="E23" i="97"/>
  <c r="J11" i="97"/>
  <c r="I11" i="97"/>
  <c r="H11" i="97"/>
  <c r="G11" i="97"/>
  <c r="F11" i="97"/>
  <c r="E11" i="97"/>
  <c r="D11" i="97"/>
  <c r="B30" i="72"/>
  <c r="B3" i="72"/>
  <c r="D57" i="43"/>
  <c r="P37" i="65"/>
  <c r="O37" i="65"/>
  <c r="N37" i="65"/>
  <c r="M37" i="65"/>
  <c r="L37" i="65"/>
  <c r="K37" i="65"/>
  <c r="J37" i="65"/>
  <c r="H37" i="65"/>
  <c r="G37" i="65"/>
  <c r="F37" i="65"/>
  <c r="E37" i="65"/>
  <c r="D37" i="65"/>
  <c r="C37" i="65"/>
  <c r="I30" i="65"/>
  <c r="I37" i="65"/>
  <c r="G139" i="40"/>
  <c r="G122" i="40"/>
  <c r="O30" i="24"/>
  <c r="N30" i="24"/>
  <c r="M30" i="24"/>
  <c r="L30" i="24"/>
  <c r="K30" i="24"/>
  <c r="P30" i="31"/>
  <c r="O30" i="31"/>
  <c r="N30" i="31"/>
  <c r="M30" i="31"/>
  <c r="L30" i="31"/>
  <c r="K30" i="31"/>
  <c r="F122" i="40"/>
  <c r="P201" i="21"/>
  <c r="O201" i="21"/>
  <c r="N201" i="21"/>
  <c r="M201" i="21"/>
  <c r="L201" i="21"/>
  <c r="K201" i="21"/>
  <c r="P30" i="48"/>
  <c r="O30" i="48"/>
  <c r="N30" i="48"/>
  <c r="M30" i="48"/>
  <c r="L30" i="48"/>
  <c r="L37" i="48"/>
  <c r="K30" i="48"/>
  <c r="K37" i="48"/>
  <c r="P30" i="50"/>
  <c r="N30" i="50"/>
  <c r="M30" i="50"/>
  <c r="L30" i="50"/>
  <c r="K30" i="50"/>
  <c r="P30" i="30"/>
  <c r="O30" i="30"/>
  <c r="N30" i="30"/>
  <c r="M30" i="30"/>
  <c r="L30" i="30"/>
  <c r="K30" i="30"/>
  <c r="I30" i="24"/>
  <c r="K39" i="17"/>
  <c r="J30" i="31"/>
  <c r="J201" i="21"/>
  <c r="J30" i="48"/>
  <c r="J30" i="50"/>
  <c r="J37" i="46"/>
  <c r="I30" i="30"/>
  <c r="I30" i="31"/>
  <c r="I201" i="21"/>
  <c r="E122" i="40"/>
  <c r="I30" i="48"/>
  <c r="I30" i="50"/>
  <c r="P37" i="18"/>
  <c r="O37" i="18"/>
  <c r="N37" i="18"/>
  <c r="M37" i="18"/>
  <c r="L37" i="18"/>
  <c r="K37" i="18"/>
  <c r="J37" i="18"/>
  <c r="I37" i="18"/>
  <c r="H37" i="18"/>
  <c r="G37" i="18"/>
  <c r="F37" i="18"/>
  <c r="E37" i="18"/>
  <c r="D37" i="18"/>
  <c r="C37" i="18"/>
  <c r="P37" i="28"/>
  <c r="O37" i="28"/>
  <c r="N37" i="28"/>
  <c r="M37" i="28"/>
  <c r="L37" i="28"/>
  <c r="K37" i="28"/>
  <c r="J37" i="28"/>
  <c r="I37" i="28"/>
  <c r="H37" i="28"/>
  <c r="G37" i="28"/>
  <c r="F37" i="28"/>
  <c r="E37" i="28"/>
  <c r="D37" i="28"/>
  <c r="C37" i="28"/>
  <c r="P37" i="49"/>
  <c r="O37" i="49"/>
  <c r="N37" i="49"/>
  <c r="M37" i="49"/>
  <c r="L37" i="49"/>
  <c r="K37" i="49"/>
  <c r="J37" i="49"/>
  <c r="I37" i="49"/>
  <c r="H37" i="49"/>
  <c r="G37" i="49"/>
  <c r="F37" i="49"/>
  <c r="E37" i="49"/>
  <c r="D37" i="49"/>
  <c r="C37" i="49"/>
  <c r="F30" i="30"/>
  <c r="D30" i="30"/>
  <c r="C30" i="30"/>
  <c r="G30" i="24"/>
  <c r="G37" i="24"/>
  <c r="F30" i="24"/>
  <c r="F37" i="24"/>
  <c r="D30" i="24"/>
  <c r="D37" i="24"/>
  <c r="C30" i="24"/>
  <c r="C37" i="24"/>
  <c r="P37" i="24"/>
  <c r="O37" i="24"/>
  <c r="N37" i="24"/>
  <c r="M37" i="24"/>
  <c r="L37" i="24"/>
  <c r="K37" i="24"/>
  <c r="J37" i="24"/>
  <c r="I37" i="24"/>
  <c r="H37" i="24"/>
  <c r="E37" i="24"/>
  <c r="P37" i="25"/>
  <c r="O37" i="25"/>
  <c r="N37" i="25"/>
  <c r="M37" i="25"/>
  <c r="L37" i="25"/>
  <c r="K37" i="25"/>
  <c r="J37" i="25"/>
  <c r="I37" i="25"/>
  <c r="H37" i="25"/>
  <c r="G37" i="25"/>
  <c r="F37" i="25"/>
  <c r="E37" i="25"/>
  <c r="D37" i="25"/>
  <c r="C37" i="25"/>
  <c r="H30" i="31"/>
  <c r="G30" i="31"/>
  <c r="F30" i="31"/>
  <c r="F37" i="31"/>
  <c r="E30" i="31"/>
  <c r="E37" i="31"/>
  <c r="D30" i="31"/>
  <c r="D37" i="31"/>
  <c r="C30" i="31"/>
  <c r="C37" i="31"/>
  <c r="P37" i="31"/>
  <c r="O37" i="31"/>
  <c r="N37" i="31"/>
  <c r="M37" i="31"/>
  <c r="L37" i="31"/>
  <c r="K37" i="31"/>
  <c r="J37" i="31"/>
  <c r="I37" i="31"/>
  <c r="H37" i="31"/>
  <c r="G37" i="31"/>
  <c r="H201" i="21"/>
  <c r="G201" i="21"/>
  <c r="F201" i="21"/>
  <c r="E201" i="21"/>
  <c r="D201" i="21"/>
  <c r="C201" i="21"/>
  <c r="J233" i="21"/>
  <c r="I233" i="21"/>
  <c r="H233" i="21"/>
  <c r="G233" i="21"/>
  <c r="F233" i="21"/>
  <c r="E233" i="21"/>
  <c r="D233" i="21"/>
  <c r="C233" i="21"/>
  <c r="P232" i="21"/>
  <c r="O232" i="21"/>
  <c r="N232" i="21"/>
  <c r="M232" i="21"/>
  <c r="L232" i="21"/>
  <c r="K232" i="21"/>
  <c r="J232" i="21"/>
  <c r="I232" i="21"/>
  <c r="H232" i="21"/>
  <c r="G232" i="21"/>
  <c r="F232" i="21"/>
  <c r="E232" i="21"/>
  <c r="D232" i="21"/>
  <c r="C232" i="21"/>
  <c r="P231" i="21"/>
  <c r="O231" i="21"/>
  <c r="N231" i="21"/>
  <c r="M231" i="21"/>
  <c r="L231" i="21"/>
  <c r="K231" i="21"/>
  <c r="J231" i="21"/>
  <c r="I231" i="21"/>
  <c r="H231" i="21"/>
  <c r="G231" i="21"/>
  <c r="F231" i="21"/>
  <c r="E231" i="21"/>
  <c r="D231" i="21"/>
  <c r="C231" i="21"/>
  <c r="P230" i="21"/>
  <c r="O230" i="21"/>
  <c r="N230" i="21"/>
  <c r="M230" i="21"/>
  <c r="L230" i="21"/>
  <c r="K230" i="21"/>
  <c r="J230" i="21"/>
  <c r="I230" i="21"/>
  <c r="H230" i="21"/>
  <c r="G230" i="21"/>
  <c r="F230" i="21"/>
  <c r="E230" i="21"/>
  <c r="D230" i="21"/>
  <c r="C230" i="21"/>
  <c r="P229" i="21"/>
  <c r="O229" i="21"/>
  <c r="N229" i="21"/>
  <c r="M229" i="21"/>
  <c r="L229" i="21"/>
  <c r="K229" i="21"/>
  <c r="J229" i="21"/>
  <c r="I229" i="21"/>
  <c r="H229" i="21"/>
  <c r="G229" i="21"/>
  <c r="F229" i="21"/>
  <c r="E229" i="21"/>
  <c r="D229" i="21"/>
  <c r="C229" i="21"/>
  <c r="P228" i="21"/>
  <c r="O228" i="21"/>
  <c r="N228" i="21"/>
  <c r="M228" i="21"/>
  <c r="L228" i="21"/>
  <c r="K228" i="21"/>
  <c r="J228" i="21"/>
  <c r="I228" i="21"/>
  <c r="H228" i="21"/>
  <c r="G228" i="21"/>
  <c r="F228" i="21"/>
  <c r="E228" i="21"/>
  <c r="D228" i="21"/>
  <c r="C228" i="21"/>
  <c r="P227" i="21"/>
  <c r="O227" i="21"/>
  <c r="N227" i="21"/>
  <c r="M227" i="21"/>
  <c r="L227" i="21"/>
  <c r="K227" i="21"/>
  <c r="J227" i="21"/>
  <c r="I227" i="21"/>
  <c r="H227" i="21"/>
  <c r="G227" i="21"/>
  <c r="F227" i="21"/>
  <c r="E227" i="21"/>
  <c r="D227" i="21"/>
  <c r="C227" i="21"/>
  <c r="P226" i="21"/>
  <c r="O226" i="21"/>
  <c r="N226" i="21"/>
  <c r="M226" i="21"/>
  <c r="L226" i="21"/>
  <c r="K226" i="21"/>
  <c r="J226" i="21"/>
  <c r="I226" i="21"/>
  <c r="H226" i="21"/>
  <c r="G226" i="21"/>
  <c r="F226" i="21"/>
  <c r="E226" i="21"/>
  <c r="D226" i="21"/>
  <c r="C226" i="21"/>
  <c r="P225" i="21"/>
  <c r="O225" i="21"/>
  <c r="N225" i="21"/>
  <c r="M225" i="21"/>
  <c r="L225" i="21"/>
  <c r="K225" i="21"/>
  <c r="H225" i="21"/>
  <c r="G225" i="21"/>
  <c r="F225" i="21"/>
  <c r="E225" i="21"/>
  <c r="D225" i="21"/>
  <c r="C225" i="21"/>
  <c r="D122" i="40"/>
  <c r="C122" i="40"/>
  <c r="H30" i="48"/>
  <c r="H37" i="48"/>
  <c r="G30" i="48"/>
  <c r="G37" i="48"/>
  <c r="F30" i="48"/>
  <c r="E30" i="48"/>
  <c r="D30" i="48"/>
  <c r="C30" i="48"/>
  <c r="P37" i="48"/>
  <c r="O37" i="48"/>
  <c r="N37" i="48"/>
  <c r="M37" i="48"/>
  <c r="J37" i="48"/>
  <c r="I37" i="48"/>
  <c r="F37" i="48"/>
  <c r="E37" i="48"/>
  <c r="D37" i="48"/>
  <c r="C37" i="48"/>
  <c r="H30" i="50"/>
  <c r="G30" i="50"/>
  <c r="F30" i="50"/>
  <c r="F39" i="50"/>
  <c r="E30" i="50"/>
  <c r="E39" i="50"/>
  <c r="D30" i="50"/>
  <c r="D39" i="50"/>
  <c r="C30" i="50"/>
  <c r="C39" i="50"/>
  <c r="P39" i="50"/>
  <c r="O39" i="50"/>
  <c r="N39" i="50"/>
  <c r="M39" i="50"/>
  <c r="L39" i="50"/>
  <c r="K39" i="50"/>
  <c r="J39" i="50"/>
  <c r="I39" i="50"/>
  <c r="H39" i="50"/>
  <c r="G39" i="50"/>
  <c r="P37" i="46"/>
  <c r="O37" i="46"/>
  <c r="N37" i="46"/>
  <c r="M37" i="46"/>
  <c r="L37" i="46"/>
  <c r="K37" i="46"/>
  <c r="I37" i="46"/>
  <c r="H37" i="46"/>
  <c r="G37" i="46"/>
  <c r="F37" i="46"/>
  <c r="E37" i="46"/>
  <c r="D37" i="46"/>
  <c r="C37" i="46"/>
  <c r="P203" i="19"/>
  <c r="O203" i="19"/>
  <c r="N203" i="19"/>
  <c r="M203" i="19"/>
  <c r="L203" i="19"/>
  <c r="K203" i="19"/>
  <c r="J203" i="19"/>
  <c r="I203" i="19"/>
  <c r="H203" i="19"/>
  <c r="G203" i="19"/>
  <c r="F203" i="19"/>
  <c r="E203" i="19"/>
  <c r="D203" i="19"/>
  <c r="C203" i="19"/>
  <c r="P202" i="19"/>
  <c r="O202" i="19"/>
  <c r="N202" i="19"/>
  <c r="M202" i="19"/>
  <c r="L202" i="19"/>
  <c r="K202" i="19"/>
  <c r="J202" i="19"/>
  <c r="I202" i="19"/>
  <c r="H202" i="19"/>
  <c r="G202" i="19"/>
  <c r="F202" i="19"/>
  <c r="E202" i="19"/>
  <c r="D202" i="19"/>
  <c r="C202" i="19"/>
  <c r="P201" i="19"/>
  <c r="O201" i="19"/>
  <c r="N201" i="19"/>
  <c r="M201" i="19"/>
  <c r="L201" i="19"/>
  <c r="K201" i="19"/>
  <c r="J201" i="19"/>
  <c r="I201" i="19"/>
  <c r="H201" i="19"/>
  <c r="G201" i="19"/>
  <c r="F201" i="19"/>
  <c r="E201" i="19"/>
  <c r="D201" i="19"/>
  <c r="C201" i="19"/>
  <c r="P200" i="19"/>
  <c r="O200" i="19"/>
  <c r="N200" i="19"/>
  <c r="M200" i="19"/>
  <c r="L200" i="19"/>
  <c r="K200" i="19"/>
  <c r="J200" i="19"/>
  <c r="I200" i="19"/>
  <c r="H200" i="19"/>
  <c r="G200" i="19"/>
  <c r="F200" i="19"/>
  <c r="E200" i="19"/>
  <c r="D200" i="19"/>
  <c r="C200" i="19"/>
  <c r="P199" i="19"/>
  <c r="O199" i="19"/>
  <c r="N199" i="19"/>
  <c r="M199" i="19"/>
  <c r="L199" i="19"/>
  <c r="K199" i="19"/>
  <c r="J199" i="19"/>
  <c r="I199" i="19"/>
  <c r="H199" i="19"/>
  <c r="G199" i="19"/>
  <c r="F199" i="19"/>
  <c r="E199" i="19"/>
  <c r="D199" i="19"/>
  <c r="C199" i="19"/>
  <c r="P198" i="19"/>
  <c r="O198" i="19"/>
  <c r="N198" i="19"/>
  <c r="M198" i="19"/>
  <c r="L198" i="19"/>
  <c r="K198" i="19"/>
  <c r="J198" i="19"/>
  <c r="H198" i="19"/>
  <c r="G198" i="19"/>
  <c r="F198" i="19"/>
  <c r="E198" i="19"/>
  <c r="D198" i="19"/>
  <c r="C198" i="19"/>
  <c r="H30" i="30"/>
  <c r="G30" i="30"/>
  <c r="E30" i="30"/>
  <c r="E38" i="30"/>
  <c r="P38" i="30"/>
  <c r="O38" i="30"/>
  <c r="N38" i="30"/>
  <c r="M38" i="30"/>
  <c r="L38" i="30"/>
  <c r="K38" i="30"/>
  <c r="J38" i="30"/>
  <c r="I38" i="30"/>
  <c r="H38" i="30"/>
  <c r="G38" i="30"/>
  <c r="F38" i="30"/>
  <c r="D38" i="30"/>
  <c r="C38" i="30"/>
  <c r="P36" i="20"/>
  <c r="O36" i="20"/>
  <c r="N36" i="20"/>
  <c r="M36" i="20"/>
  <c r="L36" i="20"/>
  <c r="K36" i="20"/>
  <c r="J36" i="20"/>
  <c r="I36" i="20"/>
  <c r="H36" i="20"/>
  <c r="G36" i="20"/>
  <c r="F36" i="20"/>
  <c r="E36" i="20"/>
  <c r="D36" i="20"/>
  <c r="C36" i="20"/>
  <c r="E36" i="41"/>
  <c r="C36" i="41"/>
  <c r="P36" i="41"/>
  <c r="O36" i="41"/>
  <c r="N36" i="41"/>
  <c r="M36" i="41"/>
  <c r="L36" i="41"/>
  <c r="K36" i="41"/>
  <c r="J36" i="41"/>
  <c r="I36" i="41"/>
  <c r="H36" i="41"/>
  <c r="G36" i="41"/>
  <c r="F36" i="41"/>
  <c r="D36" i="41"/>
  <c r="D39" i="17"/>
  <c r="F39" i="17"/>
  <c r="G39" i="17"/>
  <c r="H39" i="17"/>
  <c r="I39" i="17"/>
  <c r="J39" i="17"/>
  <c r="L39" i="17"/>
  <c r="M39" i="17"/>
  <c r="N39" i="17"/>
  <c r="O39" i="17"/>
  <c r="P39" i="17"/>
  <c r="C39" i="17"/>
  <c r="D162" i="47"/>
  <c r="K162" i="47"/>
  <c r="J162" i="47"/>
  <c r="I162" i="47"/>
  <c r="H162" i="47"/>
  <c r="G162" i="47"/>
  <c r="F162" i="47"/>
  <c r="E162" i="47"/>
  <c r="N27" i="48"/>
  <c r="K27" i="48"/>
  <c r="P26" i="48"/>
  <c r="O26" i="48"/>
  <c r="N26" i="48"/>
  <c r="M26" i="48"/>
  <c r="L26" i="48"/>
  <c r="K26" i="48"/>
  <c r="M25" i="48"/>
  <c r="K25" i="48"/>
  <c r="P25" i="48"/>
  <c r="O25" i="48"/>
  <c r="N25" i="48"/>
  <c r="L25" i="48"/>
  <c r="P24" i="31"/>
  <c r="N24" i="31"/>
  <c r="M24" i="31"/>
  <c r="K24" i="31"/>
  <c r="P24" i="48"/>
  <c r="O24" i="48"/>
  <c r="N24" i="48"/>
  <c r="M24" i="48"/>
  <c r="L24" i="48"/>
  <c r="K24" i="48"/>
  <c r="P22" i="48"/>
  <c r="N22" i="48"/>
  <c r="M22" i="48"/>
  <c r="K22" i="48"/>
  <c r="P21" i="48"/>
  <c r="N21" i="48"/>
  <c r="M21" i="48"/>
  <c r="K21" i="48"/>
  <c r="O21" i="48"/>
  <c r="L21" i="48"/>
  <c r="P20" i="48"/>
  <c r="N20" i="48"/>
  <c r="M20" i="48"/>
  <c r="K20" i="48"/>
  <c r="O20" i="48"/>
  <c r="L20" i="48"/>
  <c r="P70" i="21"/>
  <c r="O70" i="21"/>
  <c r="N70" i="21"/>
  <c r="M70" i="21"/>
  <c r="L70" i="21"/>
  <c r="K70" i="21"/>
  <c r="N19" i="48"/>
  <c r="M19" i="48"/>
  <c r="K19" i="48"/>
  <c r="P19" i="48"/>
  <c r="O19" i="48"/>
  <c r="L19" i="48"/>
  <c r="O17" i="24"/>
  <c r="N17" i="24"/>
  <c r="L17" i="24"/>
  <c r="K17" i="24"/>
  <c r="P17" i="48"/>
  <c r="N17" i="48"/>
  <c r="M17" i="48"/>
  <c r="K17" i="48"/>
  <c r="O17" i="48"/>
  <c r="L17" i="48"/>
  <c r="P15" i="48"/>
  <c r="O15" i="48"/>
  <c r="N15" i="48"/>
  <c r="M15" i="48"/>
  <c r="L15" i="48"/>
  <c r="K15" i="48"/>
  <c r="P13" i="48"/>
  <c r="N13" i="48"/>
  <c r="M13" i="48"/>
  <c r="K13" i="48"/>
  <c r="O13" i="48"/>
  <c r="P13" i="50"/>
  <c r="N13" i="50"/>
  <c r="M13" i="50"/>
  <c r="K13" i="50"/>
  <c r="L13" i="48"/>
  <c r="I20" i="35"/>
  <c r="I19" i="35"/>
  <c r="D19" i="35"/>
  <c r="E12" i="35"/>
  <c r="E29" i="35"/>
  <c r="C29" i="35"/>
  <c r="E28" i="35"/>
  <c r="C28" i="35"/>
  <c r="H19" i="35"/>
  <c r="G19" i="35"/>
  <c r="F19" i="35"/>
  <c r="E19" i="35"/>
  <c r="C19" i="35"/>
  <c r="G20" i="35"/>
  <c r="H20" i="35"/>
  <c r="F20" i="35"/>
  <c r="E20" i="35"/>
  <c r="D20" i="35"/>
  <c r="C20" i="35"/>
  <c r="F18" i="35"/>
  <c r="E18" i="35"/>
  <c r="C18" i="35"/>
  <c r="I16" i="35"/>
  <c r="F16" i="35"/>
  <c r="C16" i="35"/>
  <c r="G16" i="35"/>
  <c r="D16" i="35"/>
  <c r="H16" i="35"/>
  <c r="E16" i="35"/>
  <c r="I12" i="35"/>
  <c r="H12" i="35"/>
  <c r="G12" i="35"/>
  <c r="F12" i="35"/>
  <c r="D12" i="35"/>
  <c r="C12" i="35"/>
  <c r="G22" i="35"/>
  <c r="F22" i="35"/>
  <c r="D22" i="35"/>
  <c r="C22" i="35"/>
  <c r="G14" i="35"/>
  <c r="D14" i="35"/>
  <c r="C14" i="35"/>
  <c r="G17" i="35"/>
  <c r="D17" i="35"/>
  <c r="C17" i="35"/>
  <c r="G18" i="35"/>
  <c r="I13" i="35"/>
  <c r="F13" i="35"/>
  <c r="D13" i="35"/>
  <c r="C13" i="35"/>
  <c r="I18" i="35"/>
  <c r="E13" i="35"/>
  <c r="I24" i="35"/>
  <c r="D24" i="35"/>
  <c r="C24" i="35"/>
  <c r="I28" i="35"/>
  <c r="F28" i="35"/>
  <c r="H18" i="35"/>
  <c r="F15" i="35"/>
  <c r="D15" i="35"/>
  <c r="C15" i="35"/>
  <c r="F24" i="35"/>
  <c r="E24" i="35"/>
  <c r="I15" i="35"/>
  <c r="G15" i="35"/>
  <c r="H22" i="35"/>
  <c r="E22" i="35"/>
  <c r="I29" i="35"/>
  <c r="G29" i="35"/>
  <c r="G24" i="35"/>
  <c r="I22" i="35"/>
  <c r="D18" i="35"/>
  <c r="I14" i="35"/>
  <c r="H14" i="35"/>
  <c r="E14" i="35"/>
  <c r="G21" i="35"/>
  <c r="D21" i="35"/>
  <c r="D31" i="35"/>
  <c r="C21" i="35"/>
  <c r="C31" i="35"/>
  <c r="F14" i="35"/>
  <c r="F29" i="35"/>
  <c r="G13" i="35"/>
  <c r="F17" i="35"/>
  <c r="H15" i="35"/>
  <c r="E15" i="35"/>
  <c r="E31" i="35"/>
  <c r="H13" i="35"/>
  <c r="J225" i="21"/>
  <c r="J25" i="48"/>
  <c r="J24" i="31"/>
  <c r="J24" i="48"/>
  <c r="J21" i="48"/>
  <c r="J20" i="48"/>
  <c r="J19" i="31"/>
  <c r="J19" i="48"/>
  <c r="J70" i="21"/>
  <c r="J18" i="48"/>
  <c r="J17" i="48"/>
  <c r="J15" i="48"/>
  <c r="J14" i="48"/>
  <c r="J13" i="48"/>
  <c r="N30" i="34"/>
  <c r="E66" i="43"/>
  <c r="D66" i="43"/>
  <c r="F38" i="43"/>
  <c r="E38" i="43"/>
  <c r="D38" i="43"/>
  <c r="F57" i="43"/>
  <c r="E57" i="43"/>
  <c r="D67" i="43"/>
  <c r="E67" i="43"/>
  <c r="F66" i="43"/>
  <c r="F67" i="43"/>
  <c r="I28" i="34"/>
  <c r="H28" i="34"/>
  <c r="G28" i="34"/>
  <c r="F28" i="34"/>
  <c r="E28" i="34"/>
  <c r="D28" i="34"/>
  <c r="C28" i="34"/>
  <c r="I225" i="21"/>
  <c r="P209" i="21"/>
  <c r="P233" i="21"/>
  <c r="O209" i="21"/>
  <c r="O233" i="21"/>
  <c r="N209" i="21"/>
  <c r="N233" i="21"/>
  <c r="M209" i="21"/>
  <c r="M233" i="21"/>
  <c r="L209" i="21"/>
  <c r="L233" i="21"/>
  <c r="K209" i="21"/>
  <c r="K233" i="21"/>
  <c r="I27" i="34"/>
  <c r="H27" i="34"/>
  <c r="G27" i="34"/>
  <c r="F27" i="34"/>
  <c r="E27" i="34"/>
  <c r="D27" i="34"/>
  <c r="C27" i="34"/>
  <c r="I27" i="48"/>
  <c r="I26" i="34"/>
  <c r="H26" i="34"/>
  <c r="G26" i="34"/>
  <c r="F26" i="34"/>
  <c r="E26" i="34"/>
  <c r="D26" i="34"/>
  <c r="C26" i="34"/>
  <c r="I26" i="48"/>
  <c r="I25" i="34"/>
  <c r="H25" i="34"/>
  <c r="G25" i="34"/>
  <c r="F25" i="34"/>
  <c r="E25" i="34"/>
  <c r="D25" i="34"/>
  <c r="C25" i="34"/>
  <c r="I25" i="48"/>
  <c r="I24" i="34"/>
  <c r="H24" i="34"/>
  <c r="G24" i="34"/>
  <c r="F24" i="34"/>
  <c r="E24" i="34"/>
  <c r="D24" i="34"/>
  <c r="C24" i="34"/>
  <c r="I24" i="31"/>
  <c r="I24" i="48"/>
  <c r="I23" i="34"/>
  <c r="H23" i="34"/>
  <c r="G23" i="34"/>
  <c r="F23" i="34"/>
  <c r="E23" i="34"/>
  <c r="D23" i="34"/>
  <c r="C23" i="34"/>
  <c r="I23" i="48"/>
  <c r="I22" i="34"/>
  <c r="H22" i="34"/>
  <c r="G22" i="34"/>
  <c r="F22" i="34"/>
  <c r="E22" i="34"/>
  <c r="D22" i="34"/>
  <c r="C22" i="34"/>
  <c r="I22" i="31"/>
  <c r="I22" i="48"/>
  <c r="I21" i="34"/>
  <c r="H21" i="34"/>
  <c r="G21" i="34"/>
  <c r="F21" i="34"/>
  <c r="E21" i="34"/>
  <c r="D21" i="34"/>
  <c r="C21" i="34"/>
  <c r="I21" i="48"/>
  <c r="I20" i="34"/>
  <c r="H20" i="34"/>
  <c r="G20" i="34"/>
  <c r="F20" i="34"/>
  <c r="E20" i="34"/>
  <c r="D20" i="34"/>
  <c r="C20" i="34"/>
  <c r="I20" i="48"/>
  <c r="I19" i="34"/>
  <c r="H19" i="34"/>
  <c r="G19" i="34"/>
  <c r="F19" i="34"/>
  <c r="E19" i="34"/>
  <c r="D19" i="34"/>
  <c r="C19" i="34"/>
  <c r="I19" i="48"/>
  <c r="I18" i="34"/>
  <c r="H18" i="34"/>
  <c r="G18" i="34"/>
  <c r="F18" i="34"/>
  <c r="C18" i="34"/>
  <c r="E18" i="34"/>
  <c r="D18" i="34"/>
  <c r="I70" i="21"/>
  <c r="I18" i="31"/>
  <c r="I18" i="48"/>
  <c r="I18" i="50"/>
  <c r="I17" i="34"/>
  <c r="H17" i="34"/>
  <c r="G17" i="34"/>
  <c r="F17" i="34"/>
  <c r="C17" i="34"/>
  <c r="E17" i="34"/>
  <c r="D17" i="34"/>
  <c r="I17" i="24"/>
  <c r="I17" i="48"/>
  <c r="I15" i="48"/>
  <c r="I14" i="34"/>
  <c r="H14" i="34"/>
  <c r="G14" i="34"/>
  <c r="F14" i="34"/>
  <c r="E14" i="34"/>
  <c r="D14" i="34"/>
  <c r="C14" i="34"/>
  <c r="I13" i="34"/>
  <c r="H13" i="34"/>
  <c r="G13" i="34"/>
  <c r="F13" i="34"/>
  <c r="C13" i="34"/>
  <c r="E13" i="34"/>
  <c r="D13" i="34"/>
  <c r="I13" i="48"/>
  <c r="G27" i="48"/>
  <c r="E27" i="48"/>
  <c r="C27" i="48"/>
  <c r="H26" i="48"/>
  <c r="G26" i="48"/>
  <c r="E26" i="48"/>
  <c r="D26" i="48"/>
  <c r="C26" i="48"/>
  <c r="H25" i="48"/>
  <c r="G25" i="48"/>
  <c r="E25" i="48"/>
  <c r="D25" i="48"/>
  <c r="C25" i="48"/>
  <c r="H24" i="31"/>
  <c r="G24" i="31"/>
  <c r="E24" i="31"/>
  <c r="D24" i="31"/>
  <c r="C24" i="31"/>
  <c r="H24" i="48"/>
  <c r="G24" i="48"/>
  <c r="F24" i="48"/>
  <c r="E24" i="48"/>
  <c r="D24" i="48"/>
  <c r="C24" i="48"/>
  <c r="G23" i="48"/>
  <c r="F23" i="48"/>
  <c r="E23" i="48"/>
  <c r="C23" i="48"/>
  <c r="H23" i="48"/>
  <c r="F22" i="31"/>
  <c r="E22" i="31"/>
  <c r="D22" i="31"/>
  <c r="C22" i="31"/>
  <c r="H22" i="48"/>
  <c r="F22" i="48"/>
  <c r="E22" i="48"/>
  <c r="D22" i="48"/>
  <c r="C22" i="48"/>
  <c r="G22" i="48"/>
  <c r="H21" i="48"/>
  <c r="G21" i="48"/>
  <c r="F21" i="48"/>
  <c r="E21" i="48"/>
  <c r="C21" i="48"/>
  <c r="D21" i="48"/>
  <c r="H20" i="48"/>
  <c r="G20" i="48"/>
  <c r="F20" i="48"/>
  <c r="E20" i="48"/>
  <c r="C20" i="48"/>
  <c r="D20" i="48"/>
  <c r="H19" i="31"/>
  <c r="E19" i="31"/>
  <c r="D19" i="31"/>
  <c r="C19" i="31"/>
  <c r="H19" i="48"/>
  <c r="G19" i="48"/>
  <c r="F19" i="48"/>
  <c r="E19" i="48"/>
  <c r="D19" i="48"/>
  <c r="C19" i="48"/>
  <c r="H70" i="21"/>
  <c r="G70" i="21"/>
  <c r="F70" i="21"/>
  <c r="E70" i="21"/>
  <c r="D70" i="21"/>
  <c r="C70" i="21"/>
  <c r="F18" i="48"/>
  <c r="E18" i="48"/>
  <c r="C18" i="48"/>
  <c r="H18" i="50"/>
  <c r="D18" i="50"/>
  <c r="C18" i="50"/>
  <c r="F18" i="50"/>
  <c r="G17" i="24"/>
  <c r="F17" i="24"/>
  <c r="D17" i="24"/>
  <c r="C17" i="24"/>
  <c r="H17" i="48"/>
  <c r="G17" i="48"/>
  <c r="F17" i="48"/>
  <c r="E17" i="48"/>
  <c r="D17" i="48"/>
  <c r="C17" i="48"/>
  <c r="F16" i="31"/>
  <c r="E16" i="31"/>
  <c r="D16" i="31"/>
  <c r="C16" i="31"/>
  <c r="H15" i="48"/>
  <c r="G15" i="48"/>
  <c r="E15" i="48"/>
  <c r="C15" i="48"/>
  <c r="F15" i="48"/>
  <c r="D15" i="48"/>
  <c r="H14" i="48"/>
  <c r="G14" i="48"/>
  <c r="F14" i="48"/>
  <c r="E14" i="48"/>
  <c r="C14" i="48"/>
  <c r="C13" i="48"/>
  <c r="H13" i="48"/>
  <c r="F13" i="48"/>
  <c r="E13" i="48"/>
  <c r="G13" i="48"/>
  <c r="D13" i="48"/>
  <c r="D74" i="19"/>
  <c r="N181" i="21"/>
  <c r="C30" i="34"/>
  <c r="C162" i="19"/>
  <c r="C110" i="19"/>
  <c r="I31" i="35"/>
  <c r="H31" i="35"/>
  <c r="G31" i="35"/>
  <c r="F31" i="35"/>
  <c r="H30" i="34"/>
  <c r="G30" i="34"/>
  <c r="F30" i="34"/>
  <c r="E30" i="34"/>
  <c r="D30" i="34"/>
  <c r="I30" i="34"/>
  <c r="M30" i="34"/>
  <c r="C22" i="19"/>
  <c r="P14" i="21"/>
  <c r="P22" i="19"/>
  <c r="O22" i="19"/>
  <c r="N30" i="19"/>
  <c r="N14" i="74"/>
  <c r="I32" i="21"/>
  <c r="I23" i="21"/>
  <c r="C14" i="21"/>
  <c r="D14" i="21"/>
  <c r="E14" i="21"/>
  <c r="F14" i="21"/>
  <c r="G14" i="21"/>
  <c r="H14" i="21"/>
  <c r="I14" i="21"/>
  <c r="J14" i="21"/>
  <c r="K14" i="21"/>
  <c r="L14" i="21"/>
  <c r="M14" i="21"/>
  <c r="N14" i="21"/>
  <c r="O14" i="21"/>
  <c r="C23" i="21"/>
  <c r="D23" i="21"/>
  <c r="E23" i="21"/>
  <c r="F23" i="21"/>
  <c r="G23" i="21"/>
  <c r="H23" i="21"/>
  <c r="J23" i="21"/>
  <c r="K23" i="21"/>
  <c r="L23" i="21"/>
  <c r="M23" i="21"/>
  <c r="N23" i="21"/>
  <c r="O23" i="21"/>
  <c r="P23" i="21"/>
  <c r="P13" i="52"/>
  <c r="C32" i="21"/>
  <c r="D32" i="21"/>
  <c r="E32" i="21"/>
  <c r="F32" i="21"/>
  <c r="G32" i="21"/>
  <c r="H32" i="21"/>
  <c r="J32" i="21"/>
  <c r="K32" i="21"/>
  <c r="L32" i="21"/>
  <c r="M32" i="21"/>
  <c r="N32" i="21"/>
  <c r="O32" i="21"/>
  <c r="P32" i="21"/>
  <c r="C41" i="21"/>
  <c r="D41" i="21"/>
  <c r="E41" i="21"/>
  <c r="F41" i="21"/>
  <c r="G41" i="21"/>
  <c r="H41" i="21"/>
  <c r="I41" i="21"/>
  <c r="K41" i="21"/>
  <c r="L41" i="21"/>
  <c r="M41" i="21"/>
  <c r="N41" i="21"/>
  <c r="O41" i="21"/>
  <c r="P41" i="21"/>
  <c r="P170" i="19"/>
  <c r="N170" i="19"/>
  <c r="M170" i="19"/>
  <c r="L170" i="19"/>
  <c r="K170" i="19"/>
  <c r="K27" i="74"/>
  <c r="J170" i="19"/>
  <c r="J27" i="74"/>
  <c r="I170" i="19"/>
  <c r="H170" i="19"/>
  <c r="G170" i="19"/>
  <c r="F170" i="19"/>
  <c r="F27" i="74"/>
  <c r="E170" i="19"/>
  <c r="D170" i="19"/>
  <c r="C170" i="19"/>
  <c r="P150" i="19"/>
  <c r="P26" i="74"/>
  <c r="O150" i="19"/>
  <c r="N150" i="19"/>
  <c r="M150" i="19"/>
  <c r="L150" i="19"/>
  <c r="K150" i="19"/>
  <c r="J150" i="19"/>
  <c r="I150" i="19"/>
  <c r="H150" i="19"/>
  <c r="H26" i="74"/>
  <c r="G150" i="19"/>
  <c r="F150" i="19"/>
  <c r="E150" i="19"/>
  <c r="D150" i="19"/>
  <c r="D26" i="74"/>
  <c r="C150" i="19"/>
  <c r="C142" i="19"/>
  <c r="P142" i="19"/>
  <c r="O142" i="19"/>
  <c r="O25" i="74"/>
  <c r="N142" i="19"/>
  <c r="M142" i="19"/>
  <c r="L142" i="19"/>
  <c r="K142" i="19"/>
  <c r="K25" i="74"/>
  <c r="J142" i="19"/>
  <c r="I142" i="19"/>
  <c r="H142" i="19"/>
  <c r="H25" i="74"/>
  <c r="G142" i="19"/>
  <c r="G25" i="74"/>
  <c r="F142" i="19"/>
  <c r="E142" i="19"/>
  <c r="D142" i="19"/>
  <c r="C134" i="19"/>
  <c r="C24" i="74"/>
  <c r="P134" i="19"/>
  <c r="O134" i="19"/>
  <c r="N134" i="19"/>
  <c r="M134" i="19"/>
  <c r="M24" i="74"/>
  <c r="L134" i="19"/>
  <c r="K134" i="19"/>
  <c r="J134" i="19"/>
  <c r="I134" i="19"/>
  <c r="I24" i="74"/>
  <c r="H134" i="19"/>
  <c r="G134" i="19"/>
  <c r="F134" i="19"/>
  <c r="E134" i="19"/>
  <c r="E24" i="74"/>
  <c r="D134" i="19"/>
  <c r="C126" i="19"/>
  <c r="P126" i="19"/>
  <c r="O126" i="19"/>
  <c r="N126" i="19"/>
  <c r="M126" i="19"/>
  <c r="L126" i="19"/>
  <c r="L23" i="74"/>
  <c r="K126" i="19"/>
  <c r="K23" i="74"/>
  <c r="J126" i="19"/>
  <c r="I126" i="19"/>
  <c r="H126" i="19"/>
  <c r="G126" i="19"/>
  <c r="F126" i="19"/>
  <c r="E126" i="19"/>
  <c r="D126" i="19"/>
  <c r="D118" i="19"/>
  <c r="D22" i="74"/>
  <c r="P118" i="19"/>
  <c r="O118" i="19"/>
  <c r="N118" i="19"/>
  <c r="M118" i="19"/>
  <c r="L118" i="19"/>
  <c r="K118" i="19"/>
  <c r="J118" i="19"/>
  <c r="I118" i="19"/>
  <c r="I22" i="74"/>
  <c r="H118" i="19"/>
  <c r="G118" i="19"/>
  <c r="F118" i="19"/>
  <c r="E118" i="19"/>
  <c r="E22" i="74"/>
  <c r="C118" i="19"/>
  <c r="P98" i="19"/>
  <c r="O98" i="19"/>
  <c r="N98" i="19"/>
  <c r="N21" i="74"/>
  <c r="M98" i="19"/>
  <c r="L98" i="19"/>
  <c r="K98" i="19"/>
  <c r="J98" i="19"/>
  <c r="J21" i="74"/>
  <c r="I98" i="19"/>
  <c r="H98" i="19"/>
  <c r="G98" i="19"/>
  <c r="F98" i="19"/>
  <c r="F21" i="74"/>
  <c r="E98" i="19"/>
  <c r="D98" i="19"/>
  <c r="C98" i="19"/>
  <c r="J90" i="19"/>
  <c r="J20" i="74"/>
  <c r="P90" i="19"/>
  <c r="O90" i="19"/>
  <c r="N90" i="19"/>
  <c r="M90" i="19"/>
  <c r="M20" i="74"/>
  <c r="L90" i="19"/>
  <c r="K90" i="19"/>
  <c r="I90" i="19"/>
  <c r="H90" i="19"/>
  <c r="G90" i="19"/>
  <c r="F90" i="19"/>
  <c r="E90" i="19"/>
  <c r="E20" i="74"/>
  <c r="D90" i="19"/>
  <c r="C90" i="19"/>
  <c r="C82" i="19"/>
  <c r="P82" i="19"/>
  <c r="O82" i="19"/>
  <c r="N82" i="19"/>
  <c r="M82" i="19"/>
  <c r="L82" i="19"/>
  <c r="L19" i="74"/>
  <c r="K82" i="19"/>
  <c r="K19" i="74"/>
  <c r="J82" i="19"/>
  <c r="I82" i="19"/>
  <c r="G82" i="19"/>
  <c r="F82" i="19"/>
  <c r="F19" i="74"/>
  <c r="E82" i="19"/>
  <c r="D82" i="19"/>
  <c r="P74" i="19"/>
  <c r="P18" i="74"/>
  <c r="O74" i="19"/>
  <c r="O18" i="74"/>
  <c r="N74" i="19"/>
  <c r="M74" i="19"/>
  <c r="L74" i="19"/>
  <c r="K74" i="19"/>
  <c r="J74" i="19"/>
  <c r="I74" i="19"/>
  <c r="H74" i="19"/>
  <c r="H18" i="74"/>
  <c r="G74" i="19"/>
  <c r="G18" i="74"/>
  <c r="F74" i="19"/>
  <c r="E74" i="19"/>
  <c r="C74" i="19"/>
  <c r="C46" i="19"/>
  <c r="C16" i="74"/>
  <c r="C66" i="19"/>
  <c r="C17" i="74"/>
  <c r="P66" i="19"/>
  <c r="P17" i="74"/>
  <c r="O66" i="19"/>
  <c r="O17" i="74"/>
  <c r="N66" i="19"/>
  <c r="N17" i="74"/>
  <c r="M66" i="19"/>
  <c r="M17" i="74"/>
  <c r="L66" i="19"/>
  <c r="L17" i="74"/>
  <c r="K66" i="19"/>
  <c r="K17" i="74"/>
  <c r="J66" i="19"/>
  <c r="J17" i="74"/>
  <c r="I66" i="19"/>
  <c r="I17" i="74"/>
  <c r="H66" i="19"/>
  <c r="H17" i="74"/>
  <c r="G66" i="19"/>
  <c r="F66" i="19"/>
  <c r="F17" i="74"/>
  <c r="E66" i="19"/>
  <c r="E17" i="74"/>
  <c r="D66" i="19"/>
  <c r="D17" i="74"/>
  <c r="P46" i="19"/>
  <c r="O46" i="19"/>
  <c r="O16" i="74"/>
  <c r="N46" i="19"/>
  <c r="M46" i="19"/>
  <c r="L46" i="19"/>
  <c r="K46" i="19"/>
  <c r="K16" i="74"/>
  <c r="J46" i="19"/>
  <c r="I46" i="19"/>
  <c r="I16" i="74"/>
  <c r="H46" i="19"/>
  <c r="G46" i="19"/>
  <c r="G16" i="74"/>
  <c r="F46" i="19"/>
  <c r="E46" i="19"/>
  <c r="D46" i="19"/>
  <c r="P38" i="19"/>
  <c r="P15" i="74"/>
  <c r="O38" i="19"/>
  <c r="O15" i="74"/>
  <c r="N38" i="19"/>
  <c r="M38" i="19"/>
  <c r="L38" i="19"/>
  <c r="L15" i="74"/>
  <c r="K38" i="19"/>
  <c r="K15" i="74"/>
  <c r="J38" i="19"/>
  <c r="I38" i="19"/>
  <c r="I15" i="74"/>
  <c r="H38" i="19"/>
  <c r="G38" i="19"/>
  <c r="G15" i="74"/>
  <c r="F38" i="19"/>
  <c r="E38" i="19"/>
  <c r="D38" i="19"/>
  <c r="C38" i="19"/>
  <c r="C15" i="74"/>
  <c r="H30" i="19"/>
  <c r="H14" i="74"/>
  <c r="P30" i="19"/>
  <c r="P14" i="74"/>
  <c r="O30" i="19"/>
  <c r="O14" i="74"/>
  <c r="M30" i="19"/>
  <c r="L30" i="19"/>
  <c r="L14" i="74"/>
  <c r="K30" i="19"/>
  <c r="J30" i="19"/>
  <c r="J14" i="74"/>
  <c r="I30" i="19"/>
  <c r="I14" i="74"/>
  <c r="G30" i="19"/>
  <c r="G14" i="74"/>
  <c r="F30" i="19"/>
  <c r="E30" i="19"/>
  <c r="E14" i="74"/>
  <c r="D30" i="19"/>
  <c r="C30" i="19"/>
  <c r="N22" i="19"/>
  <c r="M22" i="19"/>
  <c r="L22" i="19"/>
  <c r="K22" i="19"/>
  <c r="K13" i="74"/>
  <c r="J22" i="19"/>
  <c r="I22" i="19"/>
  <c r="I13" i="74"/>
  <c r="H22" i="19"/>
  <c r="H13" i="74"/>
  <c r="G22" i="19"/>
  <c r="F22" i="19"/>
  <c r="E22" i="19"/>
  <c r="E13" i="74"/>
  <c r="D22" i="19"/>
  <c r="D13" i="74"/>
  <c r="P14" i="19"/>
  <c r="P12" i="74"/>
  <c r="P29" i="74"/>
  <c r="O14" i="19"/>
  <c r="O12" i="74"/>
  <c r="O29" i="74"/>
  <c r="N14" i="19"/>
  <c r="N12" i="74"/>
  <c r="N29" i="74"/>
  <c r="M14" i="19"/>
  <c r="M12" i="74"/>
  <c r="M29" i="74"/>
  <c r="L14" i="19"/>
  <c r="K14" i="19"/>
  <c r="J14" i="19"/>
  <c r="J12" i="74"/>
  <c r="J29" i="74"/>
  <c r="I14" i="19"/>
  <c r="I12" i="74"/>
  <c r="I29" i="74"/>
  <c r="H14" i="19"/>
  <c r="G14" i="19"/>
  <c r="G12" i="74"/>
  <c r="G29" i="74"/>
  <c r="F14" i="19"/>
  <c r="F12" i="74"/>
  <c r="F29" i="74"/>
  <c r="E14" i="19"/>
  <c r="E12" i="74"/>
  <c r="E29" i="74"/>
  <c r="D14" i="19"/>
  <c r="C14" i="19"/>
  <c r="D181" i="21"/>
  <c r="D27" i="52"/>
  <c r="E181" i="21"/>
  <c r="E27" i="52"/>
  <c r="F181" i="21"/>
  <c r="G181" i="21"/>
  <c r="H181" i="21"/>
  <c r="I181" i="21"/>
  <c r="J181" i="21"/>
  <c r="K181" i="21"/>
  <c r="L181" i="21"/>
  <c r="M181" i="21"/>
  <c r="M27" i="52"/>
  <c r="O181" i="21"/>
  <c r="P181" i="21"/>
  <c r="P27" i="52"/>
  <c r="C181" i="21"/>
  <c r="N172" i="21"/>
  <c r="K172" i="21"/>
  <c r="F172" i="21"/>
  <c r="E172" i="21"/>
  <c r="G172" i="21"/>
  <c r="G26" i="52"/>
  <c r="H172" i="21"/>
  <c r="I172" i="21"/>
  <c r="I26" i="52"/>
  <c r="J172" i="21"/>
  <c r="L172" i="21"/>
  <c r="M172" i="21"/>
  <c r="O172" i="21"/>
  <c r="O26" i="52"/>
  <c r="P172" i="21"/>
  <c r="D172" i="21"/>
  <c r="C172" i="21"/>
  <c r="N163" i="21"/>
  <c r="E163" i="21"/>
  <c r="F163" i="21"/>
  <c r="F25" i="52"/>
  <c r="G163" i="21"/>
  <c r="H163" i="21"/>
  <c r="I163" i="21"/>
  <c r="J163" i="21"/>
  <c r="K163" i="21"/>
  <c r="L163" i="21"/>
  <c r="L25" i="52"/>
  <c r="M163" i="21"/>
  <c r="M25" i="52"/>
  <c r="O163" i="21"/>
  <c r="P163" i="21"/>
  <c r="D163" i="21"/>
  <c r="D25" i="52"/>
  <c r="C163" i="21"/>
  <c r="O154" i="21"/>
  <c r="D154" i="21"/>
  <c r="E154" i="21"/>
  <c r="F154" i="21"/>
  <c r="G154" i="21"/>
  <c r="H154" i="21"/>
  <c r="I154" i="21"/>
  <c r="J154" i="21"/>
  <c r="K154" i="21"/>
  <c r="L154" i="21"/>
  <c r="M154" i="21"/>
  <c r="N154" i="21"/>
  <c r="P154" i="21"/>
  <c r="O135" i="21"/>
  <c r="K135" i="21"/>
  <c r="D135" i="21"/>
  <c r="E135" i="21"/>
  <c r="F135" i="21"/>
  <c r="G135" i="21"/>
  <c r="H135" i="21"/>
  <c r="I135" i="21"/>
  <c r="J135" i="21"/>
  <c r="L135" i="21"/>
  <c r="M135" i="21"/>
  <c r="N135" i="21"/>
  <c r="P135" i="21"/>
  <c r="C135" i="21"/>
  <c r="N126" i="21"/>
  <c r="K126" i="21"/>
  <c r="D126" i="21"/>
  <c r="E126" i="21"/>
  <c r="F126" i="21"/>
  <c r="G126" i="21"/>
  <c r="H126" i="21"/>
  <c r="I126" i="21"/>
  <c r="J126" i="21"/>
  <c r="L126" i="21"/>
  <c r="L22" i="52"/>
  <c r="M126" i="21"/>
  <c r="O126" i="21"/>
  <c r="P126" i="21"/>
  <c r="C126" i="21"/>
  <c r="N117" i="21"/>
  <c r="K117" i="21"/>
  <c r="E117" i="21"/>
  <c r="F117" i="21"/>
  <c r="G117" i="21"/>
  <c r="H117" i="21"/>
  <c r="I117" i="21"/>
  <c r="J117" i="21"/>
  <c r="L117" i="21"/>
  <c r="M117" i="21"/>
  <c r="M21" i="52"/>
  <c r="O117" i="21"/>
  <c r="P117" i="21"/>
  <c r="D117" i="21"/>
  <c r="C117" i="21"/>
  <c r="N108" i="21"/>
  <c r="E108" i="21"/>
  <c r="F108" i="21"/>
  <c r="G108" i="21"/>
  <c r="G20" i="52"/>
  <c r="H108" i="21"/>
  <c r="I108" i="21"/>
  <c r="J108" i="21"/>
  <c r="K108" i="21"/>
  <c r="L108" i="21"/>
  <c r="L20" i="52"/>
  <c r="M108" i="21"/>
  <c r="O108" i="21"/>
  <c r="P108" i="21"/>
  <c r="D108" i="21"/>
  <c r="C108" i="21"/>
  <c r="N89" i="21"/>
  <c r="I89" i="21"/>
  <c r="E89" i="21"/>
  <c r="F89" i="21"/>
  <c r="G89" i="21"/>
  <c r="H89" i="21"/>
  <c r="J89" i="21"/>
  <c r="K89" i="21"/>
  <c r="L89" i="21"/>
  <c r="M89" i="21"/>
  <c r="M19" i="52"/>
  <c r="O89" i="21"/>
  <c r="P89" i="21"/>
  <c r="P19" i="52"/>
  <c r="D89" i="21"/>
  <c r="D19" i="52"/>
  <c r="N80" i="21"/>
  <c r="E80" i="21"/>
  <c r="F80" i="21"/>
  <c r="F18" i="52"/>
  <c r="G80" i="21"/>
  <c r="H80" i="21"/>
  <c r="I80" i="21"/>
  <c r="J80" i="21"/>
  <c r="K80" i="21"/>
  <c r="L80" i="21"/>
  <c r="L18" i="52"/>
  <c r="M80" i="21"/>
  <c r="M18" i="52"/>
  <c r="O80" i="21"/>
  <c r="P80" i="21"/>
  <c r="D80" i="21"/>
  <c r="D18" i="52"/>
  <c r="C80" i="21"/>
  <c r="E17" i="52"/>
  <c r="O61" i="21"/>
  <c r="K61" i="21"/>
  <c r="D61" i="21"/>
  <c r="E61" i="21"/>
  <c r="F61" i="21"/>
  <c r="G61" i="21"/>
  <c r="H61" i="21"/>
  <c r="I61" i="21"/>
  <c r="J61" i="21"/>
  <c r="L61" i="21"/>
  <c r="L16" i="52"/>
  <c r="M61" i="21"/>
  <c r="N61" i="21"/>
  <c r="P61" i="21"/>
  <c r="C61" i="21"/>
  <c r="C89" i="21"/>
  <c r="C154" i="21"/>
  <c r="F23" i="52"/>
  <c r="H82" i="19"/>
  <c r="O170" i="19"/>
  <c r="O27" i="74"/>
  <c r="C13" i="74"/>
  <c r="C13" i="52"/>
  <c r="J13" i="52"/>
  <c r="J13" i="74"/>
  <c r="F14" i="52"/>
  <c r="F14" i="74"/>
  <c r="D16" i="74"/>
  <c r="L16" i="74"/>
  <c r="G17" i="52"/>
  <c r="G17" i="74"/>
  <c r="O21" i="74"/>
  <c r="J22" i="74"/>
  <c r="N24" i="74"/>
  <c r="I26" i="74"/>
  <c r="J15" i="52"/>
  <c r="J15" i="74"/>
  <c r="E16" i="74"/>
  <c r="M16" i="74"/>
  <c r="I18" i="74"/>
  <c r="D19" i="74"/>
  <c r="M19" i="74"/>
  <c r="F20" i="74"/>
  <c r="O20" i="74"/>
  <c r="H21" i="74"/>
  <c r="P21" i="74"/>
  <c r="K22" i="74"/>
  <c r="E23" i="74"/>
  <c r="M23" i="74"/>
  <c r="G24" i="74"/>
  <c r="O24" i="74"/>
  <c r="I25" i="74"/>
  <c r="C25" i="74"/>
  <c r="J26" i="74"/>
  <c r="D27" i="74"/>
  <c r="L27" i="74"/>
  <c r="H15" i="52"/>
  <c r="H15" i="74"/>
  <c r="M24" i="52"/>
  <c r="N20" i="74"/>
  <c r="G21" i="74"/>
  <c r="D23" i="74"/>
  <c r="F24" i="74"/>
  <c r="P25" i="74"/>
  <c r="C27" i="74"/>
  <c r="H19" i="74"/>
  <c r="H12" i="74"/>
  <c r="H29" i="74"/>
  <c r="E20" i="52"/>
  <c r="L13" i="52"/>
  <c r="L13" i="74"/>
  <c r="F16" i="74"/>
  <c r="N16" i="74"/>
  <c r="J18" i="74"/>
  <c r="E19" i="74"/>
  <c r="N19" i="74"/>
  <c r="G20" i="74"/>
  <c r="P20" i="74"/>
  <c r="I21" i="74"/>
  <c r="C22" i="74"/>
  <c r="L22" i="74"/>
  <c r="F23" i="74"/>
  <c r="N23" i="74"/>
  <c r="H24" i="74"/>
  <c r="P24" i="74"/>
  <c r="J25" i="74"/>
  <c r="C26" i="74"/>
  <c r="K26" i="74"/>
  <c r="E27" i="74"/>
  <c r="M27" i="74"/>
  <c r="G25" i="52"/>
  <c r="M13" i="52"/>
  <c r="M13" i="74"/>
  <c r="D15" i="52"/>
  <c r="D15" i="74"/>
  <c r="K18" i="52"/>
  <c r="K18" i="74"/>
  <c r="M22" i="74"/>
  <c r="G23" i="74"/>
  <c r="O23" i="74"/>
  <c r="L26" i="74"/>
  <c r="N27" i="52"/>
  <c r="N27" i="74"/>
  <c r="D17" i="52"/>
  <c r="C16" i="52"/>
  <c r="H18" i="52"/>
  <c r="L23" i="52"/>
  <c r="C12" i="52"/>
  <c r="C12" i="74"/>
  <c r="C29" i="74"/>
  <c r="K12" i="74"/>
  <c r="K29" i="74"/>
  <c r="F13" i="74"/>
  <c r="N13" i="52"/>
  <c r="N13" i="74"/>
  <c r="K14" i="52"/>
  <c r="K14" i="74"/>
  <c r="E15" i="74"/>
  <c r="M15" i="74"/>
  <c r="H16" i="74"/>
  <c r="P16" i="74"/>
  <c r="C18" i="74"/>
  <c r="L18" i="74"/>
  <c r="G19" i="74"/>
  <c r="P19" i="74"/>
  <c r="I20" i="74"/>
  <c r="C21" i="74"/>
  <c r="K21" i="74"/>
  <c r="F22" i="74"/>
  <c r="N22" i="74"/>
  <c r="H23" i="74"/>
  <c r="P23" i="74"/>
  <c r="J24" i="74"/>
  <c r="D25" i="74"/>
  <c r="L25" i="74"/>
  <c r="E26" i="74"/>
  <c r="M26" i="74"/>
  <c r="G27" i="52"/>
  <c r="G27" i="74"/>
  <c r="P27" i="74"/>
  <c r="O13" i="74"/>
  <c r="H20" i="74"/>
  <c r="L12" i="74"/>
  <c r="L29" i="74"/>
  <c r="G13" i="74"/>
  <c r="C14" i="52"/>
  <c r="C14" i="74"/>
  <c r="F15" i="52"/>
  <c r="F15" i="74"/>
  <c r="N15" i="74"/>
  <c r="E18" i="74"/>
  <c r="M18" i="74"/>
  <c r="I19" i="74"/>
  <c r="C19" i="74"/>
  <c r="K20" i="74"/>
  <c r="D21" i="74"/>
  <c r="L21" i="74"/>
  <c r="G22" i="74"/>
  <c r="O22" i="74"/>
  <c r="I23" i="74"/>
  <c r="C23" i="74"/>
  <c r="K24" i="74"/>
  <c r="E25" i="74"/>
  <c r="M25" i="74"/>
  <c r="F26" i="74"/>
  <c r="N26" i="74"/>
  <c r="H27" i="74"/>
  <c r="P13" i="74"/>
  <c r="D20" i="74"/>
  <c r="P26" i="52"/>
  <c r="O19" i="74"/>
  <c r="G18" i="52"/>
  <c r="D12" i="74"/>
  <c r="D29" i="74"/>
  <c r="H20" i="52"/>
  <c r="D14" i="52"/>
  <c r="D14" i="74"/>
  <c r="M14" i="52"/>
  <c r="M14" i="74"/>
  <c r="J16" i="74"/>
  <c r="F18" i="74"/>
  <c r="N18" i="74"/>
  <c r="J19" i="74"/>
  <c r="C20" i="74"/>
  <c r="L20" i="74"/>
  <c r="E21" i="74"/>
  <c r="M21" i="74"/>
  <c r="H22" i="74"/>
  <c r="P22" i="74"/>
  <c r="J23" i="74"/>
  <c r="D24" i="74"/>
  <c r="L24" i="74"/>
  <c r="F25" i="74"/>
  <c r="N25" i="74"/>
  <c r="G26" i="74"/>
  <c r="O26" i="74"/>
  <c r="I27" i="74"/>
  <c r="D18" i="74"/>
  <c r="H16" i="52"/>
  <c r="F16" i="52"/>
  <c r="D16" i="52"/>
  <c r="P18" i="52"/>
  <c r="G19" i="52"/>
  <c r="H24" i="52"/>
  <c r="E26" i="52"/>
  <c r="I198" i="19"/>
  <c r="O27" i="52"/>
  <c r="M26" i="52"/>
  <c r="P25" i="52"/>
  <c r="L24" i="52"/>
  <c r="P24" i="52"/>
  <c r="O24" i="52"/>
  <c r="P23" i="52"/>
  <c r="O23" i="52"/>
  <c r="P22" i="52"/>
  <c r="P21" i="52"/>
  <c r="P20" i="52"/>
  <c r="M20" i="52"/>
  <c r="L19" i="52"/>
  <c r="P17" i="52"/>
  <c r="L17" i="52"/>
  <c r="M17" i="52"/>
  <c r="O16" i="52"/>
  <c r="M16" i="52"/>
  <c r="P16" i="52"/>
  <c r="L15" i="52"/>
  <c r="O14" i="52"/>
  <c r="L12" i="52"/>
  <c r="N12" i="52"/>
  <c r="J22" i="52"/>
  <c r="J16" i="52"/>
  <c r="J12" i="52"/>
  <c r="C27" i="52"/>
  <c r="G24" i="52"/>
  <c r="E24" i="52"/>
  <c r="F24" i="52"/>
  <c r="D24" i="52"/>
  <c r="D23" i="52"/>
  <c r="H23" i="52"/>
  <c r="H22" i="52"/>
  <c r="F22" i="52"/>
  <c r="F21" i="52"/>
  <c r="H21" i="52"/>
  <c r="F20" i="52"/>
  <c r="D20" i="52"/>
  <c r="E19" i="52"/>
  <c r="F19" i="52"/>
  <c r="E18" i="52"/>
  <c r="H17" i="52"/>
  <c r="E16" i="52"/>
  <c r="H14" i="52"/>
  <c r="H12" i="52"/>
  <c r="F12" i="52"/>
  <c r="D12" i="52"/>
  <c r="F27" i="52"/>
  <c r="H27" i="52"/>
  <c r="L27" i="52"/>
  <c r="D26" i="52"/>
  <c r="F26" i="52"/>
  <c r="H26" i="52"/>
  <c r="H25" i="52"/>
  <c r="E25" i="52"/>
  <c r="O25" i="52"/>
  <c r="C25" i="52"/>
  <c r="E23" i="52"/>
  <c r="G23" i="52"/>
  <c r="M23" i="52"/>
  <c r="D21" i="52"/>
  <c r="O20" i="52"/>
  <c r="O18" i="52"/>
  <c r="O17" i="52"/>
  <c r="G16" i="52"/>
  <c r="C15" i="52"/>
  <c r="E15" i="52"/>
  <c r="G15" i="52"/>
  <c r="I15" i="52"/>
  <c r="E14" i="52"/>
  <c r="G14" i="52"/>
  <c r="J14" i="52"/>
  <c r="L14" i="52"/>
  <c r="E13" i="52"/>
  <c r="G13" i="52"/>
  <c r="I13" i="52"/>
  <c r="O13" i="52"/>
  <c r="P12" i="52"/>
  <c r="O22" i="52"/>
  <c r="G22" i="52"/>
  <c r="E22" i="52"/>
  <c r="O21" i="52"/>
  <c r="I21" i="52"/>
  <c r="G21" i="52"/>
  <c r="E21" i="52"/>
  <c r="M12" i="52"/>
  <c r="K16" i="52"/>
  <c r="K15" i="52"/>
  <c r="K13" i="52"/>
  <c r="K12" i="52"/>
  <c r="I16" i="52"/>
  <c r="F17" i="52"/>
  <c r="O19" i="52"/>
  <c r="L21" i="52"/>
  <c r="M22" i="52"/>
  <c r="D22" i="52"/>
  <c r="L26" i="52"/>
  <c r="E12" i="52"/>
  <c r="G12" i="52"/>
  <c r="I12" i="52"/>
  <c r="O12" i="52"/>
  <c r="D13" i="52"/>
  <c r="F13" i="52"/>
  <c r="H13" i="52"/>
  <c r="I14" i="52"/>
  <c r="P14" i="52"/>
  <c r="M15" i="52"/>
  <c r="O15" i="52"/>
  <c r="N15" i="52"/>
  <c r="P15" i="52"/>
  <c r="J17" i="52"/>
  <c r="N17" i="52"/>
  <c r="J18" i="52"/>
  <c r="N18" i="52"/>
  <c r="J19" i="52"/>
  <c r="N19" i="52"/>
  <c r="C20" i="52"/>
  <c r="I20" i="52"/>
  <c r="N20" i="52"/>
  <c r="C21" i="52"/>
  <c r="K21" i="52"/>
  <c r="C22" i="52"/>
  <c r="N22" i="52"/>
  <c r="J23" i="52"/>
  <c r="N23" i="52"/>
  <c r="J24" i="52"/>
  <c r="N24" i="52"/>
  <c r="J25" i="52"/>
  <c r="N25" i="52"/>
  <c r="C26" i="52"/>
  <c r="K26" i="52"/>
  <c r="I27" i="52"/>
  <c r="K27" i="52"/>
  <c r="N14" i="52"/>
  <c r="N16" i="52"/>
  <c r="I17" i="52"/>
  <c r="K17" i="52"/>
  <c r="C17" i="52"/>
  <c r="C18" i="52"/>
  <c r="I18" i="52"/>
  <c r="I19" i="52"/>
  <c r="K19" i="52"/>
  <c r="C19" i="52"/>
  <c r="K20" i="52"/>
  <c r="J20" i="52"/>
  <c r="J21" i="52"/>
  <c r="N21" i="52"/>
  <c r="I22" i="52"/>
  <c r="K22" i="52"/>
  <c r="I23" i="52"/>
  <c r="K23" i="52"/>
  <c r="C23" i="52"/>
  <c r="I24" i="52"/>
  <c r="K24" i="52"/>
  <c r="C24" i="52"/>
  <c r="I25" i="52"/>
  <c r="K25" i="52"/>
  <c r="J26" i="52"/>
  <c r="N26" i="52"/>
  <c r="J27" i="52"/>
  <c r="H19" i="52"/>
  <c r="M29" i="52"/>
  <c r="D29" i="52"/>
  <c r="G29" i="52"/>
  <c r="E29" i="52"/>
  <c r="P29" i="52"/>
  <c r="F29" i="52"/>
  <c r="O29" i="52"/>
  <c r="L29" i="52"/>
  <c r="C29" i="52"/>
  <c r="I29" i="52"/>
  <c r="K29" i="52"/>
  <c r="J29" i="52"/>
  <c r="N29" i="52"/>
  <c r="H29" i="52"/>
  <c r="C70" i="72"/>
  <c r="B70" i="7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Köhler, Felipe</author>
  </authors>
  <commentList>
    <comment ref="I30" authorId="0" shapeId="0" xr:uid="{00000000-0006-0000-1900-000001000000}">
      <text>
        <r>
          <rPr>
            <b/>
            <sz val="9"/>
            <color indexed="81"/>
            <rFont val="Segoe UI"/>
            <family val="2"/>
          </rPr>
          <t>Köhler, Felipe:</t>
        </r>
        <r>
          <rPr>
            <sz val="9"/>
            <color indexed="81"/>
            <rFont val="Segoe UI"/>
            <family val="2"/>
          </rPr>
          <t xml:space="preserve">
Abweichender Wert zur Tabelle B "Entwicklung". Siehe Fußnoten (betrifft die Werker)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Köhler, Felipe</author>
    <author>pfeiffde</author>
  </authors>
  <commentList>
    <comment ref="E198" authorId="0" shapeId="0" xr:uid="{00000000-0006-0000-2200-000001000000}">
      <text>
        <r>
          <rPr>
            <b/>
            <sz val="9"/>
            <color indexed="81"/>
            <rFont val="Segoe UI"/>
            <family val="2"/>
          </rPr>
          <t>Köhler, Felipe:</t>
        </r>
        <r>
          <rPr>
            <sz val="9"/>
            <color indexed="81"/>
            <rFont val="Segoe UI"/>
            <family val="2"/>
          </rPr>
          <t xml:space="preserve">
Siehe Tabelle "Forstwirt"</t>
        </r>
      </text>
    </comment>
    <comment ref="E228" authorId="1" shapeId="0" xr:uid="{00000000-0006-0000-2200-000002000000}">
      <text>
        <r>
          <rPr>
            <b/>
            <sz val="9"/>
            <color indexed="81"/>
            <rFont val="Tahoma"/>
            <family val="2"/>
          </rPr>
          <t>korrigiert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pfeiffde</author>
  </authors>
  <commentList>
    <comment ref="A30" authorId="0" shapeId="0" xr:uid="{00000000-0006-0000-2600-000001000000}">
      <text>
        <r>
          <rPr>
            <b/>
            <sz val="9"/>
            <color indexed="81"/>
            <rFont val="Tahoma"/>
            <family val="2"/>
          </rPr>
          <t>keine Summenwerte, sondern von FS stat. Bundesamt übertragen</t>
        </r>
        <r>
          <rPr>
            <sz val="9"/>
            <color indexed="81"/>
            <rFont val="Tahoma"/>
            <family val="2"/>
          </rPr>
          <t xml:space="preserve">
</t>
        </r>
      </text>
    </comment>
  </commentList>
</comments>
</file>

<file path=xl/sharedStrings.xml><?xml version="1.0" encoding="utf-8"?>
<sst xmlns="http://schemas.openxmlformats.org/spreadsheetml/2006/main" count="4956" uniqueCount="588">
  <si>
    <t>Neu abge-</t>
  </si>
  <si>
    <t>Vorzeitig</t>
  </si>
  <si>
    <t>darunter mit bestan-</t>
  </si>
  <si>
    <t>schlossene</t>
  </si>
  <si>
    <t>gelöste</t>
  </si>
  <si>
    <t>darunter</t>
  </si>
  <si>
    <t xml:space="preserve">  Realschul-</t>
  </si>
  <si>
    <t>Sonstige</t>
  </si>
  <si>
    <t>Ausbildungs-</t>
  </si>
  <si>
    <t xml:space="preserve">  ohne</t>
  </si>
  <si>
    <t xml:space="preserve">  oder gleich-</t>
  </si>
  <si>
    <t xml:space="preserve">  Hochschul-,</t>
  </si>
  <si>
    <t>Schulischen</t>
  </si>
  <si>
    <t>Berufs-</t>
  </si>
  <si>
    <t>Insgesamt</t>
  </si>
  <si>
    <t>Türkei</t>
  </si>
  <si>
    <t>Ausbildungsberuf</t>
  </si>
  <si>
    <t>männ-</t>
  </si>
  <si>
    <t>weib-</t>
  </si>
  <si>
    <t>insge-</t>
  </si>
  <si>
    <t>verhältnisse</t>
  </si>
  <si>
    <t xml:space="preserve">  Hauptschul-</t>
  </si>
  <si>
    <t xml:space="preserve">  wertiger</t>
  </si>
  <si>
    <t xml:space="preserve">  Fachhoch-</t>
  </si>
  <si>
    <t>Berufsgrund-</t>
  </si>
  <si>
    <t>Berufsfach-</t>
  </si>
  <si>
    <t>vorbereitungs-</t>
  </si>
  <si>
    <t xml:space="preserve">ohne </t>
  </si>
  <si>
    <t>lich</t>
  </si>
  <si>
    <t>samt</t>
  </si>
  <si>
    <t>1.</t>
  </si>
  <si>
    <t>2.</t>
  </si>
  <si>
    <t>3.</t>
  </si>
  <si>
    <t>im Berichts-</t>
  </si>
  <si>
    <t xml:space="preserve">lich </t>
  </si>
  <si>
    <t>bildungsjahres</t>
  </si>
  <si>
    <t>schule</t>
  </si>
  <si>
    <t>jahres</t>
  </si>
  <si>
    <t>Angabe</t>
  </si>
  <si>
    <t>zeitraum</t>
  </si>
  <si>
    <t xml:space="preserve"> </t>
  </si>
  <si>
    <t>I. Ausbildungsverhältnisse</t>
  </si>
  <si>
    <t>1. Landwirt/-in</t>
  </si>
  <si>
    <t>Land</t>
  </si>
  <si>
    <t xml:space="preserve"> BW</t>
  </si>
  <si>
    <t xml:space="preserve"> BY</t>
  </si>
  <si>
    <t xml:space="preserve"> BE</t>
  </si>
  <si>
    <t xml:space="preserve"> BB</t>
  </si>
  <si>
    <t xml:space="preserve"> HB</t>
  </si>
  <si>
    <t xml:space="preserve"> HH</t>
  </si>
  <si>
    <t xml:space="preserve"> HE</t>
  </si>
  <si>
    <t xml:space="preserve"> MV</t>
  </si>
  <si>
    <t xml:space="preserve"> NI</t>
  </si>
  <si>
    <t xml:space="preserve"> NW</t>
  </si>
  <si>
    <t xml:space="preserve"> RP</t>
  </si>
  <si>
    <t xml:space="preserve"> SL</t>
  </si>
  <si>
    <t xml:space="preserve"> SN</t>
  </si>
  <si>
    <t xml:space="preserve"> ST</t>
  </si>
  <si>
    <t xml:space="preserve"> SH</t>
  </si>
  <si>
    <t xml:space="preserve"> TH</t>
  </si>
  <si>
    <t xml:space="preserve"> D</t>
  </si>
  <si>
    <t>beruf</t>
  </si>
  <si>
    <t>Schwerpunkt</t>
  </si>
  <si>
    <t>D</t>
  </si>
  <si>
    <t>Gärtner insgesamt</t>
  </si>
  <si>
    <t>Zierpflanzenbau</t>
  </si>
  <si>
    <t>Gemüsebau</t>
  </si>
  <si>
    <t>Baumschulen</t>
  </si>
  <si>
    <t>Obstbau</t>
  </si>
  <si>
    <t>Garten- und Landschaftsbau</t>
  </si>
  <si>
    <t>Friedhofsgärtnerei</t>
  </si>
  <si>
    <t>Staudengärtnerei</t>
  </si>
  <si>
    <t>Beruf</t>
  </si>
  <si>
    <t>Landwirt/-in</t>
  </si>
  <si>
    <t>Hauswirt-</t>
  </si>
  <si>
    <t>schafter/-in</t>
  </si>
  <si>
    <t>Tierwirt/-in</t>
  </si>
  <si>
    <t>Winzer/-in</t>
  </si>
  <si>
    <t>Gärtner/-in</t>
  </si>
  <si>
    <t>Fischwirt/-in</t>
  </si>
  <si>
    <t>(Waldfach-</t>
  </si>
  <si>
    <t>arbeiter/-in)</t>
  </si>
  <si>
    <t>Revier-</t>
  </si>
  <si>
    <t>jäger/-in</t>
  </si>
  <si>
    <t>Molkereifach-</t>
  </si>
  <si>
    <t>mann/-frau</t>
  </si>
  <si>
    <t>Laborant/-in</t>
  </si>
  <si>
    <t>Milchwirtschaftliche(r)</t>
  </si>
  <si>
    <t>Landwirtschafts-</t>
  </si>
  <si>
    <t>Gartenbau-</t>
  </si>
  <si>
    <t xml:space="preserve">Milchwirtschaftliche(r) </t>
  </si>
  <si>
    <t>Hauswirtschafter/-in</t>
  </si>
  <si>
    <t>männlich</t>
  </si>
  <si>
    <t>weiblich</t>
  </si>
  <si>
    <t>insgesamt</t>
  </si>
  <si>
    <t>Zeichenerklärung:</t>
  </si>
  <si>
    <t xml:space="preserve">    -  = nichts vorhanden</t>
  </si>
  <si>
    <t xml:space="preserve">    .  = kein Nachweis vorhanden</t>
  </si>
  <si>
    <t>- Rinderhaltung</t>
  </si>
  <si>
    <t>- Schweinehaltung</t>
  </si>
  <si>
    <t>- Schafhaltung</t>
  </si>
  <si>
    <t>- Geflügelhaltung</t>
  </si>
  <si>
    <t>- Bienenhaltung</t>
  </si>
  <si>
    <t>B. Entwicklung der Ausbildungsberufe in der Landwirtschaft</t>
  </si>
  <si>
    <t xml:space="preserve">  abschluss</t>
  </si>
  <si>
    <t xml:space="preserve">  Abschluss</t>
  </si>
  <si>
    <t xml:space="preserve">   Teilnehmer an Abschlussprüfungen </t>
  </si>
  <si>
    <t>Schweiz</t>
  </si>
  <si>
    <t>BMVEL - Referat 425</t>
  </si>
  <si>
    <t>April 2001</t>
  </si>
  <si>
    <t>Ausbildungsberufe</t>
  </si>
  <si>
    <t>April 2002</t>
  </si>
  <si>
    <t xml:space="preserve">A. Ausbildungsberufe </t>
  </si>
  <si>
    <t>- 8 -</t>
  </si>
  <si>
    <t>noch: B. Entwicklung der Ausbildungsberufe in der Landwirtschaft</t>
  </si>
  <si>
    <t>der Land- und Forst-</t>
  </si>
  <si>
    <t>Auszubildende am 31.12.2002</t>
  </si>
  <si>
    <t xml:space="preserve">- 5 - </t>
  </si>
  <si>
    <t>- 7 -</t>
  </si>
  <si>
    <t>Statistik über die praktische Berufsbildung in der Landwirtschaft der Bundesrepublik Deutschland</t>
  </si>
  <si>
    <t>Jahr</t>
  </si>
  <si>
    <t>mit neu abge-</t>
  </si>
  <si>
    <t>schlossenem</t>
  </si>
  <si>
    <t>Ausbildungsvertrag</t>
  </si>
  <si>
    <t>am 31. Dezember</t>
  </si>
  <si>
    <t xml:space="preserve">wirtschaft und </t>
  </si>
  <si>
    <t>Fischerei</t>
  </si>
  <si>
    <t>Molkereifachmann/-fachfrau</t>
  </si>
  <si>
    <t xml:space="preserve">              Laborant/-in</t>
  </si>
  <si>
    <t>Fachkraft Agrarservice</t>
  </si>
  <si>
    <t xml:space="preserve">Landwirtschaftlich- </t>
  </si>
  <si>
    <t>technische(r)</t>
  </si>
  <si>
    <t>Land der Staatsangehörigkeit</t>
  </si>
  <si>
    <t>zusammen</t>
  </si>
  <si>
    <t>Belgien</t>
  </si>
  <si>
    <t>Griechenland</t>
  </si>
  <si>
    <t>Italien</t>
  </si>
  <si>
    <t>Luxemburg</t>
  </si>
  <si>
    <t>Niederlande</t>
  </si>
  <si>
    <t>Österreich</t>
  </si>
  <si>
    <t>Polen</t>
  </si>
  <si>
    <t>Portugal</t>
  </si>
  <si>
    <t>Schweden</t>
  </si>
  <si>
    <t>Spanien</t>
  </si>
  <si>
    <t>Tschechische Republik</t>
  </si>
  <si>
    <t>Summe EU</t>
  </si>
  <si>
    <t>Bosnien und Herzegowina</t>
  </si>
  <si>
    <t>Kroatien</t>
  </si>
  <si>
    <t>Rumänien</t>
  </si>
  <si>
    <t>Ukraine</t>
  </si>
  <si>
    <t>Brasilien</t>
  </si>
  <si>
    <t>Inhaltsverzeichnis</t>
  </si>
  <si>
    <t xml:space="preserve">- 6 - </t>
  </si>
  <si>
    <t>3. Winzer/-in</t>
  </si>
  <si>
    <t>4. Landwirtschaftsfachwerker/-in</t>
  </si>
  <si>
    <t>5. Tierwirt/-in</t>
  </si>
  <si>
    <t>noch: 5. Tierwirt/-in</t>
  </si>
  <si>
    <t>8. Gärtner/-in</t>
  </si>
  <si>
    <t>noch: 8. Gärtner/-in</t>
  </si>
  <si>
    <t>10. Revierjäger/-in</t>
  </si>
  <si>
    <t>12. Molkereifachmann/-frau</t>
  </si>
  <si>
    <t>14. Milchwirtschaftliche(r) Laborant/-in</t>
  </si>
  <si>
    <t>Agrarservice</t>
  </si>
  <si>
    <t xml:space="preserve">Summe übriges Europa </t>
  </si>
  <si>
    <t>- 12 -</t>
  </si>
  <si>
    <r>
      <t xml:space="preserve">15. Hauswirtschafter/-in </t>
    </r>
    <r>
      <rPr>
        <b/>
        <vertAlign val="superscript"/>
        <sz val="10"/>
        <rFont val="Arial"/>
        <family val="2"/>
      </rPr>
      <t>1)</t>
    </r>
  </si>
  <si>
    <t xml:space="preserve">  </t>
  </si>
  <si>
    <t>darunter im</t>
  </si>
  <si>
    <t xml:space="preserve">                     </t>
  </si>
  <si>
    <t>SH</t>
  </si>
  <si>
    <t>HH</t>
  </si>
  <si>
    <t>NI</t>
  </si>
  <si>
    <t>HB</t>
  </si>
  <si>
    <t>HE</t>
  </si>
  <si>
    <t>BW</t>
  </si>
  <si>
    <t>BY</t>
  </si>
  <si>
    <t>SL</t>
  </si>
  <si>
    <t>BE</t>
  </si>
  <si>
    <t>BB</t>
  </si>
  <si>
    <t>MV</t>
  </si>
  <si>
    <t>SN</t>
  </si>
  <si>
    <t>ST</t>
  </si>
  <si>
    <t>NW</t>
  </si>
  <si>
    <t>RP</t>
  </si>
  <si>
    <t>Frankreich</t>
  </si>
  <si>
    <t>Revierjäger/-in</t>
  </si>
  <si>
    <t xml:space="preserve"> SN </t>
  </si>
  <si>
    <t>Fachagrarwirt/in -Golfplatzpflege (Greenkeeper)</t>
  </si>
  <si>
    <t>Forstmaschinenführer/-in (Gepr.)</t>
  </si>
  <si>
    <t xml:space="preserve">Prüfung </t>
  </si>
  <si>
    <t>standener</t>
  </si>
  <si>
    <t>Teilbereich</t>
  </si>
  <si>
    <t>mit be-</t>
  </si>
  <si>
    <t>Fortbildungsberuf</t>
  </si>
  <si>
    <t xml:space="preserve">   darunter Teilnehmer an</t>
  </si>
  <si>
    <t xml:space="preserve"> .  </t>
  </si>
  <si>
    <t xml:space="preserve">dener Prüfung </t>
  </si>
  <si>
    <t>2. Fachkraft Agrarservice</t>
  </si>
  <si>
    <t>13. Milchtechnologe/-technologin</t>
  </si>
  <si>
    <t>Milchtechnologe</t>
  </si>
  <si>
    <t>/-technologin</t>
  </si>
  <si>
    <t>- 26 -</t>
  </si>
  <si>
    <t>- 30 -</t>
  </si>
  <si>
    <t>- 13 -</t>
  </si>
  <si>
    <t xml:space="preserve">- 14 - </t>
  </si>
  <si>
    <t>- 15 -</t>
  </si>
  <si>
    <t xml:space="preserve">- 16 - </t>
  </si>
  <si>
    <t>- 24 -</t>
  </si>
  <si>
    <t xml:space="preserve"> - 25 - </t>
  </si>
  <si>
    <t>- 27 -</t>
  </si>
  <si>
    <t>- 31 -</t>
  </si>
  <si>
    <t xml:space="preserve">   Wiederholungsprüfungen </t>
  </si>
  <si>
    <r>
      <t xml:space="preserve">   Teilnehmer an Abschlussprüfungen</t>
    </r>
    <r>
      <rPr>
        <b/>
        <vertAlign val="superscript"/>
        <sz val="8"/>
        <rFont val="Arial"/>
        <family val="2"/>
      </rPr>
      <t xml:space="preserve"> </t>
    </r>
  </si>
  <si>
    <t xml:space="preserve">        darunter aus EU-Ländern:</t>
  </si>
  <si>
    <t>Bundesanstalt für Landwirtschaft und Ernährung</t>
  </si>
  <si>
    <t>BLE - Referat 422</t>
  </si>
  <si>
    <r>
      <t xml:space="preserve">6. Fischwirt/-in </t>
    </r>
    <r>
      <rPr>
        <b/>
        <vertAlign val="superscript"/>
        <sz val="9"/>
        <rFont val="Arial"/>
        <family val="2"/>
      </rPr>
      <t>1)</t>
    </r>
  </si>
  <si>
    <t>Teilnehmer an Abschlussprüfungen</t>
  </si>
  <si>
    <t xml:space="preserve">Teilnehmer an Abschlussprüfungen </t>
  </si>
  <si>
    <t xml:space="preserve">   Teilnehmer an Abschlussprüfungen</t>
  </si>
  <si>
    <r>
      <t xml:space="preserve">11. Forstwirt/-in </t>
    </r>
    <r>
      <rPr>
        <b/>
        <vertAlign val="superscript"/>
        <sz val="9"/>
        <rFont val="Arial"/>
        <family val="2"/>
      </rPr>
      <t>1)</t>
    </r>
  </si>
  <si>
    <t xml:space="preserve">Auszubildende </t>
  </si>
  <si>
    <r>
      <t>Prüflinge mit bestandener...</t>
    </r>
    <r>
      <rPr>
        <vertAlign val="superscript"/>
        <sz val="8"/>
        <rFont val="Arial"/>
        <family val="2"/>
      </rPr>
      <t xml:space="preserve"> </t>
    </r>
  </si>
  <si>
    <t>(Siehe Geheimhaltungsverfahren).</t>
  </si>
  <si>
    <r>
      <t>davon mit schulischer Vorbildung bzw. Besuch einer (s)</t>
    </r>
    <r>
      <rPr>
        <b/>
        <vertAlign val="superscript"/>
        <sz val="9"/>
        <rFont val="Arial"/>
        <family val="2"/>
      </rPr>
      <t xml:space="preserve"> </t>
    </r>
    <r>
      <rPr>
        <b/>
        <vertAlign val="superscript"/>
        <sz val="8"/>
        <rFont val="Arial"/>
        <family val="2"/>
      </rPr>
      <t>1)</t>
    </r>
  </si>
  <si>
    <r>
      <t xml:space="preserve">  abschluss </t>
    </r>
    <r>
      <rPr>
        <vertAlign val="superscript"/>
        <sz val="8"/>
        <rFont val="Arial"/>
        <family val="2"/>
      </rPr>
      <t>2)</t>
    </r>
  </si>
  <si>
    <r>
      <t xml:space="preserve">schulreife </t>
    </r>
    <r>
      <rPr>
        <vertAlign val="superscript"/>
        <sz val="8"/>
        <rFont val="Arial"/>
        <family val="2"/>
      </rPr>
      <t>3)</t>
    </r>
  </si>
  <si>
    <t xml:space="preserve">Deutschland insgesamt </t>
  </si>
  <si>
    <r>
      <t>Landwirtschaftsfachwerker/-in</t>
    </r>
    <r>
      <rPr>
        <vertAlign val="superscript"/>
        <sz val="8"/>
        <rFont val="Arial"/>
        <family val="2"/>
      </rPr>
      <t xml:space="preserve"> 1)</t>
    </r>
  </si>
  <si>
    <t>Ausländische Auszubildende am 31.12.</t>
  </si>
  <si>
    <t>Natur- und Landschaftspfleger/in (Gepr.)</t>
  </si>
  <si>
    <t>Landwirtschaftsmeister/in</t>
  </si>
  <si>
    <t>Pferdewirtschaftsmeister/in</t>
  </si>
  <si>
    <t>Gärtnermeister/in FR Zierpflanzenbau</t>
  </si>
  <si>
    <t>Gärtnermeister/in FR Gemüsebau</t>
  </si>
  <si>
    <t>Gärtnermeister/in FR Baumschulen</t>
  </si>
  <si>
    <t>Gärtnermeister/in FR Obstbau</t>
  </si>
  <si>
    <t>Gärtnermeister/in FR Friedhofsgärtnerei</t>
  </si>
  <si>
    <t>Gärtnermeister/in FR Staudengärtnerei</t>
  </si>
  <si>
    <t>Meister/in der Hauswirtschaft</t>
  </si>
  <si>
    <t>Tierwirtschaftsmeister/in FR Schäferei</t>
  </si>
  <si>
    <t>Pferdewirtschaftsmeister/in FR Reitausbildung</t>
  </si>
  <si>
    <t>Molkereimeister/in</t>
  </si>
  <si>
    <t>Milchwirtschaftliche(r) Labormeister/in</t>
  </si>
  <si>
    <t>Fachagrarwirt/in -Rechnungswesen</t>
  </si>
  <si>
    <t>Agrarservicemeister/in</t>
  </si>
  <si>
    <t>Revierjagdmeister/in</t>
  </si>
  <si>
    <t>Forstwirtschaftsmeister/in</t>
  </si>
  <si>
    <t>Winzermeister/in</t>
  </si>
  <si>
    <t xml:space="preserve">Teilnehmer an Fortbildungsprüfungen </t>
  </si>
  <si>
    <t>Teilnehmer an Fortbildungsprüfungen</t>
  </si>
  <si>
    <t>die Gesamtsummen zu. (Siehe Geheimhaltungsverfahren).</t>
  </si>
  <si>
    <t xml:space="preserve">Insgesamt </t>
  </si>
  <si>
    <t>daunter im</t>
  </si>
  <si>
    <r>
      <t xml:space="preserve">Teilnehmer an Abschlussprüfungen </t>
    </r>
    <r>
      <rPr>
        <b/>
        <vertAlign val="superscript"/>
        <sz val="8"/>
        <rFont val="Arial"/>
        <family val="2"/>
      </rPr>
      <t>2)</t>
    </r>
  </si>
  <si>
    <t>noch: E. Ausländische Auszubildende nach dem Land der Staatsangehörigkeit 2013                                in Deutschland</t>
  </si>
  <si>
    <t>Kosovo</t>
  </si>
  <si>
    <t>Klauenpfleger/in (Gepr.)</t>
  </si>
  <si>
    <t>Tierwirtschaftsmeister/in FR Imkerei</t>
  </si>
  <si>
    <t>Pferdewirtschaftsmeister/in FR Pferdezucht und -haltung</t>
  </si>
  <si>
    <t>Gärtnermeister/in FR Garten- und Landschaftsbau</t>
  </si>
  <si>
    <t>Forstmaschinenführer/in (Gepr.)</t>
  </si>
  <si>
    <t>Fachagrarwirt/in (Gepr.) -Baumpflege und Baumsanierung</t>
  </si>
  <si>
    <t>Fachagrarwirt/in Erneuerbare Energien - Biomasse</t>
  </si>
  <si>
    <t>Tierwirtschaftsmeister/in FR Geflügelhaltung</t>
  </si>
  <si>
    <t>Fachagrarwirt/in -Head-Greenkeeper</t>
  </si>
  <si>
    <t xml:space="preserve"> - 31 -</t>
  </si>
  <si>
    <t xml:space="preserve"> - 32 -</t>
  </si>
  <si>
    <t xml:space="preserve"> - 33 -</t>
  </si>
  <si>
    <r>
      <t xml:space="preserve">noch: 7. Pferdewirte/-in </t>
    </r>
    <r>
      <rPr>
        <b/>
        <vertAlign val="superscript"/>
        <sz val="10"/>
        <rFont val="Arial"/>
        <family val="2"/>
      </rPr>
      <t>2)</t>
    </r>
  </si>
  <si>
    <t>Bulgarien</t>
  </si>
  <si>
    <t>Dänemark</t>
  </si>
  <si>
    <t>Estland</t>
  </si>
  <si>
    <t>Finnland</t>
  </si>
  <si>
    <t>Slowenien</t>
  </si>
  <si>
    <t>Irland</t>
  </si>
  <si>
    <t>Lettland</t>
  </si>
  <si>
    <t>Litauen</t>
  </si>
  <si>
    <t>Malta</t>
  </si>
  <si>
    <t>Slowakei</t>
  </si>
  <si>
    <t>Ungarn</t>
  </si>
  <si>
    <t>Vereinigtes Königreich</t>
  </si>
  <si>
    <t>Zypern</t>
  </si>
  <si>
    <t>Serbien (ohne Kosovo)</t>
  </si>
  <si>
    <t>Andere</t>
  </si>
  <si>
    <t>Summe aus sonstigen Staaten</t>
  </si>
  <si>
    <t>Afghanistan</t>
  </si>
  <si>
    <t>Kasachstan</t>
  </si>
  <si>
    <t>Vereinigte Staaten</t>
  </si>
  <si>
    <t>Fachagrarwirt/in -Besamungswesen</t>
  </si>
  <si>
    <t>Pferdewirtschaftsmeister/in FR Galopprenntraining</t>
  </si>
  <si>
    <t>Fischwirtschaftsmeister/in FR Fischhaltung und Fischzucht</t>
  </si>
  <si>
    <t>Fischwirtschaftsmeister/in FR Seen- und Flussfischerei</t>
  </si>
  <si>
    <t>Tierwirtschaftsmeister/in FR Rinderhaltung</t>
  </si>
  <si>
    <t>Tierwirtschaftsmeister/in FR Schweinehaltung</t>
  </si>
  <si>
    <t>Greenkeeper (Gepr.) - Fachagrarwirt/in Sportstätten-Freianlagen</t>
  </si>
  <si>
    <t>Landwirtschaftlich- technischer</t>
  </si>
  <si>
    <t>… Ausbildungsjahr</t>
  </si>
  <si>
    <t>darunter im
… Ausbildungsjahr</t>
  </si>
  <si>
    <t>Anm.: Lt. Stat. Bundesamt lassen die einzelnen Angaben aus Gründen der Geheimhaltung keinen Rückschluss auf die Gesamtsummen zu. (Siehe Geheimhaltungsverfahren).</t>
  </si>
  <si>
    <t>darunter mit bestandener 
Prüfung</t>
  </si>
  <si>
    <r>
      <t xml:space="preserve">    MV </t>
    </r>
    <r>
      <rPr>
        <vertAlign val="superscript"/>
        <sz val="8"/>
        <rFont val="Arial"/>
        <family val="2"/>
      </rPr>
      <t>1)</t>
    </r>
  </si>
  <si>
    <t xml:space="preserve">… Ausbildungsjahr </t>
  </si>
  <si>
    <t>Tierwirt/-in insgesamt</t>
  </si>
  <si>
    <t>Anm.: Lt. Stat. Bundesamt lassen die einzelnen Angaben  aus Gründen der Geheimhaltung keinen Rückschluss auf die Gesamtsummen zu. (Siehe Geheimhaltungsverfahren).</t>
  </si>
  <si>
    <r>
      <rPr>
        <vertAlign val="superscript"/>
        <sz val="8"/>
        <rFont val="Arial"/>
        <family val="2"/>
      </rPr>
      <t>1)</t>
    </r>
    <r>
      <rPr>
        <sz val="8"/>
        <rFont val="Arial"/>
        <family val="2"/>
      </rPr>
      <t xml:space="preserve"> Ab 2008 keine Unterteilung der einzelnen Berufssparten mehr.</t>
    </r>
  </si>
  <si>
    <r>
      <t xml:space="preserve">7. Pferdewirt/-in </t>
    </r>
    <r>
      <rPr>
        <b/>
        <vertAlign val="superscript"/>
        <sz val="10"/>
        <rFont val="Arial"/>
        <family val="2"/>
      </rPr>
      <t>1)</t>
    </r>
  </si>
  <si>
    <r>
      <rPr>
        <vertAlign val="superscript"/>
        <sz val="8"/>
        <rFont val="Arial"/>
        <family val="2"/>
      </rPr>
      <t>3)</t>
    </r>
    <r>
      <rPr>
        <sz val="8"/>
        <rFont val="Arial"/>
        <family val="2"/>
      </rPr>
      <t xml:space="preserve"> Pferdewirt/in (ohne FR-Angabe).</t>
    </r>
  </si>
  <si>
    <r>
      <t xml:space="preserve">    SH </t>
    </r>
    <r>
      <rPr>
        <b/>
        <vertAlign val="superscript"/>
        <sz val="8"/>
        <rFont val="Arial"/>
        <family val="2"/>
      </rPr>
      <t>2)</t>
    </r>
  </si>
  <si>
    <r>
      <t xml:space="preserve">   RP </t>
    </r>
    <r>
      <rPr>
        <b/>
        <vertAlign val="superscript"/>
        <sz val="8"/>
        <rFont val="Arial"/>
        <family val="2"/>
      </rPr>
      <t>2)</t>
    </r>
  </si>
  <si>
    <r>
      <rPr>
        <vertAlign val="superscript"/>
        <sz val="8"/>
        <rFont val="Arial"/>
        <family val="2"/>
      </rPr>
      <t>1)</t>
    </r>
    <r>
      <rPr>
        <sz val="8"/>
        <rFont val="Arial"/>
        <family val="2"/>
      </rPr>
      <t xml:space="preserve"> Pferdewirt/-in Monoberuf.</t>
    </r>
  </si>
  <si>
    <r>
      <rPr>
        <vertAlign val="superscript"/>
        <sz val="8"/>
        <rFont val="Arial"/>
        <family val="2"/>
      </rPr>
      <t xml:space="preserve">2) </t>
    </r>
    <r>
      <rPr>
        <sz val="8"/>
        <rFont val="Arial"/>
        <family val="2"/>
      </rPr>
      <t>Pferdewirt/-in Fachrichtung: Klassische Reitausbildung, Pferdehaltung u. Service, Pferderennen, Pferdezucht, Spezialreitweisen.</t>
    </r>
  </si>
  <si>
    <t>Anm: Lt. Stat. Bundesamt lassen die einzelnen Angaben aus Gründen der Geheimhaltung keinen Rückschluss auf die Gesamtsummen zu. (Siehe Geheimhaltungsverfahren).</t>
  </si>
  <si>
    <r>
      <rPr>
        <vertAlign val="superscript"/>
        <sz val="8"/>
        <rFont val="Arial"/>
        <family val="2"/>
      </rPr>
      <t xml:space="preserve">1) </t>
    </r>
    <r>
      <rPr>
        <sz val="8"/>
        <rFont val="Arial"/>
        <family val="2"/>
      </rPr>
      <t>Einschließlich Werker/in der Forstwirtschaft- Wald- und Landschaftspflege (§ 66).</t>
    </r>
  </si>
  <si>
    <t>darunter mit bestandener</t>
  </si>
  <si>
    <t xml:space="preserve"> Prüfung </t>
  </si>
  <si>
    <r>
      <rPr>
        <vertAlign val="superscript"/>
        <sz val="8"/>
        <rFont val="Arial"/>
        <family val="2"/>
      </rPr>
      <t>1)</t>
    </r>
    <r>
      <rPr>
        <sz val="8"/>
        <rFont val="Arial"/>
        <family val="2"/>
      </rPr>
      <t xml:space="preserve"> Es ist jeweils die zuletzt besuchte Schulart bzw. der dort erreichte Abschluss angegeben (keine Mehrfachzählung).</t>
    </r>
  </si>
  <si>
    <t>gelöst</t>
  </si>
  <si>
    <t>darunter in der</t>
  </si>
  <si>
    <t xml:space="preserve">Anm.: Lt. Stat. Bundesamt lassen die einzelnen Angaben aus Gründen der Geheimhaltung keinen Rückschluss auf die Gesamtsummen zu. (Siehe Geheimhaltungsverfahren).  </t>
  </si>
  <si>
    <t>Milchtechnologe/-in</t>
  </si>
  <si>
    <r>
      <rPr>
        <vertAlign val="superscript"/>
        <sz val="8"/>
        <rFont val="Arial"/>
        <family val="2"/>
      </rPr>
      <t>1)</t>
    </r>
    <r>
      <rPr>
        <sz val="8"/>
        <rFont val="Arial"/>
        <family val="2"/>
      </rPr>
      <t xml:space="preserve"> Einschließlich Fachpraktiker,Werker/-in und Helfer/-in (§ 66 BBiG).</t>
    </r>
  </si>
  <si>
    <t xml:space="preserve">Anm.: Lt. Stat. Bundesamt lassen die einzelnen Angaben aus Gründen der Geheimhaltung keinen Rückschluss auf </t>
  </si>
  <si>
    <t>… aus dem übrigen Europa:</t>
  </si>
  <si>
    <t>… aus anderen Staaten:</t>
  </si>
  <si>
    <r>
      <t xml:space="preserve">Abschluss-
prüfung </t>
    </r>
    <r>
      <rPr>
        <vertAlign val="superscript"/>
        <sz val="8"/>
        <rFont val="Arial"/>
        <family val="2"/>
      </rPr>
      <t>1)</t>
    </r>
  </si>
  <si>
    <r>
      <t xml:space="preserve">Meister-
prüfung </t>
    </r>
    <r>
      <rPr>
        <vertAlign val="superscript"/>
        <sz val="8"/>
        <rFont val="Arial"/>
        <family val="2"/>
      </rPr>
      <t>1)</t>
    </r>
  </si>
  <si>
    <t>Pflanzentechnologe/-</t>
  </si>
  <si>
    <t>technologin</t>
  </si>
  <si>
    <t xml:space="preserve">Forstwirtschaft - Wald- </t>
  </si>
  <si>
    <t xml:space="preserve">Werker/in der 
</t>
  </si>
  <si>
    <t>und Landschaftspflege</t>
  </si>
  <si>
    <t>Prüflinge mit bestandener ...</t>
  </si>
  <si>
    <r>
      <t xml:space="preserve">fachwerker/-in </t>
    </r>
    <r>
      <rPr>
        <b/>
        <vertAlign val="superscript"/>
        <sz val="8"/>
        <rFont val="Arial"/>
        <family val="2"/>
      </rPr>
      <t>2)</t>
    </r>
  </si>
  <si>
    <r>
      <t>Pferdewirt/-in</t>
    </r>
    <r>
      <rPr>
        <b/>
        <vertAlign val="superscript"/>
        <sz val="8"/>
        <rFont val="Arial"/>
        <family val="2"/>
      </rPr>
      <t xml:space="preserve"> 2)</t>
    </r>
  </si>
  <si>
    <r>
      <t xml:space="preserve">Forstwirt/-in </t>
    </r>
    <r>
      <rPr>
        <b/>
        <vertAlign val="superscript"/>
        <sz val="8"/>
        <rFont val="Arial"/>
        <family val="2"/>
      </rPr>
      <t>3)</t>
    </r>
  </si>
  <si>
    <r>
      <t xml:space="preserve">insgesamt </t>
    </r>
    <r>
      <rPr>
        <b/>
        <vertAlign val="superscript"/>
        <sz val="8"/>
        <rFont val="Arial"/>
        <family val="2"/>
      </rPr>
      <t>4)</t>
    </r>
  </si>
  <si>
    <t>Anm.: Lt. Stat. Bundesamt lassen die einzelnen Angaben aus Gründen der Geheimhaltung keinen Rückschluss auf die Gesamtsummen zu.</t>
  </si>
  <si>
    <r>
      <rPr>
        <vertAlign val="superscript"/>
        <sz val="8"/>
        <rFont val="Arial"/>
        <family val="2"/>
      </rPr>
      <t>2)</t>
    </r>
    <r>
      <rPr>
        <sz val="8"/>
        <rFont val="Arial"/>
        <family val="2"/>
      </rPr>
      <t xml:space="preserve"> Einschl. Abgänger von Sonderschulen ohne Hauptschulabschluss.</t>
    </r>
  </si>
  <si>
    <r>
      <t xml:space="preserve">Pferdewirt/-in </t>
    </r>
    <r>
      <rPr>
        <vertAlign val="superscript"/>
        <sz val="8"/>
        <rFont val="Arial"/>
        <family val="2"/>
      </rPr>
      <t>1)</t>
    </r>
  </si>
  <si>
    <r>
      <t>Gartenbaufachwerker/-in</t>
    </r>
    <r>
      <rPr>
        <vertAlign val="superscript"/>
        <sz val="8"/>
        <rFont val="Arial"/>
        <family val="2"/>
      </rPr>
      <t xml:space="preserve"> 1)</t>
    </r>
  </si>
  <si>
    <r>
      <t xml:space="preserve">Forstwirt/-in </t>
    </r>
    <r>
      <rPr>
        <vertAlign val="superscript"/>
        <sz val="8"/>
        <rFont val="Arial"/>
        <family val="2"/>
      </rPr>
      <t>1)</t>
    </r>
  </si>
  <si>
    <t>Deutschland</t>
  </si>
  <si>
    <t>Prüfung</t>
  </si>
  <si>
    <t xml:space="preserve">Anm.: Lt. Stat. Bundesamt lassen die einzelnen Angaben  aus Gründen der Geheimhaltung keinen Rückschluss auf </t>
  </si>
  <si>
    <r>
      <rPr>
        <vertAlign val="superscript"/>
        <sz val="8"/>
        <rFont val="Arial"/>
        <family val="2"/>
      </rPr>
      <t>1)</t>
    </r>
    <r>
      <rPr>
        <sz val="8"/>
        <rFont val="Arial"/>
        <family val="2"/>
      </rPr>
      <t xml:space="preserve"> ohne Brenner, einschl. Ländl. Hauswirtschaft, Tierpfleger, Floristen.</t>
    </r>
  </si>
  <si>
    <r>
      <rPr>
        <vertAlign val="superscript"/>
        <sz val="8"/>
        <rFont val="Arial"/>
        <family val="2"/>
      </rPr>
      <t>2)</t>
    </r>
    <r>
      <rPr>
        <sz val="8"/>
        <rFont val="Arial"/>
        <family val="2"/>
      </rPr>
      <t xml:space="preserve"> Auch externe Prüfungsteilnehmer.</t>
    </r>
  </si>
  <si>
    <r>
      <rPr>
        <vertAlign val="superscript"/>
        <sz val="8"/>
        <rFont val="Arial"/>
        <family val="2"/>
      </rPr>
      <t>1)</t>
    </r>
    <r>
      <rPr>
        <sz val="7"/>
        <rFont val="Arial"/>
        <family val="2"/>
      </rPr>
      <t xml:space="preserve"> Für 2007 lagen keine Angaben vor.</t>
    </r>
  </si>
  <si>
    <r>
      <rPr>
        <vertAlign val="superscript"/>
        <sz val="8"/>
        <rFont val="Arial"/>
        <family val="2"/>
      </rPr>
      <t>2)</t>
    </r>
    <r>
      <rPr>
        <sz val="7"/>
        <rFont val="Arial"/>
        <family val="2"/>
      </rPr>
      <t xml:space="preserve"> Einschließlich Fachwerker /in, Werker/in und Helfer nach §66 BBiG.</t>
    </r>
  </si>
  <si>
    <r>
      <rPr>
        <vertAlign val="superscript"/>
        <sz val="8"/>
        <rFont val="Arial"/>
        <family val="2"/>
      </rPr>
      <t>4)</t>
    </r>
    <r>
      <rPr>
        <sz val="7"/>
        <rFont val="Arial"/>
        <family val="2"/>
      </rPr>
      <t xml:space="preserve"> ohne Brenner u. Laborantenberufe, einschl. ländl. Hauswirtschaft, Tierpfleger, Floristen.</t>
    </r>
  </si>
  <si>
    <r>
      <rPr>
        <vertAlign val="superscript"/>
        <sz val="8"/>
        <rFont val="Arial"/>
        <family val="2"/>
      </rPr>
      <t>3)</t>
    </r>
    <r>
      <rPr>
        <sz val="7"/>
        <rFont val="Arial"/>
        <family val="2"/>
      </rPr>
      <t xml:space="preserve"> Bis 2006 Einschl. Werker/in der Forstwirtschaft - Wald- u. Landschaftspflege (§66BBiG).</t>
    </r>
  </si>
  <si>
    <r>
      <t xml:space="preserve">9. Gartenbaufachwerker/-in </t>
    </r>
    <r>
      <rPr>
        <b/>
        <vertAlign val="superscript"/>
        <sz val="10"/>
        <rFont val="Arial"/>
        <family val="2"/>
      </rPr>
      <t>1)</t>
    </r>
  </si>
  <si>
    <t>Probezeit</t>
  </si>
  <si>
    <t>darunter im  … Ausbildungsjahr</t>
  </si>
  <si>
    <r>
      <rPr>
        <vertAlign val="superscript"/>
        <sz val="8"/>
        <rFont val="Arial"/>
        <family val="2"/>
      </rPr>
      <t>2)</t>
    </r>
    <r>
      <rPr>
        <sz val="8"/>
        <rFont val="Arial"/>
        <family val="2"/>
      </rPr>
      <t xml:space="preserve"> SH, HE, RP, SL u. BB einschl. Werker, Fachpraktiker bzw. Helfer/in in der Pferdewirtschaft (§ 66 BBiG).</t>
    </r>
  </si>
  <si>
    <r>
      <rPr>
        <vertAlign val="superscript"/>
        <sz val="8"/>
        <rFont val="Arial"/>
        <family val="2"/>
      </rPr>
      <t>1)</t>
    </r>
    <r>
      <rPr>
        <sz val="8"/>
        <rFont val="Arial"/>
        <family val="2"/>
      </rPr>
      <t xml:space="preserve"> Einschließlich Fachwerker/in, Werker/in, Gartenbauhelfer und Helfer/in im Gartenbau (§ 66 BBiG).</t>
    </r>
  </si>
  <si>
    <t>Ohne Fachrichtung</t>
  </si>
  <si>
    <r>
      <rPr>
        <vertAlign val="superscript"/>
        <sz val="8"/>
        <rFont val="Arial"/>
        <family val="2"/>
      </rPr>
      <t>1)</t>
    </r>
    <r>
      <rPr>
        <sz val="8"/>
        <rFont val="Arial"/>
        <family val="2"/>
      </rPr>
      <t xml:space="preserve"> Werker/-in und Helfer/-in in der Landwirtschaft (§ 66 BBiG).</t>
    </r>
  </si>
  <si>
    <r>
      <rPr>
        <vertAlign val="superscript"/>
        <sz val="8"/>
        <rFont val="Arial"/>
        <family val="2"/>
      </rPr>
      <t xml:space="preserve">2) </t>
    </r>
    <r>
      <rPr>
        <sz val="8"/>
        <rFont val="Arial"/>
        <family val="2"/>
      </rPr>
      <t>Fachpraktiker/-in in der Landwirtschaft (§ 66 BBiG).</t>
    </r>
  </si>
  <si>
    <t xml:space="preserve">   SL</t>
  </si>
  <si>
    <t>Auszubildende am 31.12.2015</t>
  </si>
  <si>
    <t>C. Auszubildende 2015 mit neu abgeschlossenen Ausbildungsverträgen nach schulischer Vorbildung</t>
  </si>
  <si>
    <t>Ausländische Auszubildende am 31.12.2015</t>
  </si>
  <si>
    <t>E. Ausländische Auszubildende nach dem Land der Staatsangehörigkeit 2015                            in Deutschland</t>
  </si>
  <si>
    <t>Albanien</t>
  </si>
  <si>
    <t>Russische Föderation</t>
  </si>
  <si>
    <t>Thailand</t>
  </si>
  <si>
    <t>Weißrussland</t>
  </si>
  <si>
    <t>D. Vorzeitig gelöste Ausbildungsverhältnisse 2015 nach Ausbildungsberufen</t>
  </si>
  <si>
    <t>Fachagrarwirt/in Klauenpflege</t>
  </si>
  <si>
    <t xml:space="preserve"> F.  Prüfungen in der beruflichen Fortbildung 2015 (§ 53 BBiG)</t>
  </si>
  <si>
    <t>noch: F.  Prüfungen in der beruflichen Fortbildung 2015 (§ 53 BBiG)</t>
  </si>
  <si>
    <r>
      <t xml:space="preserve">SH </t>
    </r>
    <r>
      <rPr>
        <b/>
        <vertAlign val="superscript"/>
        <sz val="8"/>
        <rFont val="Arial"/>
        <family val="2"/>
      </rPr>
      <t>1)</t>
    </r>
  </si>
  <si>
    <r>
      <t xml:space="preserve">NI </t>
    </r>
    <r>
      <rPr>
        <b/>
        <vertAlign val="superscript"/>
        <sz val="8"/>
        <rFont val="Arial"/>
        <family val="2"/>
      </rPr>
      <t>1)</t>
    </r>
  </si>
  <si>
    <r>
      <t xml:space="preserve">   HE </t>
    </r>
    <r>
      <rPr>
        <b/>
        <vertAlign val="superscript"/>
        <sz val="8"/>
        <rFont val="Arial"/>
        <family val="2"/>
      </rPr>
      <t>1)</t>
    </r>
  </si>
  <si>
    <r>
      <t xml:space="preserve">   RP </t>
    </r>
    <r>
      <rPr>
        <b/>
        <vertAlign val="superscript"/>
        <sz val="8"/>
        <rFont val="Arial"/>
        <family val="2"/>
      </rPr>
      <t>1)</t>
    </r>
  </si>
  <si>
    <r>
      <t xml:space="preserve"> BY </t>
    </r>
    <r>
      <rPr>
        <b/>
        <vertAlign val="superscript"/>
        <sz val="8"/>
        <rFont val="Arial"/>
        <family val="2"/>
      </rPr>
      <t>2)</t>
    </r>
  </si>
  <si>
    <r>
      <t xml:space="preserve"> BB </t>
    </r>
    <r>
      <rPr>
        <b/>
        <vertAlign val="superscript"/>
        <sz val="8"/>
        <rFont val="Arial"/>
        <family val="2"/>
      </rPr>
      <t>1)</t>
    </r>
  </si>
  <si>
    <r>
      <t xml:space="preserve"> TH </t>
    </r>
    <r>
      <rPr>
        <b/>
        <vertAlign val="superscript"/>
        <sz val="8"/>
        <rFont val="Arial"/>
        <family val="2"/>
      </rPr>
      <t>1)</t>
    </r>
  </si>
  <si>
    <r>
      <t xml:space="preserve">     HE</t>
    </r>
    <r>
      <rPr>
        <b/>
        <vertAlign val="superscript"/>
        <sz val="8"/>
        <rFont val="Arial"/>
        <family val="2"/>
      </rPr>
      <t xml:space="preserve"> 1)2)</t>
    </r>
  </si>
  <si>
    <r>
      <t xml:space="preserve"> MV </t>
    </r>
    <r>
      <rPr>
        <b/>
        <vertAlign val="superscript"/>
        <sz val="8"/>
        <rFont val="Arial"/>
        <family val="2"/>
      </rPr>
      <t>1)</t>
    </r>
  </si>
  <si>
    <r>
      <t xml:space="preserve"> NW </t>
    </r>
    <r>
      <rPr>
        <b/>
        <vertAlign val="superscript"/>
        <sz val="8"/>
        <rFont val="Arial"/>
        <family val="2"/>
      </rPr>
      <t>1)</t>
    </r>
  </si>
  <si>
    <r>
      <rPr>
        <vertAlign val="superscript"/>
        <sz val="8"/>
        <rFont val="Arial"/>
        <family val="2"/>
      </rPr>
      <t>1)</t>
    </r>
    <r>
      <rPr>
        <sz val="8"/>
        <rFont val="Arial"/>
        <family val="2"/>
      </rPr>
      <t xml:space="preserve"> Nur ländliche Hauswirtschaft. </t>
    </r>
  </si>
  <si>
    <r>
      <rPr>
        <vertAlign val="superscript"/>
        <sz val="8"/>
        <rFont val="Arial"/>
        <family val="2"/>
      </rPr>
      <t>3)</t>
    </r>
    <r>
      <rPr>
        <sz val="8"/>
        <rFont val="Arial"/>
        <family val="2"/>
      </rPr>
      <t xml:space="preserve"> Allgemeine bzw. fachgebundene Fachhochschulreife.</t>
    </r>
  </si>
  <si>
    <r>
      <t>Alle Berufe</t>
    </r>
    <r>
      <rPr>
        <b/>
        <vertAlign val="superscript"/>
        <sz val="10"/>
        <rFont val="Arial"/>
        <family val="2"/>
      </rPr>
      <t>1)</t>
    </r>
    <r>
      <rPr>
        <b/>
        <sz val="10"/>
        <rFont val="Arial"/>
        <family val="2"/>
      </rPr>
      <t xml:space="preserve"> zusammen</t>
    </r>
  </si>
  <si>
    <t>Fachkraft</t>
  </si>
  <si>
    <t>Abw.</t>
  </si>
  <si>
    <t>BLE - Referat 424</t>
  </si>
  <si>
    <t>Auszubildende am 31.12.2016</t>
  </si>
  <si>
    <t>1) Einschließlich Helfer/-in im Weinbau (§ 66 BBiG).</t>
  </si>
  <si>
    <t>Georgien</t>
  </si>
  <si>
    <t>Iran</t>
  </si>
  <si>
    <t>Tadschikistan</t>
  </si>
  <si>
    <t>Ohne Angabe</t>
  </si>
  <si>
    <t>Ungeklärte Staatsangehörigkeit</t>
  </si>
  <si>
    <t>Eritrea</t>
  </si>
  <si>
    <t>Irak</t>
  </si>
  <si>
    <t>Pakistan</t>
  </si>
  <si>
    <t>Syrien</t>
  </si>
  <si>
    <t>Nigeria</t>
  </si>
  <si>
    <t>Ghana</t>
  </si>
  <si>
    <t>Marokko</t>
  </si>
  <si>
    <t>Guinea</t>
  </si>
  <si>
    <t>Somalia</t>
  </si>
  <si>
    <t>Gambia</t>
  </si>
  <si>
    <t>12. Pflanzentechnologe/-technologin</t>
  </si>
  <si>
    <t>Kolumbien</t>
  </si>
  <si>
    <t>1) Werker/-in und Helfer/-in in der Landwirtschaft (§ 66 BBiG).</t>
  </si>
  <si>
    <t>Kirgisistan</t>
  </si>
  <si>
    <t xml:space="preserve">Forstwirt/-in </t>
  </si>
  <si>
    <t>Indonesien</t>
  </si>
  <si>
    <t>Usbekistan</t>
  </si>
  <si>
    <t>Gartenbaufachwerker/-in</t>
  </si>
  <si>
    <t>Pflanzentechnologe/-technologin</t>
  </si>
  <si>
    <t>Neu abgeschlossene 
Ausbildungsverhältnisse
 im Berichtszeitraum</t>
  </si>
  <si>
    <t>Vorzeitig gelöste 
Ausbildungsverhältnisse
 im Berichtszeitraum</t>
  </si>
  <si>
    <t>darunter männlich</t>
  </si>
  <si>
    <t>darunter weiblich</t>
  </si>
  <si>
    <t xml:space="preserve"> Deutschland</t>
  </si>
  <si>
    <t>darunter im 
1. Ausbildungsjahr</t>
  </si>
  <si>
    <t>darunter im 
2. Ausbildungsjahr</t>
  </si>
  <si>
    <t>darunter im 
3. Ausbildungsjahr</t>
  </si>
  <si>
    <t>darunter mit bestandener 
Prüfung darunter männlich</t>
  </si>
  <si>
    <t>darunter mit bestandener 
Prüfung darunter weiblich</t>
  </si>
  <si>
    <t>A. Ausbildungsberufe - I. Ausbildungsverhältnisse</t>
  </si>
  <si>
    <t>C. Auszubildende mit neu abgeschlossenen Ausbildungsverträgen nach schulischer Vorbildung</t>
  </si>
  <si>
    <t>D. Vorzeitig gelöste Ausbildungsverhältnisse nach Ausbildungsjahren und Ausbildungsberufen</t>
  </si>
  <si>
    <t>E. Ausländische Auszubildende nach Staatsangehörigkeit</t>
  </si>
  <si>
    <t>Anmerkung: Daten für Ausbilder nach fachlicher Eignung, Ausbildungsberater und durchgeführte Besuche von Ausbildungsstätten 
nach Art der Tätigkeit stehen ab 2009 nicht zur Verfügung.</t>
  </si>
  <si>
    <t xml:space="preserve">Geheimhaltungsverfahren: Zur Sicherstellung der Geheimhaltung wird ein Rundungsverfahren angewendet. 
Einzelergebnisse werden vom Statistischen Bundesamt zunächst ohne Rundung  ermittelt.
Anschließend wird jede Zahl für sich auf ein Vielfaches von 3 auf- oder abgerundet.  
Bei der Darstellung differenzierender Merkmale, z. B. Neuabschlüsse nach allgemeinbildendem Schulabschluss,
werden die Zellwerte einzelnen Abschlussarten einzeln gerundet. Die Summe der gerundeten Werte kann dann von der gerundeten Anzahl der Neuabschlüsse insgesamt abweichen. Dieses Verfahren verzerrt die Daten nur geringfügig. </t>
  </si>
  <si>
    <t>6. Fischwirt/-in</t>
  </si>
  <si>
    <t>9. Gartenbaufachwerker/-in</t>
  </si>
  <si>
    <t>11. Forstwirt/-in</t>
  </si>
  <si>
    <t>14. Milchwirtschaftliche(r)  Laborant/-in</t>
  </si>
  <si>
    <t>15. Hauswirtschafter/-in</t>
  </si>
  <si>
    <t xml:space="preserve">Erläuterungen: Jugendliche mit zweijähriger Ausbildung beginnen diese im 2. Ausbildungsjahr.
In der Zahl der neu abgeschlossenen Ausbildungsverhältnisse sind Anschlussverträge nicht enthalten.
In 15. Hauswirtschafter/-in sind nur Auszubildende der landwirtschaftlichen Hauswirtschaft enthalten. 
Länder, die die Zahl der landwirtschaftlichen Hauswirtschaft nicht von der der allgemeinen Hauswirtschaft getrennt haben, sind nicht enthalten.
</t>
  </si>
  <si>
    <t>Rechtsgrundlagen: Berufsbildungsgesetz (BBiG) vom 23. März 2005 (BGBl. I S. 931), zuletzt geändert  durch Artikel 22 des Gesetzes vom 25. Juli 2013
 (BGBI. I S. 2749), in Verbindung mit dem Bundesstatistikgesetz (BStatG) vom 22. Januar 1987 (BGBl. I S. 462, 565), zuletzt geändert durch Artikel 3
des Gesetzes vom 7. September 2007 (BGBI. I S. 2246). Erhoben werden die Angaben zu § 88 Abs. 1 BBiG. Die Auskunftsverpflichtung ergibt sich
 aus § 88 Absatz 3 BBIG in Verbindung mit § 15 BStatG. Hiernach sind die nach dem Berufs-bildungsgesetz für die Berufsausbildung zuständigen Stellen auskunftspflichtig.</t>
  </si>
  <si>
    <t>Schleswig-Holstein</t>
  </si>
  <si>
    <t>Hamburg</t>
  </si>
  <si>
    <t>Niedersachsen</t>
  </si>
  <si>
    <t>Bremen</t>
  </si>
  <si>
    <t>Nordrhein-Westfalen</t>
  </si>
  <si>
    <t>Hessen</t>
  </si>
  <si>
    <t>Rheinland-Pfalz</t>
  </si>
  <si>
    <t>Baden-Württemberg</t>
  </si>
  <si>
    <t>Bayern</t>
  </si>
  <si>
    <t>Saarland</t>
  </si>
  <si>
    <t>Berlin</t>
  </si>
  <si>
    <t>Brandenburg</t>
  </si>
  <si>
    <t>Mecklenburg-Vorpommern</t>
  </si>
  <si>
    <t>Sachsen</t>
  </si>
  <si>
    <t>Sachsen-Anhalt</t>
  </si>
  <si>
    <t>Thüringen</t>
  </si>
  <si>
    <t>Auszubildende am 31. Dezember</t>
  </si>
  <si>
    <t xml:space="preserve">Werker/in der Forstwirtschaft - 
Wald- und Landschaftspflege
</t>
  </si>
  <si>
    <t>Molkereifach-mann/-frau</t>
  </si>
  <si>
    <t>Milchtechnologe /-technologin</t>
  </si>
  <si>
    <t>darunter 
weiblich</t>
  </si>
  <si>
    <t>mit neu 
abgeschlossenem
 Ausbildungsvertrag</t>
  </si>
  <si>
    <t xml:space="preserve"> Landwirtschaftlich- technischer  Laborant/-in</t>
  </si>
  <si>
    <t>darunter in der 
Probezeit gelöst</t>
  </si>
  <si>
    <t>darunter aus EU-Ländern:</t>
  </si>
  <si>
    <t xml:space="preserve">darunter mit 
bestandener Prüfung </t>
  </si>
  <si>
    <t>Fortbildungsberuf Teilbereich</t>
  </si>
  <si>
    <r>
      <t>2)</t>
    </r>
    <r>
      <rPr>
        <vertAlign val="superscript"/>
        <sz val="8"/>
        <rFont val="BundesSans Office"/>
        <family val="2"/>
      </rPr>
      <t xml:space="preserve"> </t>
    </r>
    <r>
      <rPr>
        <sz val="8"/>
        <rFont val="BundesSans Office"/>
        <family val="2"/>
      </rPr>
      <t>Fachpraktiker/-in in der Landwirtschaft (§ 66 BBiG).</t>
    </r>
  </si>
  <si>
    <t>Ausbildungsberuf 
Schwerpunkt</t>
  </si>
  <si>
    <t xml:space="preserve">Rheinland-Pfalz </t>
  </si>
  <si>
    <t xml:space="preserve">Hessen </t>
  </si>
  <si>
    <t xml:space="preserve">Schleswig-Holstein </t>
  </si>
  <si>
    <t xml:space="preserve">Niedersachsen </t>
  </si>
  <si>
    <t xml:space="preserve">Bayern </t>
  </si>
  <si>
    <t xml:space="preserve">Saarland </t>
  </si>
  <si>
    <t xml:space="preserve">Brandenburg </t>
  </si>
  <si>
    <t xml:space="preserve">Thüringen </t>
  </si>
  <si>
    <t>darunter mit bestandener 
Prüfung 
insgesamt</t>
  </si>
  <si>
    <t>Fußnote</t>
  </si>
  <si>
    <t xml:space="preserve">Mecklenburg-Vorpommern </t>
  </si>
  <si>
    <t xml:space="preserve">Sachsen </t>
  </si>
  <si>
    <t xml:space="preserve">Sachsen-Anhalt </t>
  </si>
  <si>
    <r>
      <t>- Rinderhaltung</t>
    </r>
    <r>
      <rPr>
        <vertAlign val="superscript"/>
        <sz val="8"/>
        <color indexed="8"/>
        <rFont val="BundesSans Office"/>
        <family val="2"/>
      </rPr>
      <t xml:space="preserve"> </t>
    </r>
  </si>
  <si>
    <t>darunter mit bestandener 
Prüfung
 insgesamt</t>
  </si>
  <si>
    <t>darunter mit bestandener 
Prüfung
insgesamt</t>
  </si>
  <si>
    <t>darunter mit bestandener 
Prüfung darunter
 weiblich</t>
  </si>
  <si>
    <r>
      <t>Pferdewirt/-in</t>
    </r>
    <r>
      <rPr>
        <b/>
        <vertAlign val="superscript"/>
        <sz val="8"/>
        <rFont val="BundesSans Office"/>
        <family val="2"/>
      </rPr>
      <t xml:space="preserve"> </t>
    </r>
  </si>
  <si>
    <t xml:space="preserve">Landwirtschaftsfachwerker/-in </t>
  </si>
  <si>
    <t xml:space="preserve">Winzer/-in </t>
  </si>
  <si>
    <t>Forstwirt/-in  (Waldfacharbeiter/-in)</t>
  </si>
  <si>
    <t xml:space="preserve">Ausbildungsberufe der Land- 
und Forstwirtschaft und Fischerei insgesamt </t>
  </si>
  <si>
    <r>
      <t>Landwirtschaftsfachwerker/-in</t>
    </r>
    <r>
      <rPr>
        <vertAlign val="superscript"/>
        <sz val="8"/>
        <rFont val="BundesSans Office"/>
        <family val="2"/>
      </rPr>
      <t xml:space="preserve"> </t>
    </r>
  </si>
  <si>
    <t xml:space="preserve">Pferdewirt/-in </t>
  </si>
  <si>
    <r>
      <t>Gartenbaufachwerker/-in</t>
    </r>
    <r>
      <rPr>
        <vertAlign val="superscript"/>
        <sz val="8"/>
        <rFont val="BundesSans Office"/>
        <family val="2"/>
      </rPr>
      <t xml:space="preserve"> </t>
    </r>
  </si>
  <si>
    <t>7. Pferdewirt/-in Monoberuf</t>
  </si>
  <si>
    <t>noch: 7. Pferdewirte/-in Fachrichtung: Klassische Reitausbildung, Pferdehaltung u. Service, Pferderennen, Pferdezucht, Spezialreitweisen.</t>
  </si>
  <si>
    <t>1) Einschließlich Fachpraktiker/in im Gartenbau (§ 66 BBiG).</t>
  </si>
  <si>
    <t>9. Gartenbaufachwerker/-in einschließlich Fachwerker/in, Werker/in, Gartenbauhelfer und Helfer/in im Gartenbau (§ 66 BBiG).</t>
  </si>
  <si>
    <t>11. Forstwirt/-in einschließlich Werker/in der Forstwirtschaft- Wald- und Landschaftspflege (§ 66 BBiG).</t>
  </si>
  <si>
    <t xml:space="preserve">Prüflinge mit bestandener 
Abschlussprüfung </t>
  </si>
  <si>
    <t xml:space="preserve">Prüflinge mit bestandener 
Meisterprüfung </t>
  </si>
  <si>
    <t>Anmerkung: Laut Statistischem Bundesamt lassen die einzelnen Angaben aus Gründen der Geheimhaltung keinen Rückschluss auf die Gesamtsummen zu. (Siehe Geheimhaltungsverfahren).</t>
  </si>
  <si>
    <t>davon Hauptschul-
abschluss</t>
  </si>
  <si>
    <t>davon Realschul- 
oder gleichwertiger Abschluss</t>
  </si>
  <si>
    <t>davon Schulischen 
Berufsgrund
bildungsjahres</t>
  </si>
  <si>
    <t>davon 
Berufsfachschule</t>
  </si>
  <si>
    <t>davon Berufs-
 vorbereitungs
jahres</t>
  </si>
  <si>
    <t>davon Sonstige</t>
  </si>
  <si>
    <t>davon 
 ohne Angabe</t>
  </si>
  <si>
    <t>darunter
 männlich</t>
  </si>
  <si>
    <t>davon ohne 
Hauptschulabschluss 
einschließlich Abgänger von Sonderschulen ohne Hauptschulabschluss.</t>
  </si>
  <si>
    <t xml:space="preserve"> davon Hochschul-, 
Fachhochschulreife
 Allgemeine bzw. fachgebundene Fachhochschulreife.</t>
  </si>
  <si>
    <t>darunter mit bestandener 
Prüfung 
darunter männlich</t>
  </si>
  <si>
    <t>darunter mit bestandener 
Prüfung
darunter weiblich</t>
  </si>
  <si>
    <r>
      <t>Pferdewirt/-in</t>
    </r>
    <r>
      <rPr>
        <b/>
        <vertAlign val="superscript"/>
        <sz val="8"/>
        <color theme="0"/>
        <rFont val="BundesSans Office"/>
        <family val="2"/>
      </rPr>
      <t xml:space="preserve"> </t>
    </r>
  </si>
  <si>
    <t>Teilnehmer an Fortbildungsprüfungen
 insgesamt</t>
  </si>
  <si>
    <t>Teilnehmer an Fortbildungsprüfungen 
darunter männlich</t>
  </si>
  <si>
    <t>Teilnehmer an Fortbildungsprüfungen 
darunter weiblich</t>
  </si>
  <si>
    <t xml:space="preserve">  darunter Teilnehmer an  Wiederholungsprüfungen
 insgesamt</t>
  </si>
  <si>
    <t xml:space="preserve">  darunter Teilnehmer an  Wiederholungsprüfungen
 männlich</t>
  </si>
  <si>
    <t xml:space="preserve">  darunter Teilnehmer an  Wiederholungsprüfungen
 weiblich </t>
  </si>
  <si>
    <t xml:space="preserve">  darunter Teilnehmer an  Wiederholungsprüfungen 
mit bestandener
Prüfung</t>
  </si>
  <si>
    <t>noch A. Ausbildungsberufe - I. Ausbildungsverhältnisse</t>
  </si>
  <si>
    <t>noch B. Entwicklung der Ausbildungsberufe in der Landwirtschaft</t>
  </si>
  <si>
    <t xml:space="preserve">Anmerkung: Laut Statistischem Bundesamt lassen die einzelnen Angaben aus Gründen der Geheimhaltung keinen Rückschluss auf die Gesamtsummen zu. (Siehe Geheimhaltungsverfahren). </t>
  </si>
  <si>
    <t>Bei den Prüflingen mit bestandener Abschluss- und Meisterprüfung lagen für 2007 keine Angaben vor.</t>
  </si>
  <si>
    <t>1) Einschließlich Fachwerker /in, Werker/in und Helfer nach § 66 BBiG.</t>
  </si>
  <si>
    <t>2) Bis 2006 Einschl. Werker/in der Forstwirtschaft - Wald- u. Landschaftspflege (§ 66 BBiG).</t>
  </si>
  <si>
    <t>Milchwirtschaftliche(r)  Laborant/-in</t>
  </si>
  <si>
    <t>Landwirtschaftlich- technische(r) Laborant/-in</t>
  </si>
  <si>
    <t>1) Einschließlich Fachpraktiker,Werker/-in und Helfer/-in (§ 66 BBiG).</t>
  </si>
  <si>
    <t>Tschechien</t>
  </si>
  <si>
    <t>Japan</t>
  </si>
  <si>
    <t>Korea, Republik</t>
  </si>
  <si>
    <t>Philippinen</t>
  </si>
  <si>
    <t>Sri Lanka</t>
  </si>
  <si>
    <t>Argentinien</t>
  </si>
  <si>
    <t>Südafrika</t>
  </si>
  <si>
    <t>davon mit schulischer Vorbildung bzw. Besuch einer (s); -hier ist jeweils die zuletzt besuche Schulart bzw. der dort erreichte Abschluss angegeben (keine Mehrfachzählung)-</t>
  </si>
  <si>
    <t>Milchwirtschaftliche(r) Laborant/-in</t>
  </si>
  <si>
    <t xml:space="preserve">Werker/in der Forstwirtschaft - Wald- und Landschaftspflege
</t>
  </si>
  <si>
    <t>darunter im ersten
Ausbildungsjahr gelöst</t>
  </si>
  <si>
    <t>darunter im zweiten
Ausbildungsjahr gelöst</t>
  </si>
  <si>
    <t>darunter im dritten
Ausbildungsjahr gelöst</t>
  </si>
  <si>
    <t>F. Prüfungen in der beruflichen Fortbildung 2023 (§ 53 BBiG)</t>
  </si>
  <si>
    <t>Quelle: Statistisches Bundesamt, Statistische Ämter und meldende Behörden der Länder, BLE (BZL Referat 624).</t>
  </si>
  <si>
    <t>Serbien</t>
  </si>
  <si>
    <t>Algerien</t>
  </si>
  <si>
    <t>Togo</t>
  </si>
  <si>
    <t>Vietnam</t>
  </si>
  <si>
    <t>1) Einschließlich Werker, Fachpraktiker bzw. Helfer/in in der Pferdewirtschaft (§ 66 BBiG).</t>
  </si>
  <si>
    <t>7b. Pferdewirte/-in Fachrichtung: Klassische Reitausbildung, Pferdehaltung u. Service, Pferderennen, Pferdezucht, Spezialreitweisen.</t>
  </si>
  <si>
    <t>7a. Pferdewirt/-in Monoberuf</t>
  </si>
  <si>
    <t>B. Entwicklung der Ausbildungsberufe</t>
  </si>
  <si>
    <t>Redaktion: BLE (BZL Referat 624).</t>
  </si>
  <si>
    <t xml:space="preserve">b) Teilnehmer an Abschlussprüfungen </t>
  </si>
  <si>
    <t>1) Einschließlich Tierwirtschaftshelfer/in FR Rinderhaltung (§66 BBiG).</t>
  </si>
  <si>
    <t>Nur ländliche Hauswirtschaft.</t>
  </si>
  <si>
    <t>1) Einschließlich Werker/in der Forstwirtschaft- Wald- und Landschaftspflege (§ 66 BBiG).</t>
  </si>
  <si>
    <t>Anmerkung: Laut Statistischem Bundesamt lassen die einzelnen Angaben aus Gründen der Geheimhaltung keinen Rückschluss auf die Gesamtsummen zu.</t>
  </si>
  <si>
    <t>Deutschland insgesamt</t>
  </si>
  <si>
    <t>Berichtszeit: 1. Januar bis 31. Dezember 2024</t>
  </si>
  <si>
    <t>a) Auszubildende am 31.12.2024</t>
  </si>
  <si>
    <t>Auszubildende am 31.12.2024</t>
  </si>
  <si>
    <t>D. Vorzeitig gelöste Ausbildungsverhältnisse 2024 nach Ausbildungsberufen Deutschland insgesamt</t>
  </si>
  <si>
    <t>E. Ausländische Auszubildende nach dem Land der Staatsangehörigkeit 2024 in Deutschland</t>
  </si>
  <si>
    <t xml:space="preserve"> F.  Prüfungen in der beruflichen Fortbildung 2024 (§ 53 BBiG)</t>
  </si>
  <si>
    <t>Ausländische Auszubildende am 31.12.2024</t>
  </si>
  <si>
    <t>Nordmazedonien</t>
  </si>
  <si>
    <t>Ägypten</t>
  </si>
  <si>
    <t>Aserbaidschan</t>
  </si>
  <si>
    <t>Bolivien</t>
  </si>
  <si>
    <t>Indien</t>
  </si>
  <si>
    <t>Israel</t>
  </si>
  <si>
    <t>Malaysia</t>
  </si>
  <si>
    <t>Tunesien</t>
  </si>
  <si>
    <t>Staatenlos</t>
  </si>
  <si>
    <t>Pferdewirtschaftsmeister/in FR Pferdehaltung und Service</t>
  </si>
  <si>
    <t>Pferdewirtschaftsmeister/in FR Pferdezucht</t>
  </si>
  <si>
    <t>Pferdewirtschaftsmeister/in FR Klassische Reitausbildung</t>
  </si>
  <si>
    <t>Fachagrarwirt/in Baumpflege (Gepr.) - Bachelor Professional Baumpflege</t>
  </si>
  <si>
    <t>Molkereimeister/in - Bachelor Professional in Milchtechnologie</t>
  </si>
  <si>
    <t>Pferdewirtschaftsmeister/in FR Spezialreitweisen</t>
  </si>
  <si>
    <t>Milchwirtschaftliche(r) Labormeister/in - Bachelor Professional im milchwirtschaftlichen Laborwesen</t>
  </si>
  <si>
    <t>Fachwirt/in für Fischerei und Meeresumwelt (Gepr.)</t>
  </si>
  <si>
    <t>Fachagrarwirt/in Herdenmanagement (Gepr.)</t>
  </si>
  <si>
    <t>6. Fischwirt/-in Fachrichtung: Aquakultur und Binnenfischerei, Küstenfischerei und Kleine Hochseefischerei.</t>
  </si>
  <si>
    <t>darunter im 
1.Ausbildungsjahr</t>
  </si>
  <si>
    <t>C. Auszubildende 2024 mit neu abgeschlossenen Ausbildungsverträgen nach schulischer Vorbildung</t>
  </si>
  <si>
    <t>Stand der Datengrundlage: August 2025</t>
  </si>
  <si>
    <t>Stand: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</si>
</sst>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2">
    <numFmt numFmtId="164" formatCode="_-* #,##0.00\ &quot;DM&quot;_-;\-* #,##0.00\ &quot;DM&quot;_-;_-* &quot;-&quot;??\ &quot;DM&quot;_-;_-@_-"/>
    <numFmt numFmtId="165" formatCode="_-* #,##0.00\ _D_M_-;\-* #,##0.00\ _D_M_-;_-* &quot;-&quot;??\ _D_M_-;_-@_-"/>
    <numFmt numFmtId="166" formatCode="#,##0;\-#,##0;&quot;-&quot;_)"/>
    <numFmt numFmtId="167" formatCode="#,##0;\-#,##0;&quot;-&quot;"/>
    <numFmt numFmtId="168" formatCode="#,##0\ \ \ \ "/>
    <numFmt numFmtId="169" formatCode="#,##0\ \ \ ;\-#,##0\ \ \ ;&quot;-&quot;\ \ \ \ "/>
    <numFmt numFmtId="170" formatCode="#,##0\ \ ;\-#,##0\ \ ;&quot;-&quot;\ \ _)"/>
    <numFmt numFmtId="171" formatCode="#,##0\ \ \ \ \ ;\-#,##0\ \ \ \ \ ;&quot;-&quot;\ \ \ \ \ \ "/>
    <numFmt numFmtId="172" formatCode="#,##0\ ;\-#,##0\ ;&quot;-&quot;\ _)"/>
    <numFmt numFmtId="173" formatCode="#\ ##0\ \ ;\-#\ ##0\ \ ;&quot;-&quot;\ \ _)"/>
    <numFmt numFmtId="174" formatCode="#\ ##0\ \ \ "/>
    <numFmt numFmtId="175" formatCode="#\ ##0\ \ ;\ &quot;-&quot;\ \ _)\ \ \ "/>
    <numFmt numFmtId="176" formatCode="#,##0\ \ ;\-#,##0;&quot;-&quot;\ _)"/>
    <numFmt numFmtId="177" formatCode="#\ ##0\ ;\-#,##0;\ \ &quot;-&quot;\ \ \ \ "/>
    <numFmt numFmtId="178" formatCode="#,##0\ \ \ ;\-#,##0\ \ \ ;&quot;-&quot;\ \ \ _)"/>
    <numFmt numFmtId="179" formatCode="#,##0\ ;\-#,##0;&quot;-&quot;_)"/>
    <numFmt numFmtId="180" formatCode="0.0\ \ \ \ "/>
    <numFmt numFmtId="181" formatCode="#\ ##0\ \ \ \ \ ;\-#\ ##0\ \ \ \ \ ;&quot;-&quot;\ \ \ \ \ _)"/>
    <numFmt numFmtId="182" formatCode="0\ \ \ \ \ \ \ \ \ \ "/>
    <numFmt numFmtId="183" formatCode="#\ ##0\ \ \ \ \ \ \ \ ;\-#\ ##0\ \ \ \ \ \ \ \ ;&quot;-&quot;\ \ \ \ \ \ \ \ _)"/>
    <numFmt numFmtId="184" formatCode="0.0\ \ \ "/>
    <numFmt numFmtId="185" formatCode="?\ ??0"/>
    <numFmt numFmtId="186" formatCode="??0"/>
    <numFmt numFmtId="187" formatCode="??\ ??0"/>
    <numFmt numFmtId="188" formatCode="##\ ##0\ \ ;\-##\ ##0\ \ ;&quot;-&quot;\ \ _)"/>
    <numFmt numFmtId="189" formatCode="#,##0\ \ \ \ \ \ \ \ \ \ \ \ \ \ \ "/>
    <numFmt numFmtId="190" formatCode="#\ ##0\ \ \ \ \ "/>
    <numFmt numFmtId="191" formatCode="#,##0\ \ \ ;\-#,##0\ \ \ ;&quot;-&quot;\ \ _)"/>
    <numFmt numFmtId="192" formatCode="#,##0_)"/>
    <numFmt numFmtId="193" formatCode="#\ ###\ ##0;\-#\ ###\ ##0;&quot;–&quot;"/>
    <numFmt numFmtId="194" formatCode="#\ ###\ ##0;\-#\ ###\ ##0;&quot;0&quot;"/>
    <numFmt numFmtId="195" formatCode="#\ ##0\ ;\-#,##0;&quot;-&quot;_)"/>
  </numFmts>
  <fonts count="77">
    <font>
      <sz val="11"/>
      <name val="Times New Roman"/>
    </font>
    <font>
      <sz val="11"/>
      <color theme="1"/>
      <name val="Calibri"/>
      <family val="2"/>
      <scheme val="minor"/>
    </font>
    <font>
      <b/>
      <sz val="11"/>
      <name val="Times New Roman"/>
      <family val="1"/>
    </font>
    <font>
      <sz val="11"/>
      <name val="Times New Roman"/>
      <family val="1"/>
    </font>
    <font>
      <sz val="11"/>
      <name val="Times New Roman"/>
      <family val="1"/>
    </font>
    <font>
      <b/>
      <sz val="11"/>
      <name val="Times New Roman"/>
      <family val="1"/>
    </font>
    <font>
      <sz val="12"/>
      <name val="Times New Roman"/>
      <family val="1"/>
    </font>
    <font>
      <sz val="10"/>
      <name val="Arial"/>
      <family val="2"/>
    </font>
    <font>
      <sz val="11"/>
      <name val="Arial"/>
      <family val="2"/>
    </font>
    <font>
      <sz val="8"/>
      <name val="Arial"/>
      <family val="2"/>
    </font>
    <font>
      <b/>
      <sz val="8"/>
      <name val="Arial"/>
      <family val="2"/>
    </font>
    <font>
      <b/>
      <i/>
      <sz val="8"/>
      <name val="Arial"/>
      <family val="2"/>
    </font>
    <font>
      <b/>
      <sz val="12"/>
      <name val="Arial"/>
      <family val="2"/>
    </font>
    <font>
      <b/>
      <sz val="10"/>
      <name val="Arial"/>
      <family val="2"/>
    </font>
    <font>
      <b/>
      <sz val="11"/>
      <name val="Arial"/>
      <family val="2"/>
    </font>
    <font>
      <sz val="9"/>
      <name val="Arial"/>
      <family val="2"/>
    </font>
    <font>
      <b/>
      <sz val="9"/>
      <name val="Arial"/>
      <family val="2"/>
    </font>
    <font>
      <sz val="13"/>
      <name val="Arial"/>
      <family val="2"/>
    </font>
    <font>
      <sz val="7.5"/>
      <name val="Arial"/>
      <family val="2"/>
    </font>
    <font>
      <b/>
      <sz val="7.5"/>
      <name val="Arial"/>
      <family val="2"/>
    </font>
    <font>
      <vertAlign val="superscript"/>
      <sz val="8"/>
      <name val="Arial"/>
      <family val="2"/>
    </font>
    <font>
      <sz val="8"/>
      <color indexed="8"/>
      <name val="Arial"/>
      <family val="2"/>
    </font>
    <font>
      <sz val="7"/>
      <name val="Arial"/>
      <family val="2"/>
    </font>
    <font>
      <b/>
      <vertAlign val="superscript"/>
      <sz val="8"/>
      <name val="Arial"/>
      <family val="2"/>
    </font>
    <font>
      <sz val="12"/>
      <name val="Arial"/>
      <family val="2"/>
    </font>
    <font>
      <vertAlign val="superscript"/>
      <sz val="7.5"/>
      <name val="Arial"/>
      <family val="2"/>
    </font>
    <font>
      <i/>
      <sz val="8"/>
      <name val="Arial"/>
      <family val="2"/>
    </font>
    <font>
      <b/>
      <vertAlign val="superscript"/>
      <sz val="10"/>
      <name val="Arial"/>
      <family val="2"/>
    </font>
    <font>
      <b/>
      <sz val="10"/>
      <color indexed="10"/>
      <name val="Arial"/>
      <family val="2"/>
    </font>
    <font>
      <sz val="10"/>
      <name val="Garamond"/>
      <family val="1"/>
    </font>
    <font>
      <b/>
      <sz val="9"/>
      <color indexed="10"/>
      <name val="Arial"/>
      <family val="2"/>
    </font>
    <font>
      <b/>
      <sz val="14"/>
      <name val="Arial"/>
      <family val="2"/>
    </font>
    <font>
      <b/>
      <vertAlign val="superscript"/>
      <sz val="9"/>
      <name val="Arial"/>
      <family val="2"/>
    </font>
    <font>
      <b/>
      <sz val="9"/>
      <color indexed="8"/>
      <name val="Arial"/>
      <family val="2"/>
    </font>
    <font>
      <b/>
      <sz val="10"/>
      <name val="Times New Roman"/>
      <family val="1"/>
    </font>
    <font>
      <sz val="7"/>
      <name val="Garamond"/>
      <family val="1"/>
    </font>
    <font>
      <sz val="8"/>
      <color rgb="FFFF0000"/>
      <name val="Arial"/>
      <family val="2"/>
    </font>
    <font>
      <sz val="10"/>
      <color rgb="FFFF0000"/>
      <name val="Arial"/>
      <family val="2"/>
    </font>
    <font>
      <sz val="9"/>
      <color rgb="FFFF0000"/>
      <name val="Arial"/>
      <family val="2"/>
    </font>
    <font>
      <b/>
      <sz val="8"/>
      <color rgb="FFFF0000"/>
      <name val="Arial"/>
      <family val="2"/>
    </font>
    <font>
      <b/>
      <sz val="16"/>
      <color rgb="FFFF0000"/>
      <name val="Arial"/>
      <family val="2"/>
    </font>
    <font>
      <b/>
      <sz val="9"/>
      <color indexed="81"/>
      <name val="Tahoma"/>
      <family val="2"/>
    </font>
    <font>
      <sz val="9"/>
      <color indexed="81"/>
      <name val="Tahoma"/>
      <family val="2"/>
    </font>
    <font>
      <b/>
      <sz val="9"/>
      <name val="Times New Roman"/>
      <family val="1"/>
    </font>
    <font>
      <sz val="8"/>
      <name val="Times New Roman"/>
      <family val="1"/>
    </font>
    <font>
      <b/>
      <sz val="8"/>
      <color theme="1"/>
      <name val="Arial"/>
      <family val="2"/>
    </font>
    <font>
      <b/>
      <sz val="8"/>
      <color theme="0"/>
      <name val="Arial"/>
      <family val="2"/>
    </font>
    <font>
      <sz val="8"/>
      <color theme="1"/>
      <name val="Arial"/>
      <family val="2"/>
    </font>
    <font>
      <b/>
      <sz val="8"/>
      <color rgb="FFC00000"/>
      <name val="Arial"/>
      <family val="2"/>
    </font>
    <font>
      <sz val="9"/>
      <color indexed="81"/>
      <name val="Segoe UI"/>
      <family val="2"/>
    </font>
    <font>
      <b/>
      <sz val="9"/>
      <color indexed="81"/>
      <name val="Segoe UI"/>
      <family val="2"/>
    </font>
    <font>
      <sz val="9.5"/>
      <color rgb="FF000000"/>
      <name val="Albany AMT"/>
    </font>
    <font>
      <sz val="10"/>
      <name val="BundesSans Office"/>
      <family val="2"/>
    </font>
    <font>
      <b/>
      <sz val="10"/>
      <name val="BundesSans Office"/>
      <family val="2"/>
    </font>
    <font>
      <b/>
      <sz val="14"/>
      <name val="BundesSans Office"/>
      <family val="2"/>
    </font>
    <font>
      <sz val="9"/>
      <name val="BundesSans Office"/>
      <family val="2"/>
    </font>
    <font>
      <sz val="9"/>
      <color theme="1"/>
      <name val="BundesSans Office"/>
      <family val="2"/>
    </font>
    <font>
      <b/>
      <sz val="8"/>
      <name val="BundesSans Office"/>
      <family val="2"/>
    </font>
    <font>
      <b/>
      <sz val="9"/>
      <name val="BundesSans Office"/>
      <family val="2"/>
    </font>
    <font>
      <b/>
      <sz val="11"/>
      <name val="BundesSans Office"/>
      <family val="2"/>
    </font>
    <font>
      <b/>
      <sz val="12"/>
      <name val="BundesSans Office"/>
      <family val="2"/>
    </font>
    <font>
      <sz val="11"/>
      <name val="BundesSans Office"/>
      <family val="2"/>
    </font>
    <font>
      <sz val="8"/>
      <name val="BundesSans Office"/>
      <family val="2"/>
    </font>
    <font>
      <b/>
      <vertAlign val="superscript"/>
      <sz val="8"/>
      <name val="BundesSans Office"/>
      <family val="2"/>
    </font>
    <font>
      <vertAlign val="superscript"/>
      <sz val="8"/>
      <name val="BundesSans Office"/>
      <family val="2"/>
    </font>
    <font>
      <sz val="8"/>
      <color theme="1"/>
      <name val="BundesSans Office"/>
      <family val="2"/>
    </font>
    <font>
      <b/>
      <sz val="8"/>
      <color theme="1"/>
      <name val="BundesSans Office"/>
      <family val="2"/>
    </font>
    <font>
      <sz val="7"/>
      <name val="BundesSans Office"/>
      <family val="2"/>
    </font>
    <font>
      <sz val="7.5"/>
      <name val="BundesSans Office"/>
      <family val="2"/>
    </font>
    <font>
      <sz val="8"/>
      <color indexed="8"/>
      <name val="BundesSans Office"/>
      <family val="2"/>
    </font>
    <font>
      <vertAlign val="superscript"/>
      <sz val="8"/>
      <color indexed="8"/>
      <name val="BundesSans Office"/>
      <family val="2"/>
    </font>
    <font>
      <b/>
      <sz val="8"/>
      <color theme="0"/>
      <name val="BundesSans Office"/>
      <family val="2"/>
    </font>
    <font>
      <b/>
      <vertAlign val="superscript"/>
      <sz val="8"/>
      <color theme="0"/>
      <name val="BundesSans Office"/>
      <family val="2"/>
    </font>
    <font>
      <u/>
      <sz val="11"/>
      <color theme="10"/>
      <name val="Times New Roman"/>
      <family val="1"/>
    </font>
    <font>
      <sz val="10"/>
      <color rgb="FF000000"/>
      <name val="Arial"/>
      <family val="2"/>
    </font>
    <font>
      <sz val="8"/>
      <name val="BundesSans Office"/>
      <family val="2"/>
    </font>
    <font>
      <sz val="8"/>
      <color rgb="FFFF0000"/>
      <name val="BundesSans Office"/>
      <family val="2"/>
    </font>
  </fonts>
  <fills count="5">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rgb="FFC00000"/>
        <bgColor indexed="64"/>
      </patternFill>
    </fill>
  </fills>
  <borders count="8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medium">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right/>
      <top style="dashed">
        <color indexed="64"/>
      </top>
      <bottom/>
      <diagonal/>
    </border>
    <border>
      <left/>
      <right style="medium">
        <color indexed="64"/>
      </right>
      <top style="dashed">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diagonal/>
    </border>
    <border>
      <left style="thin">
        <color rgb="FF000000"/>
      </left>
      <right/>
      <top/>
      <bottom/>
      <diagonal/>
    </border>
    <border>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indexed="64"/>
      </right>
      <top style="thin">
        <color rgb="FF000000"/>
      </top>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right style="thin">
        <color rgb="FF000000"/>
      </right>
      <top/>
      <bottom style="thin">
        <color indexed="64"/>
      </bottom>
      <diagonal/>
    </border>
  </borders>
  <cellStyleXfs count="9">
    <xf numFmtId="0" fontId="0" fillId="0" borderId="0" applyProtection="0"/>
    <xf numFmtId="165" fontId="3" fillId="0" borderId="0" applyFont="0" applyFill="0" applyBorder="0" applyAlignment="0" applyProtection="0"/>
    <xf numFmtId="0" fontId="3" fillId="0" borderId="0" applyProtection="0"/>
    <xf numFmtId="164" fontId="3" fillId="0" borderId="0" applyFont="0" applyFill="0" applyBorder="0" applyAlignment="0" applyProtection="0"/>
    <xf numFmtId="0" fontId="1" fillId="0" borderId="0"/>
    <xf numFmtId="0" fontId="1" fillId="0" borderId="0"/>
    <xf numFmtId="0" fontId="51" fillId="0" borderId="0"/>
    <xf numFmtId="0" fontId="73" fillId="0" borderId="0" applyNumberFormat="0" applyFill="0" applyBorder="0" applyAlignment="0" applyProtection="0"/>
    <xf numFmtId="0" fontId="51" fillId="0" borderId="0"/>
  </cellStyleXfs>
  <cellXfs count="2199">
    <xf numFmtId="0" fontId="0" fillId="0" borderId="0" xfId="0"/>
    <xf numFmtId="0" fontId="9" fillId="0" borderId="0" xfId="0" applyFont="1" applyBorder="1" applyAlignment="1">
      <alignment horizontal="centerContinuous" vertical="center"/>
    </xf>
    <xf numFmtId="170" fontId="10" fillId="0" borderId="0" xfId="0" applyNumberFormat="1" applyFont="1" applyBorder="1" applyAlignment="1">
      <alignment horizontal="centerContinuous" vertical="center"/>
    </xf>
    <xf numFmtId="0" fontId="9" fillId="0" borderId="0" xfId="0" applyFont="1"/>
    <xf numFmtId="0" fontId="9" fillId="0" borderId="0" xfId="0" applyFont="1" applyAlignment="1">
      <alignment horizontal="centerContinuous"/>
    </xf>
    <xf numFmtId="173" fontId="9" fillId="0" borderId="0" xfId="0" applyNumberFormat="1" applyFont="1" applyFill="1" applyBorder="1"/>
    <xf numFmtId="0" fontId="9" fillId="0" borderId="0" xfId="0" applyFont="1" applyFill="1"/>
    <xf numFmtId="0" fontId="9" fillId="0" borderId="0" xfId="0" applyFont="1" applyFill="1" applyAlignment="1">
      <alignment vertical="top"/>
    </xf>
    <xf numFmtId="0" fontId="9" fillId="0" borderId="0" xfId="0" applyFont="1" applyFill="1" applyBorder="1"/>
    <xf numFmtId="0" fontId="10" fillId="0" borderId="0" xfId="0" applyFont="1" applyFill="1" applyBorder="1"/>
    <xf numFmtId="0" fontId="9" fillId="0" borderId="0" xfId="0" applyFont="1" applyAlignment="1">
      <alignment vertical="center"/>
    </xf>
    <xf numFmtId="0" fontId="10" fillId="0" borderId="0" xfId="0" applyFont="1" applyFill="1" applyAlignment="1">
      <alignment vertical="center"/>
    </xf>
    <xf numFmtId="0" fontId="9" fillId="0" borderId="0" xfId="0" applyFont="1" applyBorder="1" applyAlignment="1">
      <alignment vertical="center"/>
    </xf>
    <xf numFmtId="0" fontId="9" fillId="0" borderId="1" xfId="0" applyFont="1" applyFill="1" applyBorder="1"/>
    <xf numFmtId="0" fontId="9" fillId="0" borderId="2" xfId="0" applyFont="1" applyFill="1" applyBorder="1"/>
    <xf numFmtId="0" fontId="9" fillId="0" borderId="3" xfId="0" applyFont="1" applyFill="1" applyBorder="1" applyAlignment="1" applyProtection="1">
      <alignment horizontal="center" vertical="center"/>
    </xf>
    <xf numFmtId="0" fontId="10" fillId="0" borderId="1" xfId="0" applyFont="1" applyFill="1" applyBorder="1" applyAlignment="1">
      <alignment horizontal="centerContinuous"/>
    </xf>
    <xf numFmtId="0" fontId="10" fillId="0" borderId="3" xfId="0" applyFont="1" applyFill="1" applyBorder="1" applyAlignment="1" applyProtection="1">
      <alignment horizontal="centerContinuous"/>
    </xf>
    <xf numFmtId="0" fontId="9" fillId="0" borderId="3" xfId="0" applyFont="1" applyFill="1" applyBorder="1"/>
    <xf numFmtId="0" fontId="9" fillId="0" borderId="3" xfId="0" applyFont="1" applyFill="1" applyBorder="1" applyAlignment="1" applyProtection="1">
      <alignment horizontal="centerContinuous" vertical="center"/>
    </xf>
    <xf numFmtId="0" fontId="10" fillId="0" borderId="3" xfId="0" applyFont="1" applyFill="1" applyBorder="1" applyAlignment="1" applyProtection="1">
      <alignment horizontal="centerContinuous" vertical="center"/>
    </xf>
    <xf numFmtId="0" fontId="9" fillId="0" borderId="0" xfId="0" applyFont="1" applyFill="1" applyBorder="1" applyAlignment="1" applyProtection="1">
      <alignment horizontal="centerContinuous" vertical="center"/>
    </xf>
    <xf numFmtId="0" fontId="9" fillId="0" borderId="4" xfId="0" applyFont="1" applyFill="1" applyBorder="1" applyAlignment="1" applyProtection="1">
      <alignment horizontal="centerContinuous" vertical="center"/>
    </xf>
    <xf numFmtId="0" fontId="9" fillId="0" borderId="3" xfId="0" applyFont="1" applyFill="1" applyBorder="1" applyAlignment="1" applyProtection="1">
      <alignment horizontal="fill"/>
    </xf>
    <xf numFmtId="0" fontId="10" fillId="0" borderId="3" xfId="0" applyFont="1" applyFill="1" applyBorder="1" applyAlignment="1" applyProtection="1">
      <alignment horizontal="fill"/>
    </xf>
    <xf numFmtId="0" fontId="9" fillId="0" borderId="3" xfId="0" applyFont="1" applyFill="1" applyBorder="1" applyAlignment="1" applyProtection="1">
      <alignment horizontal="center"/>
    </xf>
    <xf numFmtId="0" fontId="9" fillId="0" borderId="5" xfId="0" applyFont="1" applyFill="1" applyBorder="1" applyAlignment="1" applyProtection="1">
      <alignment horizontal="centerContinuous" vertical="center"/>
    </xf>
    <xf numFmtId="0" fontId="9" fillId="0" borderId="6" xfId="0" applyFont="1" applyFill="1" applyBorder="1" applyAlignment="1">
      <alignment horizontal="centerContinuous" vertical="center"/>
    </xf>
    <xf numFmtId="0" fontId="10" fillId="0" borderId="3" xfId="0" applyFont="1" applyFill="1" applyBorder="1"/>
    <xf numFmtId="0" fontId="9" fillId="0" borderId="0" xfId="0" applyFont="1" applyFill="1" applyBorder="1" applyAlignment="1">
      <alignment horizontal="centerContinuous"/>
    </xf>
    <xf numFmtId="0" fontId="10" fillId="0" borderId="3" xfId="0" applyFont="1" applyFill="1" applyBorder="1" applyAlignment="1" applyProtection="1">
      <alignment horizontal="center"/>
    </xf>
    <xf numFmtId="0" fontId="9" fillId="0" borderId="4" xfId="0" applyFont="1" applyFill="1" applyBorder="1" applyAlignment="1" applyProtection="1">
      <alignment horizontal="center"/>
    </xf>
    <xf numFmtId="0" fontId="9" fillId="0" borderId="7" xfId="0" applyFont="1" applyFill="1" applyBorder="1"/>
    <xf numFmtId="0" fontId="10" fillId="0" borderId="7" xfId="0" applyFont="1" applyFill="1" applyBorder="1"/>
    <xf numFmtId="0" fontId="9" fillId="0" borderId="8" xfId="0" applyFont="1" applyFill="1" applyBorder="1"/>
    <xf numFmtId="0" fontId="10" fillId="0" borderId="7" xfId="0" applyFont="1" applyFill="1" applyBorder="1" applyAlignment="1" applyProtection="1">
      <alignment horizontal="center" vertical="center"/>
    </xf>
    <xf numFmtId="0" fontId="8" fillId="0" borderId="0" xfId="0" applyFont="1" applyBorder="1" applyAlignment="1" applyProtection="1">
      <alignment horizontal="left" vertical="center"/>
    </xf>
    <xf numFmtId="0" fontId="8" fillId="0" borderId="0" xfId="0" applyFont="1" applyFill="1"/>
    <xf numFmtId="0" fontId="7" fillId="0" borderId="0" xfId="0" applyFont="1" applyAlignment="1">
      <alignment vertical="center"/>
    </xf>
    <xf numFmtId="0" fontId="9" fillId="0" borderId="0" xfId="0" applyFont="1" applyFill="1" applyBorder="1" applyAlignment="1">
      <alignment vertical="top"/>
    </xf>
    <xf numFmtId="0" fontId="9" fillId="0" borderId="0" xfId="0" applyFont="1" applyFill="1" applyBorder="1" applyAlignment="1">
      <alignment horizontal="centerContinuous" vertical="center"/>
    </xf>
    <xf numFmtId="0" fontId="10" fillId="0" borderId="0" xfId="0" applyFont="1" applyFill="1" applyBorder="1" applyAlignment="1">
      <alignment horizontal="centerContinuous" vertical="center"/>
    </xf>
    <xf numFmtId="170" fontId="10" fillId="0" borderId="0" xfId="0" applyNumberFormat="1" applyFont="1" applyFill="1" applyBorder="1" applyAlignment="1">
      <alignment horizontal="centerContinuous" vertical="center"/>
    </xf>
    <xf numFmtId="0" fontId="9" fillId="0" borderId="0" xfId="0" quotePrefix="1" applyFont="1" applyFill="1" applyAlignment="1">
      <alignment horizontal="center" vertical="center"/>
    </xf>
    <xf numFmtId="0" fontId="9" fillId="0" borderId="0" xfId="0" applyFont="1" applyFill="1" applyAlignment="1">
      <alignment horizontal="centerContinuous"/>
    </xf>
    <xf numFmtId="0" fontId="10" fillId="0" borderId="0" xfId="0" applyFont="1" applyFill="1" applyAlignment="1">
      <alignment horizontal="centerContinuous"/>
    </xf>
    <xf numFmtId="0" fontId="9" fillId="0" borderId="0" xfId="0" applyFont="1" applyFill="1" applyBorder="1" applyAlignment="1">
      <alignment horizontal="center"/>
    </xf>
    <xf numFmtId="173" fontId="9" fillId="0" borderId="9" xfId="0" applyNumberFormat="1" applyFont="1" applyFill="1" applyBorder="1" applyAlignment="1"/>
    <xf numFmtId="173" fontId="9" fillId="0" borderId="10" xfId="0" applyNumberFormat="1" applyFont="1" applyFill="1" applyBorder="1" applyAlignment="1"/>
    <xf numFmtId="173" fontId="10" fillId="0" borderId="10" xfId="0" applyNumberFormat="1" applyFont="1" applyFill="1" applyBorder="1" applyAlignment="1"/>
    <xf numFmtId="173" fontId="9" fillId="0" borderId="2" xfId="0" applyNumberFormat="1" applyFont="1" applyFill="1" applyBorder="1" applyAlignment="1"/>
    <xf numFmtId="0" fontId="8" fillId="0" borderId="0" xfId="0" applyFont="1" applyFill="1" applyBorder="1" applyAlignment="1"/>
    <xf numFmtId="0" fontId="8" fillId="0" borderId="0" xfId="0" applyFont="1" applyFill="1" applyBorder="1"/>
    <xf numFmtId="0" fontId="10" fillId="0" borderId="0" xfId="0" applyFont="1" applyFill="1"/>
    <xf numFmtId="0" fontId="10" fillId="0" borderId="0" xfId="0" applyFont="1" applyFill="1" applyBorder="1" applyAlignment="1">
      <alignment vertical="center"/>
    </xf>
    <xf numFmtId="173" fontId="9" fillId="0" borderId="0" xfId="0" applyNumberFormat="1" applyFont="1" applyAlignment="1">
      <alignment vertical="center"/>
    </xf>
    <xf numFmtId="169" fontId="9" fillId="0" borderId="0" xfId="0" applyNumberFormat="1" applyFont="1"/>
    <xf numFmtId="0" fontId="9" fillId="0" borderId="0" xfId="0" quotePrefix="1" applyFont="1" applyAlignment="1">
      <alignment horizontal="center"/>
    </xf>
    <xf numFmtId="169" fontId="9" fillId="0" borderId="0" xfId="0" quotePrefix="1" applyNumberFormat="1" applyFont="1" applyAlignment="1">
      <alignment horizontal="right"/>
    </xf>
    <xf numFmtId="173" fontId="9" fillId="0" borderId="3" xfId="0" applyNumberFormat="1" applyFont="1" applyBorder="1" applyAlignment="1">
      <alignment horizontal="centerContinuous" vertical="center"/>
    </xf>
    <xf numFmtId="173" fontId="9" fillId="0" borderId="3" xfId="0" applyNumberFormat="1" applyFont="1" applyBorder="1" applyAlignment="1">
      <alignment horizontal="center" vertical="center"/>
    </xf>
    <xf numFmtId="173" fontId="9" fillId="0" borderId="0" xfId="0" applyNumberFormat="1" applyFont="1" applyBorder="1" applyAlignment="1">
      <alignment vertical="center"/>
    </xf>
    <xf numFmtId="173" fontId="9" fillId="0" borderId="0" xfId="0" applyNumberFormat="1" applyFont="1" applyFill="1" applyBorder="1" applyAlignment="1">
      <alignment vertical="center"/>
    </xf>
    <xf numFmtId="0" fontId="9" fillId="0" borderId="0" xfId="0" applyFont="1" applyFill="1" applyBorder="1" applyAlignment="1" applyProtection="1">
      <alignment horizontal="left" vertical="center"/>
    </xf>
    <xf numFmtId="170" fontId="9" fillId="0" borderId="0" xfId="0" quotePrefix="1" applyNumberFormat="1" applyFont="1" applyFill="1" applyBorder="1" applyAlignment="1">
      <alignment horizontal="right" vertical="center"/>
    </xf>
    <xf numFmtId="0" fontId="9" fillId="0" borderId="0" xfId="0" applyFont="1" applyFill="1" applyAlignment="1" applyProtection="1">
      <alignment horizontal="centerContinuous"/>
    </xf>
    <xf numFmtId="170" fontId="9" fillId="0" borderId="0" xfId="0" applyNumberFormat="1" applyFont="1" applyFill="1" applyBorder="1" applyAlignment="1">
      <alignment vertical="center"/>
    </xf>
    <xf numFmtId="176" fontId="9" fillId="0" borderId="0" xfId="0" applyNumberFormat="1" applyFont="1" applyFill="1" applyBorder="1" applyAlignment="1" applyProtection="1">
      <alignment horizontal="right" vertical="center"/>
    </xf>
    <xf numFmtId="173" fontId="10" fillId="0" borderId="0" xfId="0" applyNumberFormat="1" applyFont="1" applyFill="1" applyBorder="1" applyAlignment="1" applyProtection="1">
      <alignment horizontal="right" vertical="center"/>
    </xf>
    <xf numFmtId="173" fontId="9" fillId="0" borderId="7" xfId="0" applyNumberFormat="1" applyFont="1" applyBorder="1" applyAlignment="1">
      <alignment horizontal="center" vertical="center"/>
    </xf>
    <xf numFmtId="0" fontId="9" fillId="0" borderId="0" xfId="0" applyFont="1" applyFill="1" applyAlignment="1">
      <alignment vertical="center"/>
    </xf>
    <xf numFmtId="0" fontId="9" fillId="0" borderId="0" xfId="0" applyFont="1" applyFill="1" applyBorder="1" applyAlignment="1"/>
    <xf numFmtId="0" fontId="8" fillId="0" borderId="0" xfId="0" applyFont="1" applyFill="1" applyAlignment="1"/>
    <xf numFmtId="0" fontId="10" fillId="0" borderId="0" xfId="0" applyFont="1" applyFill="1" applyBorder="1" applyAlignment="1" applyProtection="1">
      <alignment horizontal="left" vertical="center"/>
    </xf>
    <xf numFmtId="169" fontId="10" fillId="0" borderId="11" xfId="0" applyNumberFormat="1" applyFont="1" applyFill="1" applyBorder="1" applyAlignment="1">
      <alignment vertical="center"/>
    </xf>
    <xf numFmtId="0" fontId="9" fillId="0" borderId="0" xfId="0" applyFont="1" applyFill="1" applyBorder="1" applyAlignment="1" applyProtection="1">
      <alignment horizontal="centerContinuous"/>
    </xf>
    <xf numFmtId="0" fontId="9" fillId="0" borderId="0" xfId="0" applyFont="1" applyFill="1" applyBorder="1" applyAlignment="1" applyProtection="1">
      <alignment horizontal="center"/>
    </xf>
    <xf numFmtId="169" fontId="10" fillId="0" borderId="0" xfId="0" applyNumberFormat="1" applyFont="1" applyFill="1" applyBorder="1" applyAlignment="1">
      <alignment horizontal="right" vertical="center"/>
    </xf>
    <xf numFmtId="169" fontId="10" fillId="0" borderId="0" xfId="0" applyNumberFormat="1" applyFont="1" applyFill="1" applyBorder="1" applyAlignment="1" applyProtection="1">
      <alignment vertical="center"/>
    </xf>
    <xf numFmtId="169" fontId="10" fillId="0" borderId="0" xfId="0" applyNumberFormat="1" applyFont="1" applyFill="1" applyBorder="1" applyAlignment="1">
      <alignment vertical="center"/>
    </xf>
    <xf numFmtId="169" fontId="9" fillId="0" borderId="0" xfId="0" applyNumberFormat="1" applyFont="1" applyFill="1" applyAlignment="1">
      <alignment vertical="center"/>
    </xf>
    <xf numFmtId="0" fontId="25" fillId="0" borderId="0" xfId="0" applyFont="1" applyFill="1" applyAlignment="1">
      <alignment vertical="center"/>
    </xf>
    <xf numFmtId="0" fontId="9" fillId="0" borderId="0" xfId="0" applyFont="1" applyFill="1" applyBorder="1" applyAlignment="1">
      <alignment vertical="center"/>
    </xf>
    <xf numFmtId="173" fontId="9" fillId="0" borderId="0" xfId="0" applyNumberFormat="1" applyFont="1" applyFill="1" applyAlignment="1">
      <alignment vertical="center"/>
    </xf>
    <xf numFmtId="0" fontId="28" fillId="0" borderId="0" xfId="0" applyFont="1" applyFill="1"/>
    <xf numFmtId="0" fontId="9" fillId="0" borderId="0" xfId="0" applyFont="1" applyFill="1" applyAlignment="1">
      <alignment horizontal="left"/>
    </xf>
    <xf numFmtId="173" fontId="9" fillId="0" borderId="11" xfId="0" applyNumberFormat="1" applyFont="1" applyFill="1" applyBorder="1" applyAlignment="1">
      <alignment vertical="center"/>
    </xf>
    <xf numFmtId="169" fontId="7" fillId="0" borderId="0" xfId="0" applyNumberFormat="1" applyFont="1" applyFill="1" applyBorder="1" applyAlignment="1">
      <alignment horizontal="centerContinuous" vertical="center"/>
    </xf>
    <xf numFmtId="169" fontId="13" fillId="0" borderId="0" xfId="0" applyNumberFormat="1" applyFont="1" applyFill="1" applyBorder="1" applyAlignment="1">
      <alignment horizontal="centerContinuous" vertical="center"/>
    </xf>
    <xf numFmtId="169" fontId="9" fillId="0" borderId="0" xfId="0" quotePrefix="1" applyNumberFormat="1" applyFont="1" applyFill="1" applyBorder="1" applyAlignment="1">
      <alignment horizontal="center" vertical="center"/>
    </xf>
    <xf numFmtId="0" fontId="7" fillId="0" borderId="0" xfId="0" applyFont="1" applyFill="1" applyAlignment="1">
      <alignment vertical="center"/>
    </xf>
    <xf numFmtId="169" fontId="9" fillId="0" borderId="0" xfId="0" applyNumberFormat="1" applyFont="1" applyFill="1" applyBorder="1" applyAlignment="1">
      <alignment horizontal="centerContinuous" vertical="center"/>
    </xf>
    <xf numFmtId="169" fontId="10" fillId="0" borderId="0" xfId="0" applyNumberFormat="1" applyFont="1" applyFill="1" applyBorder="1" applyAlignment="1">
      <alignment horizontal="centerContinuous" vertical="center"/>
    </xf>
    <xf numFmtId="169" fontId="9" fillId="0" borderId="0" xfId="0" quotePrefix="1" applyNumberFormat="1" applyFont="1" applyFill="1" applyAlignment="1">
      <alignment horizontal="center" vertical="center"/>
    </xf>
    <xf numFmtId="169" fontId="9" fillId="0" borderId="0" xfId="0" applyNumberFormat="1" applyFont="1" applyFill="1" applyAlignment="1" applyProtection="1">
      <alignment horizontal="center"/>
    </xf>
    <xf numFmtId="169" fontId="9" fillId="0" borderId="11" xfId="0" applyNumberFormat="1" applyFont="1" applyFill="1" applyBorder="1" applyAlignment="1">
      <alignment vertical="center"/>
    </xf>
    <xf numFmtId="169" fontId="10" fillId="0" borderId="3" xfId="0" applyNumberFormat="1" applyFont="1" applyFill="1" applyBorder="1" applyAlignment="1" applyProtection="1">
      <alignment horizontal="center" vertical="center"/>
    </xf>
    <xf numFmtId="169" fontId="9" fillId="0" borderId="3" xfId="0" applyNumberFormat="1" applyFont="1" applyFill="1" applyBorder="1" applyAlignment="1" applyProtection="1">
      <alignment horizontal="centerContinuous" vertical="center"/>
    </xf>
    <xf numFmtId="169" fontId="10" fillId="0" borderId="3" xfId="0" applyNumberFormat="1" applyFont="1" applyFill="1" applyBorder="1" applyAlignment="1" applyProtection="1">
      <alignment horizontal="fill" vertical="center"/>
    </xf>
    <xf numFmtId="169" fontId="9" fillId="0" borderId="2" xfId="0" applyNumberFormat="1" applyFont="1" applyFill="1" applyBorder="1" applyAlignment="1" applyProtection="1">
      <alignment horizontal="fill" vertical="center"/>
    </xf>
    <xf numFmtId="169" fontId="9" fillId="0" borderId="1" xfId="0" applyNumberFormat="1" applyFont="1" applyFill="1" applyBorder="1" applyAlignment="1" applyProtection="1">
      <alignment horizontal="fill" vertical="center"/>
    </xf>
    <xf numFmtId="169" fontId="10" fillId="0" borderId="1" xfId="0" applyNumberFormat="1" applyFont="1" applyFill="1" applyBorder="1" applyAlignment="1" applyProtection="1">
      <alignment horizontal="fill" vertical="center"/>
    </xf>
    <xf numFmtId="169" fontId="9" fillId="0" borderId="11" xfId="0" applyNumberFormat="1" applyFont="1" applyFill="1" applyBorder="1" applyAlignment="1" applyProtection="1">
      <alignment horizontal="center" vertical="center"/>
    </xf>
    <xf numFmtId="169" fontId="9" fillId="0" borderId="3" xfId="0" applyNumberFormat="1" applyFont="1" applyFill="1" applyBorder="1" applyAlignment="1" applyProtection="1">
      <alignment horizontal="center" vertical="center"/>
    </xf>
    <xf numFmtId="169" fontId="10" fillId="0" borderId="3" xfId="0" applyNumberFormat="1" applyFont="1" applyFill="1" applyBorder="1" applyAlignment="1">
      <alignment horizontal="center" vertical="center"/>
    </xf>
    <xf numFmtId="169" fontId="10" fillId="0" borderId="3" xfId="0" applyNumberFormat="1" applyFont="1" applyFill="1" applyBorder="1" applyAlignment="1">
      <alignment vertical="center"/>
    </xf>
    <xf numFmtId="169" fontId="9" fillId="0" borderId="4" xfId="0" applyNumberFormat="1" applyFont="1" applyFill="1" applyBorder="1" applyAlignment="1">
      <alignment vertical="center"/>
    </xf>
    <xf numFmtId="169" fontId="9" fillId="0" borderId="3" xfId="0" applyNumberFormat="1" applyFont="1" applyFill="1" applyBorder="1" applyAlignment="1">
      <alignment vertical="center"/>
    </xf>
    <xf numFmtId="169" fontId="9" fillId="0" borderId="4" xfId="0" applyNumberFormat="1" applyFont="1" applyFill="1" applyBorder="1" applyAlignment="1" applyProtection="1">
      <alignment horizontal="center" vertical="center"/>
    </xf>
    <xf numFmtId="169" fontId="9" fillId="0" borderId="0" xfId="0" applyNumberFormat="1" applyFont="1" applyFill="1" applyBorder="1" applyAlignment="1">
      <alignment horizontal="center" vertical="center"/>
    </xf>
    <xf numFmtId="169" fontId="9" fillId="0" borderId="0" xfId="0" applyNumberFormat="1" applyFont="1" applyFill="1" applyBorder="1" applyAlignment="1">
      <alignment horizontal="right" vertical="center"/>
    </xf>
    <xf numFmtId="169" fontId="9" fillId="0" borderId="0" xfId="0" applyNumberFormat="1" applyFont="1" applyFill="1" applyBorder="1" applyAlignment="1" applyProtection="1">
      <alignment vertical="center"/>
    </xf>
    <xf numFmtId="0" fontId="10" fillId="0" borderId="0" xfId="0" applyFont="1" applyFill="1" applyBorder="1" applyAlignment="1" applyProtection="1">
      <alignment vertical="center"/>
    </xf>
    <xf numFmtId="0" fontId="10" fillId="0" borderId="0" xfId="0" applyFont="1" applyFill="1" applyBorder="1" applyAlignment="1"/>
    <xf numFmtId="0" fontId="10" fillId="0" borderId="0" xfId="0" applyFont="1" applyFill="1" applyBorder="1" applyAlignment="1" applyProtection="1">
      <alignment horizontal="centerContinuous"/>
    </xf>
    <xf numFmtId="0" fontId="10" fillId="0" borderId="0" xfId="0" applyFont="1" applyFill="1" applyBorder="1" applyAlignment="1">
      <alignment horizontal="centerContinuous"/>
    </xf>
    <xf numFmtId="0" fontId="9" fillId="0" borderId="0" xfId="0" applyFont="1" applyFill="1" applyBorder="1" applyAlignment="1" applyProtection="1">
      <alignment horizontal="center" vertical="center"/>
    </xf>
    <xf numFmtId="0" fontId="10" fillId="0" borderId="0" xfId="0" applyFont="1" applyFill="1" applyBorder="1" applyAlignment="1" applyProtection="1">
      <alignment horizontal="centerContinuous" vertical="center"/>
    </xf>
    <xf numFmtId="0" fontId="9" fillId="0" borderId="0" xfId="0" applyFont="1" applyFill="1" applyBorder="1" applyAlignment="1" applyProtection="1">
      <alignment horizontal="fill"/>
    </xf>
    <xf numFmtId="0" fontId="10" fillId="0" borderId="0" xfId="0" applyFont="1" applyFill="1" applyBorder="1" applyAlignment="1" applyProtection="1">
      <alignment horizontal="fill"/>
    </xf>
    <xf numFmtId="0" fontId="9" fillId="0" borderId="0" xfId="0" applyFont="1" applyFill="1" applyBorder="1" applyAlignment="1" applyProtection="1">
      <alignment horizontal="left"/>
    </xf>
    <xf numFmtId="0" fontId="10" fillId="0" borderId="0" xfId="0" applyFont="1" applyFill="1" applyBorder="1" applyAlignment="1" applyProtection="1">
      <alignment horizontal="center"/>
    </xf>
    <xf numFmtId="0" fontId="10" fillId="0" borderId="0" xfId="0" applyFont="1" applyFill="1" applyBorder="1" applyAlignment="1" applyProtection="1">
      <alignment horizontal="center" vertical="center"/>
    </xf>
    <xf numFmtId="169" fontId="9" fillId="0" borderId="0" xfId="0" applyNumberFormat="1" applyFont="1" applyFill="1" applyBorder="1" applyAlignment="1" applyProtection="1">
      <alignment horizontal="right" vertical="center"/>
    </xf>
    <xf numFmtId="169" fontId="9" fillId="0" borderId="10" xfId="0" applyNumberFormat="1" applyFont="1" applyFill="1" applyBorder="1" applyAlignment="1">
      <alignment horizontal="right" vertical="center"/>
    </xf>
    <xf numFmtId="0" fontId="18" fillId="0" borderId="0" xfId="0" applyFont="1" applyFill="1" applyAlignment="1">
      <alignment vertical="center"/>
    </xf>
    <xf numFmtId="169" fontId="7" fillId="0" borderId="0" xfId="0" applyNumberFormat="1" applyFont="1" applyFill="1" applyBorder="1" applyAlignment="1">
      <alignment vertical="center"/>
    </xf>
    <xf numFmtId="169" fontId="9" fillId="0" borderId="0" xfId="0" quotePrefix="1" applyNumberFormat="1" applyFont="1" applyFill="1" applyBorder="1" applyAlignment="1">
      <alignment vertical="center"/>
    </xf>
    <xf numFmtId="169" fontId="13" fillId="0" borderId="0" xfId="0" applyNumberFormat="1" applyFont="1" applyFill="1" applyBorder="1" applyAlignment="1">
      <alignment vertical="center"/>
    </xf>
    <xf numFmtId="169" fontId="9" fillId="0" borderId="0" xfId="0" applyNumberFormat="1" applyFont="1" applyFill="1" applyBorder="1" applyAlignment="1">
      <alignment vertical="center"/>
    </xf>
    <xf numFmtId="167" fontId="9" fillId="0" borderId="0" xfId="0" applyNumberFormat="1" applyFont="1" applyFill="1" applyAlignment="1">
      <alignment vertical="center"/>
    </xf>
    <xf numFmtId="169" fontId="9" fillId="0" borderId="3" xfId="0" quotePrefix="1" applyNumberFormat="1" applyFont="1" applyFill="1" applyBorder="1" applyAlignment="1">
      <alignment vertical="center"/>
    </xf>
    <xf numFmtId="0" fontId="18" fillId="0" borderId="0" xfId="0" applyFont="1" applyFill="1" applyBorder="1" applyAlignment="1">
      <alignment vertical="center"/>
    </xf>
    <xf numFmtId="169" fontId="9" fillId="0" borderId="10" xfId="0" applyNumberFormat="1" applyFont="1" applyFill="1" applyBorder="1" applyAlignment="1">
      <alignment vertical="center"/>
    </xf>
    <xf numFmtId="169" fontId="10" fillId="0" borderId="9" xfId="0" applyNumberFormat="1" applyFont="1" applyFill="1" applyBorder="1" applyAlignment="1">
      <alignment vertical="center"/>
    </xf>
    <xf numFmtId="172" fontId="9" fillId="0" borderId="0" xfId="0" applyNumberFormat="1" applyFont="1" applyFill="1" applyBorder="1" applyAlignment="1" applyProtection="1">
      <alignment horizontal="right" vertical="center"/>
    </xf>
    <xf numFmtId="166" fontId="10" fillId="0" borderId="0" xfId="0" applyNumberFormat="1" applyFont="1" applyFill="1" applyBorder="1" applyAlignment="1">
      <alignment horizontal="centerContinuous" vertical="center"/>
    </xf>
    <xf numFmtId="0" fontId="7" fillId="0" borderId="0" xfId="0" applyFont="1" applyFill="1"/>
    <xf numFmtId="174" fontId="9" fillId="0" borderId="0" xfId="0" applyNumberFormat="1" applyFont="1" applyFill="1" applyBorder="1" applyAlignment="1"/>
    <xf numFmtId="0" fontId="15" fillId="0" borderId="0" xfId="0" applyFont="1" applyFill="1" applyBorder="1" applyAlignment="1" applyProtection="1">
      <alignment horizontal="left" vertical="center"/>
    </xf>
    <xf numFmtId="173" fontId="10" fillId="0" borderId="2" xfId="0" applyNumberFormat="1" applyFont="1" applyFill="1" applyBorder="1" applyAlignment="1"/>
    <xf numFmtId="0" fontId="8" fillId="0" borderId="0" xfId="0" applyFont="1" applyAlignment="1">
      <alignment horizontal="center" vertical="center"/>
    </xf>
    <xf numFmtId="0" fontId="8" fillId="0" borderId="0" xfId="0" applyFont="1" applyBorder="1" applyAlignment="1">
      <alignment horizontal="center" vertical="center"/>
    </xf>
    <xf numFmtId="0" fontId="15" fillId="0" borderId="2" xfId="0" applyFont="1" applyBorder="1" applyAlignment="1">
      <alignment horizontal="centerContinuous" vertical="center"/>
    </xf>
    <xf numFmtId="173" fontId="15" fillId="0" borderId="10" xfId="0" applyNumberFormat="1" applyFont="1" applyBorder="1" applyAlignment="1">
      <alignment vertical="center"/>
    </xf>
    <xf numFmtId="171" fontId="10" fillId="0" borderId="0" xfId="0" applyNumberFormat="1" applyFont="1" applyFill="1" applyBorder="1" applyAlignment="1">
      <alignment vertical="center"/>
    </xf>
    <xf numFmtId="173" fontId="15" fillId="0" borderId="0" xfId="0" applyNumberFormat="1" applyFont="1" applyFill="1" applyBorder="1" applyAlignment="1" applyProtection="1">
      <alignment horizontal="right" vertical="center"/>
    </xf>
    <xf numFmtId="173" fontId="10" fillId="0" borderId="10" xfId="0" applyNumberFormat="1" applyFont="1" applyFill="1" applyBorder="1" applyAlignment="1" applyProtection="1">
      <alignment vertical="center"/>
    </xf>
    <xf numFmtId="0" fontId="9" fillId="0" borderId="12" xfId="0" applyFont="1" applyFill="1" applyBorder="1" applyAlignment="1" applyProtection="1">
      <alignment horizontal="center"/>
    </xf>
    <xf numFmtId="171" fontId="9" fillId="0" borderId="0" xfId="0" applyNumberFormat="1" applyFont="1" applyFill="1" applyBorder="1" applyAlignment="1">
      <alignment horizontal="right"/>
    </xf>
    <xf numFmtId="0" fontId="15" fillId="0" borderId="0" xfId="0" applyFont="1" applyFill="1" applyBorder="1" applyAlignment="1" applyProtection="1">
      <alignment horizontal="left"/>
    </xf>
    <xf numFmtId="0" fontId="15" fillId="0" borderId="0" xfId="0" applyFont="1" applyFill="1" applyBorder="1"/>
    <xf numFmtId="0" fontId="16" fillId="0" borderId="0" xfId="0" applyFont="1" applyFill="1" applyBorder="1"/>
    <xf numFmtId="0" fontId="30" fillId="0" borderId="0" xfId="0" applyFont="1" applyFill="1" applyBorder="1" applyAlignment="1" applyProtection="1">
      <alignment horizontal="left"/>
    </xf>
    <xf numFmtId="0" fontId="15" fillId="0" borderId="0" xfId="0" applyFont="1" applyFill="1" applyBorder="1" applyAlignment="1">
      <alignment horizontal="centerContinuous"/>
    </xf>
    <xf numFmtId="169" fontId="15" fillId="0" borderId="0" xfId="0" applyNumberFormat="1" applyFont="1" applyFill="1" applyBorder="1" applyAlignment="1">
      <alignment horizontal="centerContinuous"/>
    </xf>
    <xf numFmtId="0" fontId="15" fillId="0" borderId="0" xfId="0" applyFont="1" applyFill="1" applyBorder="1" applyAlignment="1">
      <alignment horizontal="centerContinuous" vertical="center"/>
    </xf>
    <xf numFmtId="0" fontId="16" fillId="0" borderId="0" xfId="0" applyFont="1" applyFill="1" applyBorder="1" applyAlignment="1">
      <alignment horizontal="centerContinuous"/>
    </xf>
    <xf numFmtId="0" fontId="15" fillId="0" borderId="0" xfId="0" applyFont="1" applyFill="1" applyBorder="1" applyAlignment="1" applyProtection="1">
      <alignment horizontal="centerContinuous"/>
    </xf>
    <xf numFmtId="0" fontId="15" fillId="0" borderId="0" xfId="0" applyFont="1" applyFill="1" applyBorder="1" applyProtection="1"/>
    <xf numFmtId="0" fontId="15" fillId="0" borderId="0" xfId="0" applyFont="1" applyFill="1" applyProtection="1"/>
    <xf numFmtId="169" fontId="15" fillId="0" borderId="0" xfId="0" applyNumberFormat="1" applyFont="1" applyFill="1" applyBorder="1"/>
    <xf numFmtId="0" fontId="15" fillId="0" borderId="0" xfId="0" applyFont="1" applyFill="1" applyBorder="1" applyAlignment="1">
      <alignment vertical="center"/>
    </xf>
    <xf numFmtId="0" fontId="15" fillId="0" borderId="0" xfId="0" applyFont="1" applyFill="1" applyBorder="1" applyAlignment="1" applyProtection="1">
      <alignment horizontal="fill"/>
    </xf>
    <xf numFmtId="169" fontId="15" fillId="0" borderId="0" xfId="0" applyNumberFormat="1" applyFont="1" applyFill="1" applyBorder="1" applyAlignment="1" applyProtection="1">
      <alignment horizontal="centerContinuous"/>
    </xf>
    <xf numFmtId="0" fontId="16" fillId="0" borderId="0" xfId="0" applyFont="1" applyFill="1" applyBorder="1" applyAlignment="1" applyProtection="1">
      <alignment horizontal="centerContinuous" vertical="center"/>
    </xf>
    <xf numFmtId="0" fontId="16" fillId="0" borderId="0" xfId="0" applyFont="1" applyFill="1" applyBorder="1" applyAlignment="1" applyProtection="1">
      <alignment horizontal="centerContinuous"/>
    </xf>
    <xf numFmtId="0" fontId="16" fillId="0" borderId="0" xfId="0" applyFont="1" applyFill="1" applyBorder="1" applyAlignment="1">
      <alignment horizontal="center"/>
    </xf>
    <xf numFmtId="169" fontId="15" fillId="0" borderId="0" xfId="0" applyNumberFormat="1" applyFont="1" applyFill="1" applyBorder="1" applyAlignment="1">
      <alignment horizontal="center"/>
    </xf>
    <xf numFmtId="0" fontId="15" fillId="0" borderId="0" xfId="0" applyFont="1" applyFill="1" applyBorder="1" applyAlignment="1" applyProtection="1">
      <alignment vertical="center"/>
    </xf>
    <xf numFmtId="0" fontId="16" fillId="0" borderId="0" xfId="0" applyFont="1" applyFill="1" applyBorder="1" applyAlignment="1" applyProtection="1">
      <alignment horizontal="center"/>
    </xf>
    <xf numFmtId="0" fontId="15" fillId="0" borderId="0" xfId="0" applyFont="1" applyFill="1" applyBorder="1" applyAlignment="1" applyProtection="1"/>
    <xf numFmtId="169" fontId="15" fillId="0" borderId="0" xfId="0" applyNumberFormat="1" applyFont="1" applyFill="1" applyBorder="1" applyAlignment="1" applyProtection="1">
      <alignment horizontal="center"/>
    </xf>
    <xf numFmtId="0" fontId="16" fillId="0" borderId="0" xfId="0" applyFont="1" applyFill="1" applyBorder="1" applyAlignment="1">
      <alignment horizontal="centerContinuous" vertical="center"/>
    </xf>
    <xf numFmtId="170" fontId="16" fillId="0" borderId="0" xfId="0" applyNumberFormat="1" applyFont="1" applyFill="1" applyBorder="1" applyAlignment="1">
      <alignment horizontal="centerContinuous" vertical="center"/>
    </xf>
    <xf numFmtId="0" fontId="15" fillId="0" borderId="0" xfId="0" quotePrefix="1" applyFont="1" applyFill="1" applyBorder="1" applyAlignment="1">
      <alignment horizontal="center" vertical="center"/>
    </xf>
    <xf numFmtId="170" fontId="15" fillId="0" borderId="0" xfId="0" quotePrefix="1" applyNumberFormat="1" applyFont="1" applyFill="1" applyBorder="1" applyAlignment="1">
      <alignment horizontal="righ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horizontal="center"/>
    </xf>
    <xf numFmtId="0" fontId="15" fillId="0" borderId="0" xfId="0" applyFont="1" applyFill="1" applyBorder="1" applyAlignment="1">
      <alignment horizontal="center" vertical="center"/>
    </xf>
    <xf numFmtId="0" fontId="16" fillId="0" borderId="0" xfId="0" applyFont="1" applyFill="1" applyBorder="1" applyAlignment="1" applyProtection="1">
      <alignment horizontal="left"/>
    </xf>
    <xf numFmtId="176" fontId="15" fillId="0" borderId="0" xfId="0" applyNumberFormat="1" applyFont="1" applyFill="1" applyBorder="1" applyAlignment="1" applyProtection="1">
      <alignment horizontal="right"/>
    </xf>
    <xf numFmtId="0" fontId="16" fillId="0" borderId="0" xfId="0" applyFont="1" applyFill="1" applyBorder="1" applyAlignment="1" applyProtection="1">
      <alignment horizontal="left" vertical="top"/>
    </xf>
    <xf numFmtId="176" fontId="15" fillId="0" borderId="0" xfId="0" applyNumberFormat="1" applyFont="1" applyFill="1" applyBorder="1" applyAlignment="1" applyProtection="1">
      <alignment horizontal="right" vertical="top"/>
    </xf>
    <xf numFmtId="0" fontId="15" fillId="0" borderId="0" xfId="0" applyFont="1" applyFill="1" applyBorder="1" applyAlignment="1">
      <alignment vertical="top"/>
    </xf>
    <xf numFmtId="0" fontId="16" fillId="0" borderId="0" xfId="0" applyFont="1" applyFill="1" applyBorder="1" applyAlignment="1" applyProtection="1">
      <alignment vertical="center"/>
    </xf>
    <xf numFmtId="176" fontId="16" fillId="0" borderId="0" xfId="0" applyNumberFormat="1" applyFont="1" applyFill="1" applyBorder="1" applyAlignment="1" applyProtection="1">
      <alignment horizontal="righ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lignment horizontal="center"/>
    </xf>
    <xf numFmtId="169" fontId="15" fillId="0" borderId="0" xfId="0" applyNumberFormat="1" applyFont="1" applyFill="1" applyBorder="1" applyAlignment="1">
      <alignment horizontal="right"/>
    </xf>
    <xf numFmtId="169" fontId="10" fillId="0" borderId="0" xfId="0" applyNumberFormat="1" applyFont="1" applyFill="1" applyBorder="1"/>
    <xf numFmtId="182" fontId="15" fillId="0" borderId="13" xfId="0" applyNumberFormat="1" applyFont="1" applyFill="1" applyBorder="1" applyAlignment="1" applyProtection="1">
      <alignment horizontal="center" vertical="center"/>
    </xf>
    <xf numFmtId="0" fontId="16" fillId="0" borderId="14" xfId="0" applyFont="1" applyFill="1" applyBorder="1" applyAlignment="1" applyProtection="1">
      <alignment horizontal="center" vertical="center"/>
    </xf>
    <xf numFmtId="0" fontId="16" fillId="0" borderId="14" xfId="0" applyFont="1" applyFill="1" applyBorder="1" applyAlignment="1" applyProtection="1">
      <alignment horizontal="center" vertical="center" wrapText="1"/>
    </xf>
    <xf numFmtId="0" fontId="16" fillId="0" borderId="15" xfId="0" applyFont="1" applyFill="1" applyBorder="1" applyAlignment="1" applyProtection="1">
      <alignment horizontal="center" vertical="center" wrapText="1"/>
    </xf>
    <xf numFmtId="169" fontId="10" fillId="0" borderId="16" xfId="0" applyNumberFormat="1" applyFont="1" applyFill="1" applyBorder="1" applyAlignment="1" applyProtection="1">
      <alignment horizontal="centerContinuous" vertical="center"/>
    </xf>
    <xf numFmtId="169" fontId="10" fillId="0" borderId="17" xfId="0" applyNumberFormat="1" applyFont="1" applyFill="1" applyBorder="1" applyAlignment="1" applyProtection="1">
      <alignment horizontal="centerContinuous" vertical="center"/>
    </xf>
    <xf numFmtId="169" fontId="9" fillId="0" borderId="18" xfId="0" applyNumberFormat="1" applyFont="1" applyFill="1" applyBorder="1" applyAlignment="1">
      <alignment horizontal="right" vertical="center"/>
    </xf>
    <xf numFmtId="169" fontId="9" fillId="0" borderId="19" xfId="0" applyNumberFormat="1" applyFont="1" applyFill="1" applyBorder="1" applyAlignment="1">
      <alignment horizontal="right" vertical="center"/>
    </xf>
    <xf numFmtId="169" fontId="10" fillId="0" borderId="18" xfId="0" applyNumberFormat="1" applyFont="1" applyFill="1" applyBorder="1" applyAlignment="1">
      <alignment horizontal="right" vertical="center"/>
    </xf>
    <xf numFmtId="169" fontId="9" fillId="0" borderId="18" xfId="0" applyNumberFormat="1" applyFont="1" applyFill="1" applyBorder="1" applyAlignment="1" applyProtection="1">
      <alignment vertical="center"/>
    </xf>
    <xf numFmtId="169" fontId="9" fillId="0" borderId="19" xfId="0" applyNumberFormat="1" applyFont="1" applyFill="1" applyBorder="1" applyAlignment="1" applyProtection="1">
      <alignment vertical="center"/>
    </xf>
    <xf numFmtId="169" fontId="9" fillId="0" borderId="18" xfId="0" applyNumberFormat="1" applyFont="1" applyFill="1" applyBorder="1" applyAlignment="1">
      <alignment vertical="center"/>
    </xf>
    <xf numFmtId="169" fontId="9" fillId="0" borderId="19" xfId="0" applyNumberFormat="1" applyFont="1" applyFill="1" applyBorder="1" applyAlignment="1">
      <alignment vertical="center"/>
    </xf>
    <xf numFmtId="0" fontId="16" fillId="0" borderId="20" xfId="0" applyFont="1" applyBorder="1" applyAlignment="1">
      <alignment horizontal="center" vertical="center"/>
    </xf>
    <xf numFmtId="173" fontId="9" fillId="0" borderId="3" xfId="0" applyNumberFormat="1" applyFont="1" applyFill="1" applyBorder="1" applyAlignment="1">
      <alignment vertical="center"/>
    </xf>
    <xf numFmtId="173" fontId="15" fillId="0" borderId="2" xfId="0" applyNumberFormat="1" applyFont="1" applyBorder="1" applyAlignment="1">
      <alignment vertical="center"/>
    </xf>
    <xf numFmtId="0" fontId="9" fillId="0" borderId="12" xfId="0" applyFont="1" applyFill="1" applyBorder="1" applyAlignment="1" applyProtection="1">
      <alignment horizontal="centerContinuous"/>
    </xf>
    <xf numFmtId="0" fontId="9" fillId="0" borderId="3" xfId="0" applyFont="1" applyFill="1" applyBorder="1" applyAlignment="1">
      <alignment horizontal="centerContinuous" vertical="center"/>
    </xf>
    <xf numFmtId="169" fontId="10" fillId="0" borderId="1" xfId="0" applyNumberFormat="1" applyFont="1" applyFill="1" applyBorder="1" applyAlignment="1">
      <alignment vertical="center"/>
    </xf>
    <xf numFmtId="169" fontId="9" fillId="0" borderId="22" xfId="0" applyNumberFormat="1" applyFont="1" applyFill="1" applyBorder="1" applyAlignment="1" applyProtection="1">
      <alignment horizontal="center" vertical="center"/>
    </xf>
    <xf numFmtId="169" fontId="10" fillId="0" borderId="1" xfId="0" applyNumberFormat="1" applyFont="1" applyFill="1" applyBorder="1" applyAlignment="1">
      <alignment horizontal="centerContinuous" vertical="center"/>
    </xf>
    <xf numFmtId="169" fontId="10" fillId="0" borderId="3" xfId="0" applyNumberFormat="1" applyFont="1" applyFill="1" applyBorder="1" applyAlignment="1">
      <alignment horizontal="centerContinuous" vertical="center"/>
    </xf>
    <xf numFmtId="173" fontId="9" fillId="0" borderId="3" xfId="0" applyNumberFormat="1" applyFont="1" applyFill="1" applyBorder="1" applyAlignment="1">
      <alignment horizontal="center" vertical="center"/>
    </xf>
    <xf numFmtId="173" fontId="9" fillId="0" borderId="7" xfId="0" applyNumberFormat="1" applyFont="1" applyFill="1" applyBorder="1" applyAlignment="1">
      <alignment horizontal="center" vertical="center"/>
    </xf>
    <xf numFmtId="0" fontId="9" fillId="0" borderId="4" xfId="0" applyFont="1" applyFill="1" applyBorder="1"/>
    <xf numFmtId="0" fontId="10" fillId="0" borderId="3" xfId="0" applyFont="1" applyFill="1" applyBorder="1" applyAlignment="1">
      <alignment horizontal="centerContinuous"/>
    </xf>
    <xf numFmtId="0" fontId="7" fillId="0" borderId="0" xfId="0" applyFont="1" applyFill="1" applyAlignment="1">
      <alignment vertical="top"/>
    </xf>
    <xf numFmtId="0" fontId="12" fillId="0" borderId="0" xfId="0" applyFont="1" applyFill="1" applyBorder="1"/>
    <xf numFmtId="173" fontId="9" fillId="0" borderId="11" xfId="0" applyNumberFormat="1" applyFont="1" applyBorder="1" applyAlignment="1">
      <alignment horizontal="center" vertical="center"/>
    </xf>
    <xf numFmtId="173" fontId="9" fillId="0" borderId="5" xfId="0" applyNumberFormat="1" applyFont="1" applyBorder="1" applyAlignment="1">
      <alignment horizontal="center" vertical="center"/>
    </xf>
    <xf numFmtId="173" fontId="10" fillId="0" borderId="17" xfId="0" applyNumberFormat="1" applyFont="1" applyBorder="1" applyAlignment="1">
      <alignment horizontal="centerContinuous" vertical="center" wrapText="1"/>
    </xf>
    <xf numFmtId="173" fontId="9" fillId="0" borderId="23" xfId="0" applyNumberFormat="1" applyFont="1" applyBorder="1" applyAlignment="1">
      <alignment horizontal="centerContinuous" vertical="center"/>
    </xf>
    <xf numFmtId="173" fontId="9" fillId="0" borderId="23" xfId="0" quotePrefix="1" applyNumberFormat="1" applyFont="1" applyBorder="1" applyAlignment="1">
      <alignment horizontal="centerContinuous" vertical="center"/>
    </xf>
    <xf numFmtId="173" fontId="15" fillId="0" borderId="1" xfId="0" applyNumberFormat="1" applyFont="1" applyBorder="1" applyAlignment="1">
      <alignment vertical="center"/>
    </xf>
    <xf numFmtId="173" fontId="15" fillId="0" borderId="0" xfId="0" applyNumberFormat="1" applyFont="1" applyFill="1" applyBorder="1" applyAlignment="1">
      <alignment vertical="center"/>
    </xf>
    <xf numFmtId="1" fontId="15"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1" fontId="9" fillId="0" borderId="0" xfId="0" applyNumberFormat="1" applyFont="1" applyFill="1" applyBorder="1" applyAlignment="1">
      <alignment horizontal="center" vertical="center"/>
    </xf>
    <xf numFmtId="0" fontId="8" fillId="0" borderId="24" xfId="0" applyFont="1" applyFill="1" applyBorder="1"/>
    <xf numFmtId="0" fontId="9" fillId="0" borderId="19" xfId="0" applyFont="1" applyFill="1" applyBorder="1" applyAlignment="1">
      <alignment horizontal="center" vertical="center"/>
    </xf>
    <xf numFmtId="173" fontId="9" fillId="0" borderId="19" xfId="0" applyNumberFormat="1" applyFont="1" applyFill="1" applyBorder="1" applyAlignment="1">
      <alignment vertical="center"/>
    </xf>
    <xf numFmtId="173" fontId="9" fillId="0" borderId="18" xfId="0" applyNumberFormat="1" applyFont="1" applyFill="1" applyBorder="1" applyAlignment="1">
      <alignment vertical="center"/>
    </xf>
    <xf numFmtId="173" fontId="9" fillId="0" borderId="26" xfId="0" applyNumberFormat="1" applyFont="1" applyFill="1" applyBorder="1" applyAlignment="1">
      <alignment vertical="center"/>
    </xf>
    <xf numFmtId="173" fontId="9" fillId="0" borderId="0" xfId="0" applyNumberFormat="1" applyFont="1" applyFill="1" applyAlignment="1">
      <alignment horizontal="center" vertical="center"/>
    </xf>
    <xf numFmtId="0" fontId="14" fillId="0" borderId="0" xfId="0" applyFont="1" applyFill="1" applyBorder="1" applyAlignment="1">
      <alignment horizontal="centerContinuous" vertical="center"/>
    </xf>
    <xf numFmtId="0" fontId="8" fillId="0" borderId="0" xfId="0" applyFont="1" applyFill="1" applyBorder="1" applyAlignment="1">
      <alignment horizontal="centerContinuous"/>
    </xf>
    <xf numFmtId="0" fontId="14" fillId="0" borderId="0" xfId="0" applyFont="1" applyFill="1" applyBorder="1" applyAlignment="1">
      <alignment horizontal="centerContinuous"/>
    </xf>
    <xf numFmtId="0" fontId="9" fillId="0" borderId="27" xfId="0" applyFont="1" applyFill="1" applyBorder="1"/>
    <xf numFmtId="0" fontId="14" fillId="0" borderId="0" xfId="0" applyFont="1" applyFill="1" applyBorder="1" applyAlignment="1"/>
    <xf numFmtId="0" fontId="8" fillId="0" borderId="0" xfId="0" applyFont="1" applyFill="1" applyBorder="1" applyAlignment="1" applyProtection="1">
      <alignment horizontal="center"/>
    </xf>
    <xf numFmtId="0" fontId="14" fillId="0" borderId="0" xfId="0" applyFont="1" applyFill="1" applyBorder="1" applyAlignment="1" applyProtection="1">
      <alignment horizontal="centerContinuous"/>
    </xf>
    <xf numFmtId="0" fontId="14" fillId="0" borderId="0" xfId="0" applyFont="1" applyFill="1" applyBorder="1"/>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centerContinuous" vertical="center"/>
    </xf>
    <xf numFmtId="0" fontId="8" fillId="0" borderId="0" xfId="0" applyFont="1" applyFill="1" applyBorder="1" applyAlignment="1">
      <alignment horizontal="centerContinuous" vertical="center"/>
    </xf>
    <xf numFmtId="0" fontId="8" fillId="0" borderId="0" xfId="0" applyFont="1" applyFill="1" applyBorder="1" applyAlignment="1">
      <alignment horizontal="center"/>
    </xf>
    <xf numFmtId="0" fontId="14" fillId="0" borderId="0" xfId="0" applyFont="1" applyFill="1" applyBorder="1" applyAlignment="1" applyProtection="1">
      <alignment horizontal="centerContinuous" vertical="center"/>
    </xf>
    <xf numFmtId="0" fontId="8" fillId="0" borderId="0" xfId="0" applyFont="1" applyFill="1" applyBorder="1" applyAlignment="1" applyProtection="1">
      <alignment horizontal="fill"/>
    </xf>
    <xf numFmtId="0" fontId="14" fillId="0" borderId="0" xfId="0" applyFont="1" applyFill="1" applyBorder="1" applyAlignment="1" applyProtection="1">
      <alignment horizontal="fill"/>
    </xf>
    <xf numFmtId="0" fontId="8" fillId="0" borderId="0" xfId="0" applyFont="1" applyFill="1" applyBorder="1" applyAlignment="1" applyProtection="1">
      <alignment horizontal="centerContinuous"/>
    </xf>
    <xf numFmtId="0" fontId="14" fillId="0" borderId="0" xfId="0" applyFont="1" applyFill="1" applyBorder="1" applyAlignment="1" applyProtection="1">
      <alignment horizontal="center"/>
    </xf>
    <xf numFmtId="0" fontId="14" fillId="0" borderId="0" xfId="0" applyFont="1" applyFill="1" applyBorder="1" applyAlignment="1" applyProtection="1">
      <alignment horizontal="center" vertical="center"/>
    </xf>
    <xf numFmtId="0" fontId="8" fillId="0" borderId="0" xfId="0" applyFont="1" applyFill="1" applyBorder="1" applyAlignment="1">
      <alignment vertical="center"/>
    </xf>
    <xf numFmtId="0" fontId="8" fillId="0" borderId="0" xfId="0" applyFont="1" applyFill="1" applyAlignment="1">
      <alignment vertical="center"/>
    </xf>
    <xf numFmtId="0" fontId="14" fillId="0" borderId="0" xfId="0" applyFont="1" applyFill="1" applyAlignment="1">
      <alignment vertical="center"/>
    </xf>
    <xf numFmtId="173" fontId="9" fillId="0" borderId="0" xfId="0" applyNumberFormat="1" applyFont="1" applyFill="1" applyBorder="1" applyAlignment="1">
      <alignment vertical="top"/>
    </xf>
    <xf numFmtId="173" fontId="9" fillId="0" borderId="3" xfId="0" applyNumberFormat="1" applyFont="1" applyFill="1" applyBorder="1" applyAlignment="1">
      <alignment vertical="top"/>
    </xf>
    <xf numFmtId="173" fontId="9" fillId="0" borderId="4" xfId="0" applyNumberFormat="1" applyFont="1" applyFill="1" applyBorder="1" applyAlignment="1">
      <alignment vertical="center"/>
    </xf>
    <xf numFmtId="0" fontId="9" fillId="0" borderId="27" xfId="0" applyFont="1" applyFill="1" applyBorder="1" applyAlignment="1">
      <alignment vertical="center"/>
    </xf>
    <xf numFmtId="0" fontId="9" fillId="0" borderId="11" xfId="0" applyFont="1" applyFill="1" applyBorder="1" applyAlignment="1">
      <alignment vertical="center"/>
    </xf>
    <xf numFmtId="0" fontId="9" fillId="0" borderId="24" xfId="0" applyFont="1" applyFill="1" applyBorder="1" applyAlignment="1">
      <alignment vertical="center"/>
    </xf>
    <xf numFmtId="0" fontId="9" fillId="0" borderId="27" xfId="0" applyFont="1" applyFill="1" applyBorder="1" applyAlignment="1">
      <alignment horizontal="center" vertical="center"/>
    </xf>
    <xf numFmtId="0" fontId="9" fillId="0" borderId="3" xfId="0" applyFont="1" applyFill="1" applyBorder="1" applyAlignment="1">
      <alignment horizontal="center" vertical="center"/>
    </xf>
    <xf numFmtId="173" fontId="9" fillId="0" borderId="3" xfId="0" applyNumberFormat="1" applyFont="1" applyFill="1" applyBorder="1" applyAlignment="1">
      <alignment horizontal="centerContinuous" vertical="center"/>
    </xf>
    <xf numFmtId="173" fontId="10" fillId="0" borderId="0" xfId="0" applyNumberFormat="1" applyFont="1" applyFill="1" applyBorder="1" applyAlignment="1" applyProtection="1">
      <alignment vertical="center"/>
    </xf>
    <xf numFmtId="0" fontId="9" fillId="0" borderId="19" xfId="0" applyFont="1" applyFill="1" applyBorder="1" applyAlignment="1">
      <alignment vertical="center"/>
    </xf>
    <xf numFmtId="0" fontId="8" fillId="0" borderId="0" xfId="0" applyFont="1" applyFill="1" applyAlignment="1">
      <alignment vertical="top"/>
    </xf>
    <xf numFmtId="169" fontId="8" fillId="0" borderId="0" xfId="0" applyNumberFormat="1" applyFont="1" applyFill="1"/>
    <xf numFmtId="179" fontId="10" fillId="0" borderId="0" xfId="0" applyNumberFormat="1" applyFont="1" applyFill="1" applyBorder="1" applyAlignment="1" applyProtection="1">
      <alignment vertical="center"/>
    </xf>
    <xf numFmtId="0" fontId="4" fillId="0" borderId="0" xfId="0" applyFont="1" applyFill="1"/>
    <xf numFmtId="0" fontId="4" fillId="0" borderId="0" xfId="0" applyFont="1" applyFill="1" applyAlignment="1">
      <alignment vertical="center"/>
    </xf>
    <xf numFmtId="0" fontId="4" fillId="0" borderId="0" xfId="0" applyFont="1" applyFill="1" applyAlignment="1">
      <alignment vertical="top"/>
    </xf>
    <xf numFmtId="0" fontId="5" fillId="0" borderId="0" xfId="0" applyFont="1" applyFill="1" applyAlignment="1">
      <alignment vertical="center"/>
    </xf>
    <xf numFmtId="0" fontId="5" fillId="0" borderId="0" xfId="0" applyFont="1" applyFill="1" applyBorder="1" applyAlignment="1">
      <alignment vertical="center"/>
    </xf>
    <xf numFmtId="0" fontId="2" fillId="0" borderId="0" xfId="0" applyFont="1" applyFill="1"/>
    <xf numFmtId="171" fontId="9" fillId="0" borderId="0" xfId="0" applyNumberFormat="1" applyFont="1" applyFill="1" applyBorder="1" applyAlignment="1">
      <alignment horizontal="right" vertical="center"/>
    </xf>
    <xf numFmtId="171" fontId="10" fillId="0" borderId="0" xfId="0" applyNumberFormat="1" applyFont="1" applyFill="1" applyBorder="1" applyAlignment="1" applyProtection="1">
      <alignment vertical="center"/>
    </xf>
    <xf numFmtId="1" fontId="9" fillId="0" borderId="4" xfId="0" applyNumberFormat="1" applyFont="1" applyFill="1" applyBorder="1" applyAlignment="1">
      <alignment horizontal="center" vertical="center"/>
    </xf>
    <xf numFmtId="173" fontId="9" fillId="0" borderId="28" xfId="0" applyNumberFormat="1" applyFont="1" applyFill="1" applyBorder="1" applyAlignment="1">
      <alignment vertical="center"/>
    </xf>
    <xf numFmtId="0" fontId="9" fillId="0" borderId="4" xfId="0" applyFont="1" applyFill="1" applyBorder="1" applyAlignment="1">
      <alignment horizontal="center" vertical="center"/>
    </xf>
    <xf numFmtId="0" fontId="9" fillId="0" borderId="24" xfId="0" applyFont="1" applyFill="1" applyBorder="1" applyAlignment="1">
      <alignment horizontal="center" vertical="center"/>
    </xf>
    <xf numFmtId="1" fontId="9" fillId="0" borderId="29" xfId="0" applyNumberFormat="1" applyFont="1" applyFill="1" applyBorder="1" applyAlignment="1">
      <alignment horizontal="center" vertical="top"/>
    </xf>
    <xf numFmtId="173" fontId="9" fillId="0" borderId="19" xfId="0" applyNumberFormat="1" applyFont="1" applyFill="1" applyBorder="1" applyAlignment="1">
      <alignment vertical="top"/>
    </xf>
    <xf numFmtId="173" fontId="9" fillId="0" borderId="18" xfId="0" applyNumberFormat="1" applyFont="1" applyFill="1" applyBorder="1" applyAlignment="1">
      <alignment vertical="top"/>
    </xf>
    <xf numFmtId="173" fontId="9" fillId="0" borderId="26" xfId="0" applyNumberFormat="1" applyFont="1" applyFill="1" applyBorder="1" applyAlignment="1">
      <alignment vertical="top"/>
    </xf>
    <xf numFmtId="180" fontId="26" fillId="0" borderId="11" xfId="0" applyNumberFormat="1" applyFont="1" applyFill="1" applyBorder="1" applyAlignment="1">
      <alignment vertical="center"/>
    </xf>
    <xf numFmtId="180" fontId="26" fillId="0" borderId="4" xfId="0" applyNumberFormat="1" applyFont="1" applyFill="1" applyBorder="1" applyAlignment="1">
      <alignment vertical="center"/>
    </xf>
    <xf numFmtId="1" fontId="9" fillId="0" borderId="3" xfId="0" applyNumberFormat="1" applyFont="1" applyFill="1" applyBorder="1" applyAlignment="1">
      <alignment horizontal="center" vertical="center"/>
    </xf>
    <xf numFmtId="3" fontId="9" fillId="0" borderId="27" xfId="0" applyNumberFormat="1" applyFont="1" applyFill="1" applyBorder="1" applyAlignment="1">
      <alignment vertical="center"/>
    </xf>
    <xf numFmtId="1" fontId="9" fillId="0" borderId="25" xfId="0" applyNumberFormat="1" applyFont="1" applyFill="1" applyBorder="1" applyAlignment="1">
      <alignment horizontal="center" vertical="center"/>
    </xf>
    <xf numFmtId="173" fontId="9" fillId="0" borderId="30" xfId="0" applyNumberFormat="1" applyFont="1" applyFill="1" applyBorder="1" applyAlignment="1">
      <alignment horizontal="centerContinuous" vertical="center" wrapText="1"/>
    </xf>
    <xf numFmtId="173" fontId="9" fillId="0" borderId="23" xfId="0" applyNumberFormat="1" applyFont="1" applyFill="1" applyBorder="1" applyAlignment="1">
      <alignment horizontal="centerContinuous" vertical="center"/>
    </xf>
    <xf numFmtId="173" fontId="9" fillId="0" borderId="23" xfId="0" quotePrefix="1" applyNumberFormat="1" applyFont="1" applyFill="1" applyBorder="1" applyAlignment="1">
      <alignment horizontal="centerContinuous" vertical="center"/>
    </xf>
    <xf numFmtId="173" fontId="9" fillId="0" borderId="11" xfId="0" applyNumberFormat="1" applyFont="1" applyFill="1" applyBorder="1" applyAlignment="1">
      <alignment horizontal="center" vertical="center"/>
    </xf>
    <xf numFmtId="173" fontId="9" fillId="0" borderId="5" xfId="0" applyNumberFormat="1" applyFont="1" applyFill="1" applyBorder="1" applyAlignment="1">
      <alignment horizontal="center" vertical="center"/>
    </xf>
    <xf numFmtId="0" fontId="9" fillId="0" borderId="20" xfId="0" applyFont="1" applyFill="1" applyBorder="1" applyAlignment="1">
      <alignment horizontal="center" vertical="center"/>
    </xf>
    <xf numFmtId="0" fontId="9" fillId="0" borderId="4" xfId="0" applyFont="1" applyFill="1" applyBorder="1" applyAlignment="1">
      <alignment vertical="center"/>
    </xf>
    <xf numFmtId="173" fontId="9" fillId="0" borderId="1" xfId="0" applyNumberFormat="1" applyFont="1" applyFill="1" applyBorder="1" applyAlignment="1">
      <alignment vertical="center"/>
    </xf>
    <xf numFmtId="173" fontId="9" fillId="0" borderId="2" xfId="0" applyNumberFormat="1" applyFont="1" applyFill="1" applyBorder="1" applyAlignment="1">
      <alignment vertical="center"/>
    </xf>
    <xf numFmtId="173" fontId="9" fillId="0" borderId="32" xfId="0" applyNumberFormat="1" applyFont="1" applyFill="1" applyBorder="1" applyAlignment="1">
      <alignment vertical="center"/>
    </xf>
    <xf numFmtId="1" fontId="9" fillId="0" borderId="18" xfId="0" applyNumberFormat="1" applyFont="1" applyFill="1" applyBorder="1" applyAlignment="1">
      <alignment horizontal="center" vertical="center"/>
    </xf>
    <xf numFmtId="173" fontId="9" fillId="0" borderId="3" xfId="0" applyNumberFormat="1" applyFont="1" applyFill="1" applyBorder="1" applyAlignment="1"/>
    <xf numFmtId="173" fontId="9" fillId="0" borderId="0" xfId="0" applyNumberFormat="1" applyFont="1" applyFill="1" applyBorder="1" applyAlignment="1"/>
    <xf numFmtId="173" fontId="9" fillId="0" borderId="28" xfId="0" applyNumberFormat="1" applyFont="1" applyFill="1" applyBorder="1" applyAlignment="1"/>
    <xf numFmtId="0" fontId="9" fillId="0" borderId="18" xfId="0" applyFont="1" applyFill="1" applyBorder="1" applyAlignment="1">
      <alignment vertical="center"/>
    </xf>
    <xf numFmtId="0" fontId="9" fillId="0" borderId="26" xfId="0" applyFont="1" applyFill="1" applyBorder="1" applyAlignment="1">
      <alignment vertical="center"/>
    </xf>
    <xf numFmtId="0" fontId="9" fillId="0" borderId="27" xfId="0" applyFont="1" applyFill="1" applyBorder="1" applyAlignment="1">
      <alignment horizontal="center" vertical="top"/>
    </xf>
    <xf numFmtId="176" fontId="9" fillId="0" borderId="0" xfId="0" applyNumberFormat="1" applyFont="1" applyFill="1" applyBorder="1" applyAlignment="1" applyProtection="1">
      <alignment horizontal="right"/>
    </xf>
    <xf numFmtId="176" fontId="9" fillId="0" borderId="0" xfId="0" applyNumberFormat="1" applyFont="1" applyFill="1" applyBorder="1" applyAlignment="1">
      <alignment horizontal="right" vertical="center"/>
    </xf>
    <xf numFmtId="176" fontId="9" fillId="0" borderId="0" xfId="0" applyNumberFormat="1" applyFont="1" applyFill="1"/>
    <xf numFmtId="166" fontId="9" fillId="0" borderId="0" xfId="0" applyNumberFormat="1" applyFont="1" applyFill="1" applyBorder="1" applyAlignment="1" applyProtection="1">
      <alignment horizontal="right"/>
    </xf>
    <xf numFmtId="0" fontId="7" fillId="0" borderId="0" xfId="0" applyFont="1" applyFill="1" applyBorder="1"/>
    <xf numFmtId="175" fontId="10" fillId="0" borderId="0" xfId="0" applyNumberFormat="1" applyFont="1" applyFill="1" applyBorder="1" applyAlignment="1" applyProtection="1">
      <alignment horizontal="right" vertical="center"/>
    </xf>
    <xf numFmtId="0" fontId="9" fillId="0" borderId="27" xfId="0" applyFont="1" applyFill="1" applyBorder="1" applyAlignment="1">
      <alignment horizontal="center" wrapText="1"/>
    </xf>
    <xf numFmtId="1" fontId="9" fillId="0" borderId="3" xfId="0" applyNumberFormat="1" applyFont="1" applyFill="1" applyBorder="1" applyAlignment="1">
      <alignment horizontal="center" vertical="top"/>
    </xf>
    <xf numFmtId="1" fontId="9" fillId="0" borderId="11" xfId="0" applyNumberFormat="1" applyFont="1" applyFill="1" applyBorder="1" applyAlignment="1">
      <alignment horizontal="center" vertical="top"/>
    </xf>
    <xf numFmtId="0" fontId="15" fillId="0" borderId="27" xfId="0" applyFont="1" applyFill="1" applyBorder="1" applyAlignment="1">
      <alignment horizontal="center" vertical="center"/>
    </xf>
    <xf numFmtId="0" fontId="15" fillId="0" borderId="4" xfId="0" applyFont="1" applyFill="1" applyBorder="1" applyAlignment="1">
      <alignment vertical="center"/>
    </xf>
    <xf numFmtId="173" fontId="15" fillId="0" borderId="1" xfId="0" applyNumberFormat="1" applyFont="1" applyFill="1" applyBorder="1" applyAlignment="1">
      <alignment vertical="center"/>
    </xf>
    <xf numFmtId="181" fontId="15" fillId="0" borderId="2" xfId="0" applyNumberFormat="1" applyFont="1" applyFill="1" applyBorder="1" applyAlignment="1">
      <alignment vertical="center"/>
    </xf>
    <xf numFmtId="173" fontId="15" fillId="0" borderId="28" xfId="0" applyNumberFormat="1" applyFont="1" applyFill="1" applyBorder="1" applyAlignment="1">
      <alignment vertical="center"/>
    </xf>
    <xf numFmtId="0" fontId="15" fillId="0" borderId="18" xfId="0" applyFont="1" applyFill="1" applyBorder="1" applyAlignment="1">
      <alignment horizontal="center" vertical="center"/>
    </xf>
    <xf numFmtId="1" fontId="15" fillId="0" borderId="18" xfId="0" applyNumberFormat="1" applyFont="1" applyFill="1" applyBorder="1" applyAlignment="1">
      <alignment horizontal="center" vertical="center"/>
    </xf>
    <xf numFmtId="173" fontId="15" fillId="0" borderId="18" xfId="0" applyNumberFormat="1" applyFont="1" applyFill="1" applyBorder="1" applyAlignment="1">
      <alignment vertical="center"/>
    </xf>
    <xf numFmtId="176" fontId="10" fillId="0" borderId="0" xfId="0" applyNumberFormat="1" applyFont="1" applyFill="1" applyBorder="1" applyAlignment="1">
      <alignment horizontal="right" vertical="center"/>
    </xf>
    <xf numFmtId="169" fontId="10" fillId="0" borderId="9" xfId="0" applyNumberFormat="1" applyFont="1" applyFill="1" applyBorder="1" applyAlignment="1">
      <alignment horizontal="center" vertical="center"/>
    </xf>
    <xf numFmtId="169" fontId="10" fillId="0" borderId="1" xfId="0" applyNumberFormat="1" applyFont="1" applyFill="1" applyBorder="1" applyAlignment="1">
      <alignment horizontal="center" vertical="center"/>
    </xf>
    <xf numFmtId="169" fontId="7" fillId="0" borderId="0" xfId="0" applyNumberFormat="1" applyFont="1" applyFill="1" applyBorder="1" applyAlignment="1">
      <alignment horizontal="center" vertical="center"/>
    </xf>
    <xf numFmtId="0" fontId="10" fillId="0" borderId="34" xfId="0" applyFont="1" applyFill="1" applyBorder="1" applyAlignment="1" applyProtection="1">
      <alignment horizontal="center" vertical="top"/>
    </xf>
    <xf numFmtId="0" fontId="10" fillId="0" borderId="31" xfId="0" applyFont="1" applyFill="1" applyBorder="1"/>
    <xf numFmtId="0" fontId="9" fillId="0" borderId="11"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173" fontId="10" fillId="0" borderId="3" xfId="0" applyNumberFormat="1" applyFont="1" applyFill="1" applyBorder="1" applyAlignment="1" applyProtection="1">
      <alignment vertical="center"/>
    </xf>
    <xf numFmtId="0" fontId="9" fillId="0" borderId="0" xfId="0" applyNumberFormat="1" applyFont="1" applyFill="1" applyBorder="1" applyAlignment="1"/>
    <xf numFmtId="0" fontId="7" fillId="0" borderId="0" xfId="0" applyFont="1" applyFill="1" applyBorder="1" applyAlignment="1">
      <alignment vertical="top"/>
    </xf>
    <xf numFmtId="0" fontId="8" fillId="0" borderId="0" xfId="0" applyFont="1" applyFill="1" applyBorder="1" applyAlignment="1">
      <alignment vertical="top"/>
    </xf>
    <xf numFmtId="0" fontId="4" fillId="0" borderId="0" xfId="0" applyFont="1" applyFill="1" applyBorder="1" applyAlignment="1">
      <alignment vertical="top"/>
    </xf>
    <xf numFmtId="176" fontId="9" fillId="0" borderId="11" xfId="0" applyNumberFormat="1" applyFont="1" applyFill="1" applyBorder="1" applyAlignment="1"/>
    <xf numFmtId="176" fontId="9" fillId="0" borderId="0" xfId="0" applyNumberFormat="1" applyFont="1" applyFill="1" applyBorder="1" applyAlignment="1"/>
    <xf numFmtId="169" fontId="9" fillId="0" borderId="0" xfId="0" applyNumberFormat="1" applyFont="1" applyFill="1" applyBorder="1" applyAlignment="1" applyProtection="1">
      <alignment horizontal="left" vertical="center"/>
    </xf>
    <xf numFmtId="169" fontId="10" fillId="0" borderId="0" xfId="0" applyNumberFormat="1" applyFont="1" applyFill="1" applyBorder="1" applyAlignment="1" applyProtection="1">
      <alignment horizontal="center" vertical="center"/>
    </xf>
    <xf numFmtId="169" fontId="9" fillId="0" borderId="35" xfId="0" applyNumberFormat="1" applyFont="1" applyFill="1" applyBorder="1" applyAlignment="1">
      <alignment vertical="center"/>
    </xf>
    <xf numFmtId="169" fontId="9" fillId="0" borderId="36" xfId="0" applyNumberFormat="1" applyFont="1" applyFill="1" applyBorder="1" applyAlignment="1" applyProtection="1">
      <alignment horizontal="centerContinuous"/>
    </xf>
    <xf numFmtId="169" fontId="9" fillId="0" borderId="12" xfId="0" applyNumberFormat="1" applyFont="1" applyFill="1" applyBorder="1" applyAlignment="1" applyProtection="1">
      <alignment horizontal="centerContinuous"/>
    </xf>
    <xf numFmtId="169" fontId="10" fillId="0" borderId="0" xfId="0" applyNumberFormat="1" applyFont="1" applyFill="1" applyBorder="1" applyAlignment="1" applyProtection="1">
      <alignment horizontal="centerContinuous" vertical="center"/>
    </xf>
    <xf numFmtId="169" fontId="10" fillId="0" borderId="4" xfId="0" applyNumberFormat="1" applyFont="1" applyFill="1" applyBorder="1" applyAlignment="1" applyProtection="1">
      <alignment horizontal="centerContinuous" vertical="center"/>
    </xf>
    <xf numFmtId="169" fontId="9" fillId="0" borderId="11" xfId="0" applyNumberFormat="1" applyFont="1" applyFill="1" applyBorder="1" applyAlignment="1" applyProtection="1">
      <alignment horizontal="centerContinuous" vertical="center"/>
    </xf>
    <xf numFmtId="169" fontId="9" fillId="0" borderId="3" xfId="0" applyNumberFormat="1" applyFont="1" applyFill="1" applyBorder="1" applyAlignment="1">
      <alignment horizontal="centerContinuous" vertical="center"/>
    </xf>
    <xf numFmtId="169" fontId="9" fillId="0" borderId="5" xfId="0" applyNumberFormat="1" applyFont="1" applyFill="1" applyBorder="1" applyAlignment="1" applyProtection="1">
      <alignment horizontal="centerContinuous" vertical="center"/>
    </xf>
    <xf numFmtId="169" fontId="9" fillId="0" borderId="6" xfId="0" applyNumberFormat="1" applyFont="1" applyFill="1" applyBorder="1" applyAlignment="1">
      <alignment horizontal="centerContinuous" vertical="center"/>
    </xf>
    <xf numFmtId="169" fontId="9" fillId="0" borderId="8" xfId="0" applyNumberFormat="1" applyFont="1" applyFill="1" applyBorder="1" applyAlignment="1">
      <alignment horizontal="centerContinuous" vertical="center"/>
    </xf>
    <xf numFmtId="169" fontId="9" fillId="0" borderId="4" xfId="0" applyNumberFormat="1" applyFont="1" applyFill="1" applyBorder="1" applyAlignment="1" applyProtection="1">
      <alignment horizontal="fill" vertical="center"/>
    </xf>
    <xf numFmtId="169" fontId="9" fillId="0" borderId="7" xfId="0" applyNumberFormat="1" applyFont="1" applyFill="1" applyBorder="1" applyAlignment="1">
      <alignment horizontal="center" vertical="center"/>
    </xf>
    <xf numFmtId="169" fontId="9" fillId="0" borderId="27" xfId="0" applyNumberFormat="1" applyFont="1" applyFill="1" applyBorder="1" applyAlignment="1">
      <alignment horizontal="center" vertical="center"/>
    </xf>
    <xf numFmtId="169" fontId="21" fillId="0" borderId="3" xfId="0" quotePrefix="1" applyNumberFormat="1" applyFont="1" applyFill="1" applyBorder="1" applyAlignment="1">
      <alignment wrapText="1"/>
    </xf>
    <xf numFmtId="169" fontId="21" fillId="0" borderId="3" xfId="0" quotePrefix="1" applyNumberFormat="1" applyFont="1" applyFill="1" applyBorder="1" applyAlignment="1">
      <alignment horizontal="left" wrapText="1"/>
    </xf>
    <xf numFmtId="169" fontId="9" fillId="0" borderId="0" xfId="0" applyNumberFormat="1" applyFont="1" applyFill="1" applyBorder="1" applyAlignment="1" applyProtection="1">
      <alignment horizontal="center" vertical="center"/>
    </xf>
    <xf numFmtId="169" fontId="21" fillId="0" borderId="3" xfId="0" quotePrefix="1" applyNumberFormat="1" applyFont="1" applyFill="1" applyBorder="1" applyAlignment="1">
      <alignment vertical="center" wrapText="1"/>
    </xf>
    <xf numFmtId="169" fontId="10" fillId="0" borderId="3" xfId="0" applyNumberFormat="1" applyFont="1" applyFill="1" applyBorder="1" applyAlignment="1" applyProtection="1">
      <alignment horizontal="left" vertical="center"/>
    </xf>
    <xf numFmtId="169" fontId="9" fillId="0" borderId="24" xfId="0" applyNumberFormat="1" applyFont="1" applyFill="1" applyBorder="1" applyAlignment="1">
      <alignment horizontal="center" vertical="center"/>
    </xf>
    <xf numFmtId="169" fontId="9" fillId="0" borderId="29" xfId="0" applyNumberFormat="1" applyFont="1" applyFill="1" applyBorder="1" applyAlignment="1" applyProtection="1">
      <alignment horizontal="left" vertical="center"/>
    </xf>
    <xf numFmtId="169" fontId="9" fillId="0" borderId="25" xfId="0" applyNumberFormat="1" applyFont="1" applyFill="1" applyBorder="1" applyAlignment="1">
      <alignment horizontal="right" vertical="center"/>
    </xf>
    <xf numFmtId="169" fontId="7" fillId="0" borderId="0" xfId="0" applyNumberFormat="1" applyFont="1" applyFill="1" applyAlignment="1">
      <alignment horizontal="center" vertical="center"/>
    </xf>
    <xf numFmtId="169" fontId="7" fillId="0" borderId="0" xfId="0" applyNumberFormat="1" applyFont="1" applyFill="1" applyBorder="1" applyAlignment="1" applyProtection="1">
      <alignment horizontal="center" vertical="center"/>
    </xf>
    <xf numFmtId="169" fontId="7" fillId="0" borderId="0" xfId="0" applyNumberFormat="1" applyFont="1" applyFill="1" applyAlignment="1">
      <alignment vertical="center"/>
    </xf>
    <xf numFmtId="169" fontId="9" fillId="0" borderId="0" xfId="0" applyNumberFormat="1" applyFont="1" applyFill="1" applyAlignment="1">
      <alignment horizontal="center" vertical="center"/>
    </xf>
    <xf numFmtId="169" fontId="10" fillId="0" borderId="0" xfId="0" applyNumberFormat="1" applyFont="1" applyFill="1" applyBorder="1" applyAlignment="1">
      <alignment horizontal="center" vertical="center"/>
    </xf>
    <xf numFmtId="169" fontId="9" fillId="0" borderId="12" xfId="0" applyNumberFormat="1" applyFont="1" applyFill="1" applyBorder="1" applyAlignment="1">
      <alignment vertical="center"/>
    </xf>
    <xf numFmtId="169" fontId="10" fillId="0" borderId="1" xfId="0" applyNumberFormat="1" applyFont="1" applyFill="1" applyBorder="1" applyAlignment="1" applyProtection="1">
      <alignment horizontal="center" vertical="center"/>
    </xf>
    <xf numFmtId="169" fontId="9" fillId="0" borderId="3" xfId="0" applyNumberFormat="1" applyFont="1" applyFill="1" applyBorder="1" applyAlignment="1" applyProtection="1">
      <alignment horizontal="left" vertical="center"/>
    </xf>
    <xf numFmtId="169" fontId="9" fillId="0" borderId="25" xfId="0" applyNumberFormat="1" applyFont="1" applyFill="1" applyBorder="1" applyAlignment="1" applyProtection="1">
      <alignment vertical="center"/>
    </xf>
    <xf numFmtId="169" fontId="10" fillId="0" borderId="18" xfId="0" applyNumberFormat="1" applyFont="1" applyFill="1" applyBorder="1" applyAlignment="1" applyProtection="1">
      <alignment horizontal="right" vertical="center"/>
    </xf>
    <xf numFmtId="169" fontId="10" fillId="0" borderId="25" xfId="0" applyNumberFormat="1" applyFont="1" applyFill="1" applyBorder="1" applyAlignment="1" applyProtection="1">
      <alignment horizontal="right" vertical="center"/>
    </xf>
    <xf numFmtId="169" fontId="9" fillId="0" borderId="3" xfId="0" applyNumberFormat="1" applyFont="1" applyFill="1" applyBorder="1" applyAlignment="1">
      <alignment horizontal="center" vertical="center"/>
    </xf>
    <xf numFmtId="169" fontId="9" fillId="0" borderId="7" xfId="0" applyNumberFormat="1" applyFont="1" applyFill="1" applyBorder="1" applyAlignment="1" applyProtection="1">
      <alignment horizontal="center" vertical="center"/>
    </xf>
    <xf numFmtId="169" fontId="9" fillId="0" borderId="1" xfId="0" applyNumberFormat="1" applyFont="1" applyFill="1" applyBorder="1" applyAlignment="1">
      <alignment vertical="center"/>
    </xf>
    <xf numFmtId="169" fontId="9" fillId="0" borderId="2" xfId="0" applyNumberFormat="1" applyFont="1" applyFill="1" applyBorder="1" applyAlignment="1">
      <alignment horizontal="right" vertical="center"/>
    </xf>
    <xf numFmtId="169" fontId="9" fillId="0" borderId="1" xfId="0" applyNumberFormat="1" applyFont="1" applyFill="1" applyBorder="1" applyAlignment="1">
      <alignment horizontal="right" vertical="center"/>
    </xf>
    <xf numFmtId="169" fontId="9" fillId="0" borderId="3" xfId="0" quotePrefix="1" applyNumberFormat="1" applyFont="1" applyFill="1" applyBorder="1" applyAlignment="1" applyProtection="1">
      <alignment horizontal="left" vertical="center"/>
    </xf>
    <xf numFmtId="169" fontId="9" fillId="0" borderId="25" xfId="0" applyNumberFormat="1" applyFont="1" applyFill="1" applyBorder="1" applyAlignment="1">
      <alignment vertical="center"/>
    </xf>
    <xf numFmtId="169" fontId="9" fillId="0" borderId="0" xfId="0" quotePrefix="1" applyNumberFormat="1" applyFont="1" applyFill="1" applyBorder="1" applyAlignment="1" applyProtection="1">
      <alignment horizontal="left" vertical="center"/>
    </xf>
    <xf numFmtId="169" fontId="9" fillId="0" borderId="2" xfId="0" applyNumberFormat="1" applyFont="1" applyFill="1" applyBorder="1" applyAlignment="1">
      <alignment vertical="center"/>
    </xf>
    <xf numFmtId="169" fontId="9" fillId="0" borderId="20" xfId="0" applyNumberFormat="1" applyFont="1" applyFill="1" applyBorder="1" applyAlignment="1">
      <alignment horizontal="center" vertical="center"/>
    </xf>
    <xf numFmtId="169" fontId="9" fillId="0" borderId="24" xfId="0" applyNumberFormat="1" applyFont="1" applyFill="1" applyBorder="1" applyAlignment="1" applyProtection="1">
      <alignment horizontal="center" vertical="center"/>
    </xf>
    <xf numFmtId="0" fontId="10" fillId="0" borderId="0" xfId="2" applyFont="1" applyFill="1" applyBorder="1" applyAlignment="1">
      <alignment vertical="center"/>
    </xf>
    <xf numFmtId="190" fontId="10" fillId="0" borderId="0" xfId="2" applyNumberFormat="1" applyFont="1" applyFill="1" applyBorder="1" applyAlignment="1">
      <alignment wrapText="1"/>
    </xf>
    <xf numFmtId="0" fontId="10" fillId="0" borderId="0" xfId="2" applyFont="1" applyFill="1" applyBorder="1" applyAlignment="1" applyProtection="1">
      <alignment horizontal="left" vertical="center"/>
    </xf>
    <xf numFmtId="0" fontId="9" fillId="0" borderId="0" xfId="2" applyFont="1" applyFill="1" applyAlignment="1">
      <alignment vertical="center"/>
    </xf>
    <xf numFmtId="0" fontId="9" fillId="0" borderId="0" xfId="2" applyFont="1" applyFill="1" applyBorder="1" applyAlignment="1">
      <alignment vertical="center"/>
    </xf>
    <xf numFmtId="173" fontId="15" fillId="0" borderId="33" xfId="2" applyNumberFormat="1" applyFont="1" applyFill="1" applyBorder="1" applyAlignment="1" applyProtection="1">
      <alignment horizontal="center"/>
    </xf>
    <xf numFmtId="173" fontId="15" fillId="0" borderId="10" xfId="2" applyNumberFormat="1" applyFont="1" applyFill="1" applyBorder="1" applyAlignment="1" applyProtection="1">
      <alignment horizontal="center"/>
    </xf>
    <xf numFmtId="173" fontId="16" fillId="0" borderId="1" xfId="2" applyNumberFormat="1" applyFont="1" applyFill="1" applyBorder="1" applyAlignment="1" applyProtection="1">
      <alignment horizontal="center"/>
    </xf>
    <xf numFmtId="173" fontId="15" fillId="0" borderId="1" xfId="2" applyNumberFormat="1" applyFont="1" applyFill="1" applyBorder="1" applyAlignment="1" applyProtection="1">
      <alignment horizontal="center"/>
    </xf>
    <xf numFmtId="0" fontId="9" fillId="0" borderId="37" xfId="0" applyFont="1" applyFill="1" applyBorder="1" applyAlignment="1">
      <alignment horizontal="center" vertical="center"/>
    </xf>
    <xf numFmtId="0" fontId="9" fillId="0" borderId="38" xfId="0" applyFont="1" applyFill="1" applyBorder="1" applyAlignment="1">
      <alignment horizontal="center" vertical="center"/>
    </xf>
    <xf numFmtId="173" fontId="9" fillId="0" borderId="4" xfId="0" applyNumberFormat="1" applyFont="1" applyFill="1" applyBorder="1"/>
    <xf numFmtId="173" fontId="9" fillId="0" borderId="11" xfId="0" applyNumberFormat="1" applyFont="1" applyFill="1" applyBorder="1" applyAlignment="1" applyProtection="1">
      <alignment horizontal="right" vertical="center"/>
    </xf>
    <xf numFmtId="173" fontId="9" fillId="0" borderId="5" xfId="0" applyNumberFormat="1" applyFont="1" applyFill="1" applyBorder="1" applyAlignment="1" applyProtection="1"/>
    <xf numFmtId="173" fontId="9" fillId="0" borderId="6" xfId="0" applyNumberFormat="1" applyFont="1" applyFill="1" applyBorder="1" applyAlignment="1" applyProtection="1"/>
    <xf numFmtId="173" fontId="10" fillId="0" borderId="8" xfId="0" applyNumberFormat="1" applyFont="1" applyFill="1" applyBorder="1" applyAlignment="1" applyProtection="1"/>
    <xf numFmtId="173" fontId="9" fillId="0" borderId="8" xfId="0" applyNumberFormat="1" applyFont="1" applyFill="1" applyBorder="1" applyAlignment="1" applyProtection="1"/>
    <xf numFmtId="173" fontId="9" fillId="0" borderId="21" xfId="0" applyNumberFormat="1" applyFont="1" applyFill="1" applyBorder="1" applyAlignment="1" applyProtection="1"/>
    <xf numFmtId="169" fontId="9" fillId="0" borderId="0" xfId="0" applyNumberFormat="1" applyFont="1" applyFill="1" applyBorder="1" applyAlignment="1" applyProtection="1">
      <alignment horizontal="right"/>
    </xf>
    <xf numFmtId="169" fontId="9" fillId="0" borderId="3" xfId="0" applyNumberFormat="1" applyFont="1" applyFill="1" applyBorder="1" applyAlignment="1" applyProtection="1">
      <alignment horizontal="right"/>
    </xf>
    <xf numFmtId="169" fontId="9" fillId="0" borderId="4" xfId="0" applyNumberFormat="1" applyFont="1" applyFill="1" applyBorder="1" applyAlignment="1" applyProtection="1">
      <alignment horizontal="right"/>
    </xf>
    <xf numFmtId="169" fontId="9" fillId="0" borderId="6" xfId="0" applyNumberFormat="1" applyFont="1" applyFill="1" applyBorder="1" applyAlignment="1" applyProtection="1">
      <alignment horizontal="right" vertical="top"/>
    </xf>
    <xf numFmtId="169" fontId="9" fillId="0" borderId="8" xfId="0" applyNumberFormat="1" applyFont="1" applyFill="1" applyBorder="1" applyAlignment="1" applyProtection="1">
      <alignment horizontal="right" vertical="top"/>
    </xf>
    <xf numFmtId="169" fontId="9" fillId="0" borderId="5" xfId="0" applyNumberFormat="1" applyFont="1" applyFill="1" applyBorder="1" applyAlignment="1" applyProtection="1">
      <alignment horizontal="right" vertical="top"/>
    </xf>
    <xf numFmtId="0" fontId="9" fillId="0" borderId="0" xfId="0" applyFont="1" applyFill="1" applyAlignment="1">
      <alignment horizontal="centerContinuous" vertical="center"/>
    </xf>
    <xf numFmtId="0" fontId="9" fillId="0" borderId="0" xfId="0" applyFont="1" applyFill="1" applyAlignment="1" applyProtection="1">
      <alignment horizontal="fill"/>
    </xf>
    <xf numFmtId="0" fontId="9" fillId="0" borderId="0" xfId="0" applyFont="1" applyFill="1" applyAlignment="1" applyProtection="1">
      <alignment vertical="center"/>
    </xf>
    <xf numFmtId="0" fontId="9" fillId="0" borderId="1" xfId="0" applyFont="1" applyFill="1" applyBorder="1" applyAlignment="1">
      <alignment horizontal="center" vertical="center"/>
    </xf>
    <xf numFmtId="0" fontId="9" fillId="0" borderId="1" xfId="0" applyFont="1" applyFill="1" applyBorder="1" applyAlignment="1">
      <alignment vertical="center"/>
    </xf>
    <xf numFmtId="0" fontId="9" fillId="0" borderId="1" xfId="0" applyFont="1" applyFill="1" applyBorder="1" applyAlignment="1">
      <alignment horizontal="centerContinuous" vertical="center"/>
    </xf>
    <xf numFmtId="0" fontId="9" fillId="0" borderId="3" xfId="0" applyFont="1" applyFill="1" applyBorder="1" applyAlignment="1" applyProtection="1">
      <alignment vertical="center"/>
    </xf>
    <xf numFmtId="0" fontId="9" fillId="0" borderId="31" xfId="0" applyFont="1" applyFill="1" applyBorder="1" applyAlignment="1" applyProtection="1">
      <alignment horizontal="centerContinuous" vertical="center"/>
    </xf>
    <xf numFmtId="0" fontId="10" fillId="0" borderId="3" xfId="0" applyFont="1" applyFill="1" applyBorder="1" applyAlignment="1">
      <alignment horizontal="centerContinuous" vertical="center"/>
    </xf>
    <xf numFmtId="0" fontId="9" fillId="0" borderId="3" xfId="0" applyFont="1" applyFill="1" applyBorder="1" applyAlignment="1">
      <alignment vertical="center"/>
    </xf>
    <xf numFmtId="0" fontId="10" fillId="0" borderId="33" xfId="0" applyFont="1" applyFill="1" applyBorder="1" applyAlignment="1">
      <alignment horizontal="centerContinuous" vertical="center"/>
    </xf>
    <xf numFmtId="0" fontId="9" fillId="0" borderId="1" xfId="0" applyFont="1" applyFill="1" applyBorder="1" applyAlignment="1" applyProtection="1">
      <alignment horizontal="fill" vertical="center"/>
    </xf>
    <xf numFmtId="0" fontId="9" fillId="0" borderId="2" xfId="0" applyFont="1" applyFill="1" applyBorder="1" applyAlignment="1" applyProtection="1">
      <alignment horizontal="fill" vertical="center"/>
    </xf>
    <xf numFmtId="0" fontId="10" fillId="0" borderId="3" xfId="0" applyFont="1" applyFill="1" applyBorder="1" applyAlignment="1" applyProtection="1">
      <alignment horizontal="center" vertical="center"/>
    </xf>
    <xf numFmtId="0" fontId="10" fillId="0" borderId="22" xfId="0" applyFont="1" applyFill="1" applyBorder="1" applyAlignment="1" applyProtection="1">
      <alignment horizontal="centerContinuous" vertical="center"/>
    </xf>
    <xf numFmtId="0" fontId="9" fillId="0" borderId="4" xfId="0" applyFont="1" applyFill="1" applyBorder="1" applyAlignment="1" applyProtection="1">
      <alignment horizontal="center" vertical="center"/>
    </xf>
    <xf numFmtId="0" fontId="9" fillId="0" borderId="7" xfId="0" applyFont="1" applyFill="1" applyBorder="1" applyAlignment="1">
      <alignment horizontal="centerContinuous" vertical="center"/>
    </xf>
    <xf numFmtId="0" fontId="9" fillId="0" borderId="7" xfId="0" applyFont="1" applyFill="1" applyBorder="1" applyAlignment="1">
      <alignment vertical="center"/>
    </xf>
    <xf numFmtId="0" fontId="9" fillId="0" borderId="8" xfId="0" applyFont="1" applyFill="1" applyBorder="1" applyAlignment="1">
      <alignment vertical="center"/>
    </xf>
    <xf numFmtId="0" fontId="10" fillId="0" borderId="22" xfId="0" applyFont="1" applyFill="1" applyBorder="1" applyAlignment="1">
      <alignment horizontal="centerContinuous" vertical="center"/>
    </xf>
    <xf numFmtId="169" fontId="9" fillId="0" borderId="0" xfId="0" applyNumberFormat="1" applyFont="1" applyFill="1"/>
    <xf numFmtId="170" fontId="9" fillId="0" borderId="0" xfId="0" applyNumberFormat="1" applyFont="1" applyFill="1" applyAlignment="1">
      <alignment vertical="center"/>
    </xf>
    <xf numFmtId="0" fontId="10" fillId="0" borderId="0" xfId="0" applyFont="1" applyFill="1" applyAlignment="1">
      <alignment horizontal="centerContinuous" vertical="center"/>
    </xf>
    <xf numFmtId="170" fontId="10" fillId="0" borderId="0" xfId="0" applyNumberFormat="1" applyFont="1" applyFill="1" applyAlignment="1">
      <alignment horizontal="centerContinuous" vertical="center"/>
    </xf>
    <xf numFmtId="0" fontId="9" fillId="0" borderId="12" xfId="0" applyFont="1" applyFill="1" applyBorder="1" applyAlignment="1">
      <alignment vertical="center"/>
    </xf>
    <xf numFmtId="170" fontId="9" fillId="0" borderId="12" xfId="0" applyNumberFormat="1" applyFont="1" applyFill="1" applyBorder="1" applyAlignment="1" applyProtection="1">
      <alignment horizontal="centerContinuous"/>
    </xf>
    <xf numFmtId="0" fontId="9" fillId="0" borderId="27" xfId="0" applyFont="1" applyFill="1" applyBorder="1" applyAlignment="1" applyProtection="1">
      <alignment horizontal="center" vertical="center"/>
    </xf>
    <xf numFmtId="0" fontId="18" fillId="0" borderId="3" xfId="0" applyFont="1" applyFill="1" applyBorder="1" applyAlignment="1">
      <alignment vertical="center"/>
    </xf>
    <xf numFmtId="0" fontId="19" fillId="0" borderId="7" xfId="0" applyFont="1" applyFill="1" applyBorder="1" applyAlignment="1">
      <alignment vertical="center"/>
    </xf>
    <xf numFmtId="0" fontId="18" fillId="0" borderId="7" xfId="0" applyFont="1" applyFill="1" applyBorder="1" applyAlignment="1">
      <alignment vertical="center"/>
    </xf>
    <xf numFmtId="0" fontId="18" fillId="0" borderId="4" xfId="0" applyFont="1" applyFill="1" applyBorder="1" applyAlignment="1">
      <alignment vertical="center"/>
    </xf>
    <xf numFmtId="170" fontId="18" fillId="0" borderId="7" xfId="0" applyNumberFormat="1" applyFont="1" applyFill="1" applyBorder="1" applyAlignment="1">
      <alignment horizontal="centerContinuous" vertical="center"/>
    </xf>
    <xf numFmtId="0" fontId="19" fillId="0" borderId="5" xfId="0" applyFont="1" applyFill="1" applyBorder="1" applyAlignment="1">
      <alignment vertical="center"/>
    </xf>
    <xf numFmtId="0" fontId="10" fillId="0" borderId="1" xfId="0" applyFont="1" applyFill="1" applyBorder="1" applyAlignment="1">
      <alignment vertical="center"/>
    </xf>
    <xf numFmtId="0" fontId="9" fillId="0" borderId="10" xfId="0" applyFont="1" applyFill="1" applyBorder="1" applyAlignment="1">
      <alignment vertical="center"/>
    </xf>
    <xf numFmtId="0" fontId="9" fillId="0" borderId="2" xfId="0" applyFont="1" applyFill="1" applyBorder="1" applyAlignment="1">
      <alignment vertical="center"/>
    </xf>
    <xf numFmtId="170" fontId="9" fillId="0" borderId="9" xfId="0" applyNumberFormat="1" applyFont="1" applyFill="1" applyBorder="1" applyAlignment="1">
      <alignment horizontal="centerContinuous" vertical="center"/>
    </xf>
    <xf numFmtId="179" fontId="10" fillId="0" borderId="3" xfId="0" applyNumberFormat="1" applyFont="1" applyFill="1" applyBorder="1" applyAlignment="1" applyProtection="1">
      <alignment horizontal="right" vertical="center"/>
    </xf>
    <xf numFmtId="179" fontId="10" fillId="0" borderId="0" xfId="0" applyNumberFormat="1" applyFont="1" applyFill="1" applyBorder="1" applyAlignment="1" applyProtection="1">
      <alignment horizontal="right" vertical="center"/>
    </xf>
    <xf numFmtId="179" fontId="10" fillId="0" borderId="4" xfId="0" applyNumberFormat="1" applyFont="1" applyFill="1" applyBorder="1" applyAlignment="1" applyProtection="1">
      <alignment horizontal="right" vertical="center"/>
    </xf>
    <xf numFmtId="0" fontId="18" fillId="0" borderId="3" xfId="0" applyFont="1" applyFill="1" applyBorder="1" applyAlignment="1" applyProtection="1">
      <alignment horizontal="left" vertical="center"/>
    </xf>
    <xf numFmtId="179" fontId="9" fillId="0" borderId="3" xfId="0" applyNumberFormat="1" applyFont="1" applyFill="1" applyBorder="1" applyAlignment="1">
      <alignment horizontal="right" vertical="center"/>
    </xf>
    <xf numFmtId="179" fontId="9" fillId="0" borderId="0" xfId="0" applyNumberFormat="1" applyFont="1" applyFill="1" applyBorder="1" applyAlignment="1">
      <alignment horizontal="right" vertical="center"/>
    </xf>
    <xf numFmtId="179" fontId="9" fillId="0" borderId="4" xfId="0" applyNumberFormat="1" applyFont="1" applyFill="1" applyBorder="1" applyAlignment="1">
      <alignment horizontal="right" vertical="center"/>
    </xf>
    <xf numFmtId="0" fontId="9" fillId="0" borderId="3" xfId="0" applyFont="1" applyFill="1" applyBorder="1" applyAlignment="1" applyProtection="1">
      <alignment horizontal="left" vertical="center"/>
    </xf>
    <xf numFmtId="0" fontId="9" fillId="0" borderId="42" xfId="0" applyFont="1" applyFill="1" applyBorder="1" applyAlignment="1" applyProtection="1">
      <alignment horizontal="center" vertical="center"/>
    </xf>
    <xf numFmtId="0" fontId="9" fillId="0" borderId="19" xfId="0" applyFont="1" applyFill="1" applyBorder="1" applyAlignment="1" applyProtection="1">
      <alignment horizontal="left" vertical="center"/>
    </xf>
    <xf numFmtId="179" fontId="9" fillId="0" borderId="19" xfId="0" applyNumberFormat="1" applyFont="1" applyFill="1" applyBorder="1" applyAlignment="1">
      <alignment horizontal="right" vertical="center"/>
    </xf>
    <xf numFmtId="179" fontId="9" fillId="0" borderId="18" xfId="0" applyNumberFormat="1" applyFont="1" applyFill="1" applyBorder="1" applyAlignment="1">
      <alignment horizontal="right" vertical="center"/>
    </xf>
    <xf numFmtId="179" fontId="10" fillId="0" borderId="25" xfId="0" applyNumberFormat="1" applyFont="1" applyFill="1" applyBorder="1" applyAlignment="1" applyProtection="1">
      <alignment horizontal="right" vertical="center"/>
    </xf>
    <xf numFmtId="179" fontId="9" fillId="0" borderId="25" xfId="0" applyNumberFormat="1" applyFont="1" applyFill="1" applyBorder="1" applyAlignment="1">
      <alignment horizontal="right" vertical="center"/>
    </xf>
    <xf numFmtId="179" fontId="9" fillId="0" borderId="29" xfId="0" applyNumberFormat="1" applyFont="1" applyFill="1" applyBorder="1" applyAlignment="1">
      <alignment horizontal="right" vertical="center"/>
    </xf>
    <xf numFmtId="179" fontId="9" fillId="0" borderId="18" xfId="0" applyNumberFormat="1" applyFont="1" applyFill="1" applyBorder="1" applyAlignment="1">
      <alignment vertical="center"/>
    </xf>
    <xf numFmtId="179" fontId="9" fillId="0" borderId="0" xfId="0" applyNumberFormat="1" applyFont="1" applyFill="1" applyBorder="1" applyAlignment="1">
      <alignment vertical="center"/>
    </xf>
    <xf numFmtId="179" fontId="9" fillId="0" borderId="0" xfId="0" applyNumberFormat="1" applyFont="1" applyFill="1" applyBorder="1" applyAlignment="1">
      <alignment horizontal="centerContinuous" vertical="center"/>
    </xf>
    <xf numFmtId="179" fontId="9" fillId="0" borderId="0" xfId="0" quotePrefix="1" applyNumberFormat="1" applyFont="1" applyFill="1" applyBorder="1" applyAlignment="1">
      <alignment horizontal="center" vertical="center"/>
    </xf>
    <xf numFmtId="0" fontId="9" fillId="0" borderId="0" xfId="0" applyFont="1" applyFill="1" applyAlignment="1">
      <alignment horizontal="center" vertical="center"/>
    </xf>
    <xf numFmtId="179" fontId="9" fillId="0" borderId="0" xfId="0" applyNumberFormat="1" applyFont="1" applyFill="1" applyAlignment="1">
      <alignment horizontal="right" vertical="center"/>
    </xf>
    <xf numFmtId="179" fontId="9" fillId="0" borderId="0" xfId="0" applyNumberFormat="1" applyFont="1" applyFill="1" applyAlignment="1">
      <alignment vertical="center"/>
    </xf>
    <xf numFmtId="179" fontId="10" fillId="0" borderId="1" xfId="0" applyNumberFormat="1" applyFont="1" applyFill="1" applyBorder="1" applyAlignment="1">
      <alignment vertical="center"/>
    </xf>
    <xf numFmtId="179" fontId="9" fillId="0" borderId="10" xfId="0" applyNumberFormat="1" applyFont="1" applyFill="1" applyBorder="1" applyAlignment="1">
      <alignment vertical="center"/>
    </xf>
    <xf numFmtId="179" fontId="9" fillId="0" borderId="2" xfId="0" applyNumberFormat="1" applyFont="1" applyFill="1" applyBorder="1" applyAlignment="1">
      <alignment vertical="center"/>
    </xf>
    <xf numFmtId="179" fontId="9" fillId="0" borderId="1" xfId="0" applyNumberFormat="1" applyFont="1" applyFill="1" applyBorder="1" applyAlignment="1">
      <alignment horizontal="centerContinuous" vertical="center"/>
    </xf>
    <xf numFmtId="179" fontId="9" fillId="0" borderId="10" xfId="0" applyNumberFormat="1" applyFont="1" applyFill="1" applyBorder="1" applyAlignment="1">
      <alignment horizontal="centerContinuous" vertical="center"/>
    </xf>
    <xf numFmtId="179" fontId="9" fillId="0" borderId="0" xfId="0" applyNumberFormat="1" applyFont="1" applyFill="1" applyBorder="1" applyAlignment="1" applyProtection="1">
      <alignment horizontal="right" vertical="center"/>
    </xf>
    <xf numFmtId="179" fontId="9" fillId="0" borderId="4" xfId="0" applyNumberFormat="1" applyFont="1" applyFill="1" applyBorder="1" applyAlignment="1" applyProtection="1">
      <alignment horizontal="right" vertical="center"/>
    </xf>
    <xf numFmtId="0" fontId="9" fillId="0" borderId="42" xfId="0" applyFont="1" applyFill="1" applyBorder="1" applyAlignment="1">
      <alignment horizontal="center" vertical="center"/>
    </xf>
    <xf numFmtId="0" fontId="9" fillId="0" borderId="0" xfId="0" applyFont="1" applyFill="1" applyBorder="1" applyAlignment="1">
      <alignment horizontal="center" vertical="center"/>
    </xf>
    <xf numFmtId="179" fontId="9" fillId="0" borderId="11" xfId="0" applyNumberFormat="1" applyFont="1" applyFill="1" applyBorder="1" applyAlignment="1">
      <alignment horizontal="right" vertical="center"/>
    </xf>
    <xf numFmtId="0" fontId="18" fillId="0" borderId="18" xfId="0" applyFont="1" applyFill="1" applyBorder="1" applyAlignment="1">
      <alignment vertical="center"/>
    </xf>
    <xf numFmtId="179" fontId="9" fillId="0" borderId="25" xfId="0" applyNumberFormat="1" applyFont="1" applyFill="1" applyBorder="1" applyAlignment="1">
      <alignment vertical="center"/>
    </xf>
    <xf numFmtId="179" fontId="9" fillId="0" borderId="19" xfId="0" applyNumberFormat="1" applyFont="1" applyFill="1" applyBorder="1" applyAlignment="1">
      <alignment vertical="center"/>
    </xf>
    <xf numFmtId="179" fontId="9" fillId="0" borderId="29" xfId="0" applyNumberFormat="1" applyFont="1" applyFill="1" applyBorder="1" applyAlignment="1">
      <alignment vertical="center"/>
    </xf>
    <xf numFmtId="179" fontId="9" fillId="0" borderId="0" xfId="0" applyNumberFormat="1" applyFont="1" applyFill="1" applyAlignment="1">
      <alignment horizontal="centerContinuous" vertical="center"/>
    </xf>
    <xf numFmtId="0" fontId="18" fillId="0" borderId="0" xfId="0" applyFont="1" applyFill="1" applyAlignment="1">
      <alignment horizontal="centerContinuous" vertical="center"/>
    </xf>
    <xf numFmtId="179" fontId="10" fillId="0" borderId="0" xfId="0" applyNumberFormat="1" applyFont="1" applyFill="1" applyBorder="1" applyAlignment="1" applyProtection="1">
      <alignment horizontal="centerContinuous" vertical="center"/>
    </xf>
    <xf numFmtId="0" fontId="18" fillId="0" borderId="3" xfId="0" applyFont="1" applyFill="1" applyBorder="1" applyAlignment="1">
      <alignment horizontal="centerContinuous" vertical="center"/>
    </xf>
    <xf numFmtId="179" fontId="10" fillId="0" borderId="3" xfId="0" applyNumberFormat="1" applyFont="1" applyFill="1" applyBorder="1" applyAlignment="1">
      <alignment vertical="center"/>
    </xf>
    <xf numFmtId="179" fontId="10" fillId="0" borderId="0" xfId="1" applyNumberFormat="1" applyFont="1" applyFill="1" applyBorder="1" applyAlignment="1" applyProtection="1">
      <alignment horizontal="right" vertical="center"/>
    </xf>
    <xf numFmtId="179" fontId="9" fillId="0" borderId="3" xfId="0" applyNumberFormat="1" applyFont="1" applyFill="1" applyBorder="1" applyAlignment="1" applyProtection="1">
      <alignment horizontal="right" vertical="center"/>
    </xf>
    <xf numFmtId="179" fontId="9" fillId="0" borderId="0" xfId="1" applyNumberFormat="1" applyFont="1" applyFill="1" applyBorder="1" applyAlignment="1" applyProtection="1">
      <alignment horizontal="right" vertical="center"/>
    </xf>
    <xf numFmtId="0" fontId="9" fillId="0" borderId="24" xfId="0" applyFont="1" applyFill="1" applyBorder="1" applyAlignment="1" applyProtection="1">
      <alignment horizontal="center" vertical="center"/>
    </xf>
    <xf numFmtId="0" fontId="18" fillId="0" borderId="25" xfId="0" applyFont="1" applyFill="1" applyBorder="1" applyAlignment="1">
      <alignment vertical="center"/>
    </xf>
    <xf numFmtId="179" fontId="9" fillId="0" borderId="18" xfId="1" applyNumberFormat="1" applyFont="1" applyFill="1" applyBorder="1" applyAlignment="1" applyProtection="1">
      <alignment horizontal="right" vertical="center"/>
    </xf>
    <xf numFmtId="179" fontId="9" fillId="0" borderId="25" xfId="1" applyNumberFormat="1" applyFont="1" applyFill="1" applyBorder="1" applyAlignment="1" applyProtection="1">
      <alignment horizontal="right" vertical="center"/>
    </xf>
    <xf numFmtId="179" fontId="9" fillId="0" borderId="19" xfId="1" applyNumberFormat="1" applyFont="1" applyFill="1" applyBorder="1" applyAlignment="1" applyProtection="1">
      <alignment horizontal="right" vertical="center"/>
    </xf>
    <xf numFmtId="0" fontId="9" fillId="0" borderId="0" xfId="0" applyFont="1" applyFill="1" applyAlignment="1">
      <alignment horizontal="left" vertical="center"/>
    </xf>
    <xf numFmtId="184" fontId="9" fillId="0" borderId="0" xfId="0" applyNumberFormat="1" applyFont="1" applyFill="1" applyBorder="1" applyAlignment="1" applyProtection="1">
      <alignment horizontal="right" vertical="center"/>
    </xf>
    <xf numFmtId="0" fontId="9" fillId="0" borderId="0" xfId="0" applyFont="1" applyFill="1" applyBorder="1" applyAlignment="1">
      <alignment horizontal="left" vertical="center"/>
    </xf>
    <xf numFmtId="0" fontId="10" fillId="0" borderId="1" xfId="0" applyFont="1" applyFill="1" applyBorder="1" applyAlignment="1">
      <alignment horizontal="centerContinuous" vertical="center"/>
    </xf>
    <xf numFmtId="0" fontId="9" fillId="0" borderId="9" xfId="0" applyFont="1" applyFill="1" applyBorder="1" applyAlignment="1">
      <alignment vertical="center"/>
    </xf>
    <xf numFmtId="175" fontId="9" fillId="0" borderId="0" xfId="0" applyNumberFormat="1" applyFont="1" applyFill="1" applyBorder="1" applyAlignment="1" applyProtection="1">
      <alignment horizontal="right" vertical="center"/>
    </xf>
    <xf numFmtId="169" fontId="9" fillId="0" borderId="43" xfId="0" applyNumberFormat="1" applyFont="1" applyFill="1" applyBorder="1" applyAlignment="1" applyProtection="1">
      <alignment horizontal="centerContinuous"/>
    </xf>
    <xf numFmtId="169" fontId="9" fillId="0" borderId="4" xfId="0" applyNumberFormat="1" applyFont="1" applyFill="1" applyBorder="1" applyAlignment="1" applyProtection="1">
      <alignment horizontal="centerContinuous" vertical="center"/>
    </xf>
    <xf numFmtId="0" fontId="9" fillId="0" borderId="22" xfId="0" applyFont="1" applyFill="1" applyBorder="1" applyAlignment="1" applyProtection="1">
      <alignment horizontal="centerContinuous" vertical="center"/>
    </xf>
    <xf numFmtId="0" fontId="9" fillId="0" borderId="33" xfId="0" applyFont="1" applyFill="1" applyBorder="1" applyAlignment="1">
      <alignment horizontal="centerContinuous" vertical="center"/>
    </xf>
    <xf numFmtId="0" fontId="9" fillId="0" borderId="11" xfId="0" applyFont="1" applyFill="1" applyBorder="1" applyAlignment="1">
      <alignment horizontal="centerContinuous" vertical="center"/>
    </xf>
    <xf numFmtId="0" fontId="10" fillId="0" borderId="7" xfId="0" applyFont="1" applyFill="1" applyBorder="1" applyAlignment="1" applyProtection="1">
      <alignment horizontal="centerContinuous" vertical="center"/>
    </xf>
    <xf numFmtId="0" fontId="9" fillId="0" borderId="7" xfId="0" applyFont="1" applyFill="1" applyBorder="1" applyAlignment="1" applyProtection="1">
      <alignment horizontal="centerContinuous" vertical="center"/>
    </xf>
    <xf numFmtId="0" fontId="9" fillId="0" borderId="5" xfId="0" applyFont="1" applyFill="1" applyBorder="1" applyAlignment="1" applyProtection="1">
      <alignment horizontal="fill" vertical="center"/>
    </xf>
    <xf numFmtId="0" fontId="9" fillId="0" borderId="5" xfId="0" applyFont="1" applyFill="1" applyBorder="1" applyAlignment="1">
      <alignment vertical="center"/>
    </xf>
    <xf numFmtId="169" fontId="9" fillId="0" borderId="7" xfId="0" applyNumberFormat="1" applyFont="1" applyFill="1" applyBorder="1" applyAlignment="1" applyProtection="1">
      <alignment horizontal="centerContinuous" vertical="center"/>
    </xf>
    <xf numFmtId="169" fontId="9" fillId="0" borderId="8" xfId="0" applyNumberFormat="1" applyFont="1" applyFill="1" applyBorder="1" applyAlignment="1" applyProtection="1">
      <alignment horizontal="centerContinuous" vertical="center"/>
    </xf>
    <xf numFmtId="0" fontId="9" fillId="0" borderId="8" xfId="0" applyFont="1" applyFill="1" applyBorder="1" applyAlignment="1" applyProtection="1">
      <alignment horizontal="fill" vertical="center"/>
    </xf>
    <xf numFmtId="0" fontId="5" fillId="0" borderId="0" xfId="0" applyFont="1" applyFill="1" applyBorder="1" applyAlignment="1">
      <alignment horizontal="centerContinuous" vertical="center"/>
    </xf>
    <xf numFmtId="170" fontId="5" fillId="0" borderId="0" xfId="0" applyNumberFormat="1" applyFont="1" applyFill="1" applyBorder="1" applyAlignment="1">
      <alignment horizontal="centerContinuous" vertical="center"/>
    </xf>
    <xf numFmtId="0" fontId="4" fillId="0" borderId="0" xfId="0" quotePrefix="1" applyFont="1" applyFill="1" applyAlignment="1">
      <alignment horizontal="center" vertical="center"/>
    </xf>
    <xf numFmtId="170" fontId="4" fillId="0" borderId="0" xfId="0" quotePrefix="1" applyNumberFormat="1" applyFont="1" applyFill="1" applyBorder="1" applyAlignment="1">
      <alignment horizontal="right" vertical="center"/>
    </xf>
    <xf numFmtId="0" fontId="9" fillId="0" borderId="6" xfId="0" applyFont="1" applyFill="1" applyBorder="1" applyAlignment="1" applyProtection="1">
      <alignment horizontal="centerContinuous" vertical="center"/>
    </xf>
    <xf numFmtId="0" fontId="9" fillId="0" borderId="31" xfId="0" applyFont="1" applyFill="1" applyBorder="1" applyAlignment="1">
      <alignment horizontal="centerContinuous" vertical="center"/>
    </xf>
    <xf numFmtId="0" fontId="9" fillId="0" borderId="3" xfId="0" applyFont="1" applyFill="1" applyBorder="1" applyAlignment="1" applyProtection="1">
      <alignment horizontal="fill" vertical="center"/>
    </xf>
    <xf numFmtId="171" fontId="9" fillId="0" borderId="3" xfId="0" applyNumberFormat="1" applyFont="1" applyFill="1" applyBorder="1" applyAlignment="1">
      <alignment horizontal="right"/>
    </xf>
    <xf numFmtId="0" fontId="10" fillId="0" borderId="11" xfId="0" applyFont="1" applyFill="1" applyBorder="1" applyAlignment="1" applyProtection="1">
      <alignment horizontal="fill"/>
    </xf>
    <xf numFmtId="171" fontId="10" fillId="0" borderId="5" xfId="0" applyNumberFormat="1" applyFont="1" applyFill="1" applyBorder="1" applyAlignment="1" applyProtection="1">
      <alignment vertical="center"/>
    </xf>
    <xf numFmtId="171" fontId="10" fillId="0" borderId="22" xfId="0" applyNumberFormat="1" applyFont="1" applyFill="1" applyBorder="1" applyAlignment="1" applyProtection="1">
      <alignment vertical="center"/>
    </xf>
    <xf numFmtId="183" fontId="7" fillId="0" borderId="0" xfId="0" applyNumberFormat="1" applyFont="1" applyFill="1" applyBorder="1" applyAlignment="1" applyProtection="1">
      <alignment horizontal="right"/>
    </xf>
    <xf numFmtId="183" fontId="7" fillId="0" borderId="18" xfId="0" applyNumberFormat="1" applyFont="1" applyFill="1" applyBorder="1" applyAlignment="1" applyProtection="1">
      <alignment horizontal="right"/>
    </xf>
    <xf numFmtId="173" fontId="9" fillId="0" borderId="0" xfId="0" applyNumberFormat="1" applyFont="1" applyFill="1" applyBorder="1" applyAlignment="1" applyProtection="1">
      <alignment horizontal="right"/>
    </xf>
    <xf numFmtId="173" fontId="10" fillId="0" borderId="28" xfId="0" applyNumberFormat="1" applyFont="1" applyFill="1" applyBorder="1" applyAlignment="1">
      <alignment horizontal="right" vertical="center"/>
    </xf>
    <xf numFmtId="173" fontId="15" fillId="0" borderId="0" xfId="0" quotePrefix="1" applyNumberFormat="1" applyFont="1" applyAlignment="1">
      <alignment horizontal="right" vertical="center"/>
    </xf>
    <xf numFmtId="49" fontId="36" fillId="0" borderId="0" xfId="0" applyNumberFormat="1" applyFont="1" applyFill="1" applyAlignment="1">
      <alignment horizontal="right"/>
    </xf>
    <xf numFmtId="185" fontId="10" fillId="0" borderId="0" xfId="0" applyNumberFormat="1" applyFont="1" applyFill="1" applyBorder="1" applyAlignment="1" applyProtection="1">
      <alignment horizontal="center" vertical="center"/>
    </xf>
    <xf numFmtId="173" fontId="9" fillId="0" borderId="32" xfId="0" applyNumberFormat="1" applyFont="1" applyFill="1" applyBorder="1" applyAlignment="1"/>
    <xf numFmtId="0" fontId="10" fillId="0" borderId="22" xfId="0" applyFont="1" applyFill="1" applyBorder="1"/>
    <xf numFmtId="0" fontId="9" fillId="0" borderId="22" xfId="0" applyFont="1" applyFill="1" applyBorder="1" applyAlignment="1" applyProtection="1">
      <alignment horizontal="center"/>
    </xf>
    <xf numFmtId="49" fontId="9" fillId="0" borderId="0" xfId="0" applyNumberFormat="1" applyFont="1" applyFill="1" applyAlignment="1">
      <alignment horizontal="right"/>
    </xf>
    <xf numFmtId="49" fontId="10" fillId="0" borderId="0" xfId="0" applyNumberFormat="1" applyFont="1" applyFill="1" applyAlignment="1">
      <alignment horizontal="right"/>
    </xf>
    <xf numFmtId="0" fontId="10" fillId="0" borderId="33" xfId="0" applyFont="1" applyFill="1" applyBorder="1" applyAlignment="1">
      <alignment horizontal="centerContinuous"/>
    </xf>
    <xf numFmtId="0" fontId="9" fillId="0" borderId="31" xfId="0" applyFont="1" applyFill="1" applyBorder="1"/>
    <xf numFmtId="0" fontId="9" fillId="0" borderId="6" xfId="0" applyFont="1" applyFill="1" applyBorder="1" applyAlignment="1">
      <alignment vertical="center"/>
    </xf>
    <xf numFmtId="0" fontId="9" fillId="0" borderId="1" xfId="0" applyFont="1" applyFill="1" applyBorder="1" applyAlignment="1" applyProtection="1">
      <alignment horizontal="center" vertical="center"/>
    </xf>
    <xf numFmtId="169" fontId="9" fillId="0" borderId="28" xfId="0" applyNumberFormat="1" applyFont="1" applyFill="1" applyBorder="1" applyAlignment="1" applyProtection="1">
      <alignment horizontal="right"/>
    </xf>
    <xf numFmtId="0" fontId="10" fillId="0" borderId="40" xfId="0" applyFont="1" applyFill="1" applyBorder="1" applyAlignment="1" applyProtection="1">
      <alignment horizontal="center" vertical="center"/>
    </xf>
    <xf numFmtId="0" fontId="10" fillId="0" borderId="4" xfId="0" applyFont="1" applyFill="1" applyBorder="1" applyAlignment="1" applyProtection="1">
      <alignment horizontal="center"/>
    </xf>
    <xf numFmtId="0" fontId="23" fillId="0" borderId="4" xfId="0" applyFont="1" applyFill="1" applyBorder="1" applyAlignment="1" applyProtection="1">
      <alignment horizontal="center"/>
    </xf>
    <xf numFmtId="169" fontId="9" fillId="0" borderId="33" xfId="0" applyNumberFormat="1" applyFont="1" applyFill="1" applyBorder="1" applyAlignment="1" applyProtection="1">
      <alignment horizontal="fill" vertical="center"/>
    </xf>
    <xf numFmtId="0" fontId="10" fillId="0" borderId="28" xfId="0" applyFont="1" applyFill="1" applyBorder="1" applyAlignment="1">
      <alignment vertical="center"/>
    </xf>
    <xf numFmtId="0" fontId="9" fillId="0" borderId="28" xfId="0" applyFont="1" applyFill="1" applyBorder="1" applyAlignment="1">
      <alignment vertical="center"/>
    </xf>
    <xf numFmtId="169" fontId="9" fillId="0" borderId="8" xfId="0" applyNumberFormat="1" applyFont="1" applyFill="1" applyBorder="1" applyAlignment="1">
      <alignment vertical="center"/>
    </xf>
    <xf numFmtId="169" fontId="9" fillId="0" borderId="31" xfId="0" applyNumberFormat="1" applyFont="1" applyFill="1" applyBorder="1" applyAlignment="1">
      <alignment vertical="center"/>
    </xf>
    <xf numFmtId="169" fontId="9" fillId="0" borderId="1" xfId="0" applyNumberFormat="1" applyFont="1" applyFill="1" applyBorder="1" applyAlignment="1" applyProtection="1">
      <alignment horizontal="center" vertical="center"/>
    </xf>
    <xf numFmtId="169" fontId="10" fillId="0" borderId="7" xfId="0" applyNumberFormat="1" applyFont="1" applyFill="1" applyBorder="1" applyAlignment="1">
      <alignment vertical="center"/>
    </xf>
    <xf numFmtId="0" fontId="9" fillId="0" borderId="22" xfId="0" applyFont="1" applyFill="1" applyBorder="1" applyAlignment="1">
      <alignment horizontal="centerContinuous" vertical="center"/>
    </xf>
    <xf numFmtId="0" fontId="9" fillId="0" borderId="7" xfId="0" applyFont="1" applyFill="1" applyBorder="1" applyAlignment="1">
      <alignment horizontal="center" vertical="center"/>
    </xf>
    <xf numFmtId="0" fontId="10" fillId="0" borderId="7" xfId="0" applyFont="1" applyFill="1" applyBorder="1" applyAlignment="1">
      <alignment horizontal="centerContinuous" vertical="center"/>
    </xf>
    <xf numFmtId="169" fontId="9" fillId="0" borderId="2" xfId="0" applyNumberFormat="1" applyFont="1" applyFill="1" applyBorder="1" applyAlignment="1" applyProtection="1"/>
    <xf numFmtId="169" fontId="9" fillId="0" borderId="0" xfId="0" applyNumberFormat="1" applyFont="1" applyFill="1" applyBorder="1" applyAlignment="1" applyProtection="1"/>
    <xf numFmtId="169" fontId="9" fillId="0" borderId="4" xfId="0" applyNumberFormat="1" applyFont="1" applyFill="1" applyBorder="1" applyAlignment="1" applyProtection="1"/>
    <xf numFmtId="0" fontId="10" fillId="0" borderId="0" xfId="0" applyFont="1" applyFill="1" applyBorder="1" applyAlignment="1" applyProtection="1">
      <alignment horizontal="center" vertical="top"/>
    </xf>
    <xf numFmtId="0" fontId="23" fillId="0" borderId="0" xfId="0" applyFont="1" applyFill="1" applyBorder="1" applyAlignment="1" applyProtection="1">
      <alignment horizontal="center"/>
    </xf>
    <xf numFmtId="169" fontId="10" fillId="0" borderId="4" xfId="0" applyNumberFormat="1" applyFont="1" applyFill="1" applyBorder="1" applyAlignment="1" applyProtection="1">
      <alignment horizontal="right"/>
    </xf>
    <xf numFmtId="0" fontId="18" fillId="0" borderId="31" xfId="0" applyFont="1" applyFill="1" applyBorder="1" applyAlignment="1">
      <alignment vertical="center"/>
    </xf>
    <xf numFmtId="0" fontId="18" fillId="0" borderId="8" xfId="0" applyFont="1" applyFill="1" applyBorder="1" applyAlignment="1">
      <alignment vertical="center"/>
    </xf>
    <xf numFmtId="0" fontId="9" fillId="0" borderId="29" xfId="0" applyFont="1" applyFill="1" applyBorder="1" applyAlignment="1">
      <alignment vertical="center"/>
    </xf>
    <xf numFmtId="0" fontId="9" fillId="0" borderId="35" xfId="0" applyFont="1" applyFill="1" applyBorder="1" applyAlignment="1">
      <alignment vertical="center"/>
    </xf>
    <xf numFmtId="179" fontId="9" fillId="0" borderId="19" xfId="0" applyNumberFormat="1" applyFont="1" applyFill="1" applyBorder="1" applyAlignment="1">
      <alignment horizontal="center" vertical="center"/>
    </xf>
    <xf numFmtId="179" fontId="10" fillId="0" borderId="9" xfId="0" applyNumberFormat="1" applyFont="1" applyFill="1" applyBorder="1" applyAlignment="1">
      <alignment vertical="center"/>
    </xf>
    <xf numFmtId="179" fontId="10" fillId="0" borderId="29" xfId="1" applyNumberFormat="1" applyFont="1" applyFill="1" applyBorder="1" applyAlignment="1" applyProtection="1">
      <alignment horizontal="right" vertical="center"/>
    </xf>
    <xf numFmtId="179" fontId="10" fillId="0" borderId="3" xfId="0" applyNumberFormat="1" applyFont="1" applyFill="1" applyBorder="1" applyAlignment="1">
      <alignment horizontal="right" vertical="center"/>
    </xf>
    <xf numFmtId="169" fontId="10" fillId="0" borderId="11" xfId="0" applyNumberFormat="1" applyFont="1" applyFill="1" applyBorder="1" applyAlignment="1" applyProtection="1">
      <alignment horizontal="right"/>
    </xf>
    <xf numFmtId="169" fontId="10" fillId="0" borderId="28" xfId="0" applyNumberFormat="1" applyFont="1" applyFill="1" applyBorder="1" applyAlignment="1" applyProtection="1">
      <alignment horizontal="right"/>
    </xf>
    <xf numFmtId="169" fontId="10" fillId="0" borderId="0" xfId="0" applyNumberFormat="1" applyFont="1" applyFill="1" applyBorder="1" applyAlignment="1" applyProtection="1">
      <alignment horizontal="right"/>
    </xf>
    <xf numFmtId="175" fontId="16" fillId="0" borderId="0" xfId="0" applyNumberFormat="1" applyFont="1" applyFill="1" applyBorder="1" applyAlignment="1" applyProtection="1">
      <alignment horizontal="right" vertical="center"/>
    </xf>
    <xf numFmtId="189" fontId="10" fillId="0" borderId="0" xfId="0" applyNumberFormat="1" applyFont="1" applyFill="1" applyBorder="1" applyAlignment="1" applyProtection="1">
      <alignment horizontal="right" vertical="center"/>
    </xf>
    <xf numFmtId="173" fontId="9" fillId="0" borderId="4" xfId="0" applyNumberFormat="1" applyFont="1" applyFill="1" applyBorder="1" applyAlignment="1" applyProtection="1">
      <alignment horizontal="right"/>
    </xf>
    <xf numFmtId="173" fontId="9" fillId="0" borderId="11" xfId="0" applyNumberFormat="1" applyFont="1" applyFill="1" applyBorder="1" applyAlignment="1" applyProtection="1">
      <alignment horizontal="right"/>
    </xf>
    <xf numFmtId="0" fontId="10" fillId="0" borderId="0" xfId="0" applyFont="1" applyFill="1" applyBorder="1" applyAlignment="1" applyProtection="1">
      <alignment horizontal="left"/>
    </xf>
    <xf numFmtId="173" fontId="16" fillId="0" borderId="0" xfId="0" applyNumberFormat="1" applyFont="1" applyFill="1" applyBorder="1" applyAlignment="1" applyProtection="1">
      <alignment horizontal="right" vertical="center"/>
    </xf>
    <xf numFmtId="173" fontId="16" fillId="0" borderId="0" xfId="0" applyNumberFormat="1" applyFont="1" applyFill="1" applyBorder="1" applyAlignment="1" applyProtection="1">
      <alignment horizontal="center" vertical="center"/>
    </xf>
    <xf numFmtId="181" fontId="29" fillId="0" borderId="0" xfId="0" applyNumberFormat="1" applyFont="1" applyFill="1" applyBorder="1" applyAlignment="1">
      <alignment vertical="center"/>
    </xf>
    <xf numFmtId="171" fontId="10" fillId="0" borderId="0" xfId="0" applyNumberFormat="1" applyFont="1" applyFill="1" applyBorder="1" applyAlignment="1">
      <alignment horizontal="right" vertical="center"/>
    </xf>
    <xf numFmtId="173" fontId="10" fillId="0" borderId="40" xfId="0" applyNumberFormat="1" applyFont="1" applyFill="1" applyBorder="1" applyAlignment="1" applyProtection="1">
      <alignment vertical="center"/>
    </xf>
    <xf numFmtId="0" fontId="9" fillId="0" borderId="34" xfId="0" applyFont="1" applyFill="1" applyBorder="1" applyAlignment="1" applyProtection="1"/>
    <xf numFmtId="0" fontId="9" fillId="0" borderId="4" xfId="0" applyFont="1" applyFill="1" applyBorder="1" applyAlignment="1" applyProtection="1">
      <alignment horizontal="left"/>
    </xf>
    <xf numFmtId="176" fontId="9" fillId="0" borderId="4" xfId="0" applyNumberFormat="1" applyFont="1" applyFill="1" applyBorder="1" applyAlignment="1"/>
    <xf numFmtId="176" fontId="9" fillId="0" borderId="22" xfId="0" applyNumberFormat="1" applyFont="1" applyFill="1" applyBorder="1" applyAlignment="1"/>
    <xf numFmtId="0" fontId="9" fillId="0" borderId="0" xfId="0" applyFont="1" applyFill="1" applyAlignment="1"/>
    <xf numFmtId="0" fontId="9" fillId="0" borderId="34" xfId="0" applyFont="1" applyFill="1" applyBorder="1" applyAlignment="1" applyProtection="1">
      <alignment vertical="center"/>
    </xf>
    <xf numFmtId="0" fontId="9" fillId="0" borderId="4" xfId="0" applyFont="1" applyFill="1" applyBorder="1" applyAlignment="1" applyProtection="1">
      <alignment horizontal="left" vertical="center"/>
    </xf>
    <xf numFmtId="176" fontId="9" fillId="0" borderId="0" xfId="0" applyNumberFormat="1" applyFont="1" applyFill="1" applyAlignment="1">
      <alignment vertical="center"/>
    </xf>
    <xf numFmtId="0" fontId="0" fillId="0" borderId="0" xfId="0" applyFill="1" applyAlignment="1">
      <alignment horizontal="center" vertical="center"/>
    </xf>
    <xf numFmtId="166" fontId="13" fillId="0" borderId="0" xfId="0" applyNumberFormat="1" applyFont="1" applyFill="1" applyBorder="1" applyAlignment="1" applyProtection="1">
      <alignment horizontal="left" vertical="center"/>
    </xf>
    <xf numFmtId="0" fontId="9" fillId="0" borderId="46" xfId="0" applyFont="1" applyFill="1" applyBorder="1" applyAlignment="1"/>
    <xf numFmtId="0" fontId="10" fillId="0" borderId="34" xfId="0" applyFont="1" applyFill="1" applyBorder="1" applyAlignment="1" applyProtection="1">
      <alignment horizontal="center"/>
    </xf>
    <xf numFmtId="0" fontId="10" fillId="0" borderId="47" xfId="0" applyFont="1" applyFill="1" applyBorder="1" applyAlignment="1" applyProtection="1">
      <alignment horizontal="center" vertical="center"/>
    </xf>
    <xf numFmtId="0" fontId="9" fillId="0" borderId="2" xfId="0" applyFont="1" applyFill="1" applyBorder="1" applyAlignment="1"/>
    <xf numFmtId="0" fontId="10" fillId="0" borderId="4" xfId="0" applyFont="1" applyFill="1" applyBorder="1" applyAlignment="1" applyProtection="1">
      <alignment horizontal="left"/>
    </xf>
    <xf numFmtId="0" fontId="10" fillId="0" borderId="4" xfId="0" applyFont="1" applyFill="1" applyBorder="1" applyAlignment="1" applyProtection="1">
      <alignment horizontal="left" vertical="top"/>
    </xf>
    <xf numFmtId="0" fontId="10" fillId="0" borderId="4" xfId="0" applyFont="1" applyFill="1" applyBorder="1" applyAlignment="1" applyProtection="1">
      <alignment horizontal="left" vertical="center"/>
    </xf>
    <xf numFmtId="0" fontId="10" fillId="0" borderId="41" xfId="0" applyFont="1" applyFill="1" applyBorder="1" applyAlignment="1" applyProtection="1">
      <alignment horizontal="left" vertical="center"/>
    </xf>
    <xf numFmtId="0" fontId="10" fillId="0" borderId="4" xfId="0" applyFont="1" applyFill="1" applyBorder="1" applyAlignment="1" applyProtection="1">
      <alignment horizontal="centerContinuous" vertical="center"/>
    </xf>
    <xf numFmtId="0" fontId="10" fillId="0" borderId="4" xfId="0" applyFont="1" applyFill="1" applyBorder="1" applyAlignment="1">
      <alignment horizontal="centerContinuous" vertical="center"/>
    </xf>
    <xf numFmtId="0" fontId="10" fillId="0" borderId="2" xfId="0" applyFont="1" applyFill="1" applyBorder="1" applyAlignment="1" applyProtection="1">
      <alignment horizontal="left"/>
    </xf>
    <xf numFmtId="169" fontId="18" fillId="0" borderId="43" xfId="0" applyNumberFormat="1" applyFont="1" applyFill="1" applyBorder="1" applyAlignment="1">
      <alignment vertical="center"/>
    </xf>
    <xf numFmtId="169" fontId="18" fillId="0" borderId="4" xfId="0" applyNumberFormat="1" applyFont="1" applyFill="1" applyBorder="1" applyAlignment="1">
      <alignment vertical="center"/>
    </xf>
    <xf numFmtId="164" fontId="9" fillId="0" borderId="20" xfId="3" applyFont="1" applyFill="1" applyBorder="1" applyAlignment="1">
      <alignment horizontal="center" vertical="center"/>
    </xf>
    <xf numFmtId="0" fontId="9" fillId="0" borderId="0" xfId="2" applyFont="1" applyFill="1"/>
    <xf numFmtId="169" fontId="9" fillId="0" borderId="0" xfId="2" applyNumberFormat="1" applyFont="1" applyFill="1"/>
    <xf numFmtId="169" fontId="9" fillId="0" borderId="0" xfId="2" applyNumberFormat="1" applyFont="1" applyFill="1" applyBorder="1" applyAlignment="1" applyProtection="1">
      <alignment horizontal="right" vertical="center"/>
    </xf>
    <xf numFmtId="0" fontId="9" fillId="0" borderId="0" xfId="2" applyFont="1" applyFill="1" applyBorder="1" applyAlignment="1"/>
    <xf numFmtId="172" fontId="9" fillId="0" borderId="0" xfId="2" applyNumberFormat="1" applyFont="1" applyFill="1" applyBorder="1" applyAlignment="1" applyProtection="1">
      <alignment horizontal="right" vertical="center"/>
    </xf>
    <xf numFmtId="0" fontId="10" fillId="0" borderId="0" xfId="2" applyFont="1" applyFill="1"/>
    <xf numFmtId="0" fontId="10" fillId="0" borderId="47" xfId="2" applyFont="1" applyFill="1" applyBorder="1" applyAlignment="1" applyProtection="1">
      <alignment horizontal="center" vertical="center"/>
    </xf>
    <xf numFmtId="0" fontId="9" fillId="0" borderId="0" xfId="2" applyFont="1" applyFill="1" applyBorder="1" applyAlignment="1">
      <alignment vertical="top"/>
    </xf>
    <xf numFmtId="0" fontId="9" fillId="0" borderId="0" xfId="2" applyFont="1" applyFill="1" applyAlignment="1">
      <alignment vertical="top"/>
    </xf>
    <xf numFmtId="0" fontId="10" fillId="0" borderId="34" xfId="2" applyFont="1" applyFill="1" applyBorder="1" applyAlignment="1" applyProtection="1">
      <alignment horizontal="center" vertical="center"/>
    </xf>
    <xf numFmtId="0" fontId="9" fillId="0" borderId="31" xfId="2" applyFont="1" applyFill="1" applyBorder="1" applyAlignment="1">
      <alignment horizontal="centerContinuous" vertical="center"/>
    </xf>
    <xf numFmtId="0" fontId="9" fillId="0" borderId="7" xfId="2" applyFont="1" applyFill="1" applyBorder="1" applyAlignment="1">
      <alignment vertical="center"/>
    </xf>
    <xf numFmtId="0" fontId="9" fillId="0" borderId="3" xfId="2" applyFont="1" applyFill="1" applyBorder="1" applyAlignment="1">
      <alignment horizontal="centerContinuous" vertical="center"/>
    </xf>
    <xf numFmtId="0" fontId="9" fillId="0" borderId="3" xfId="2" applyFont="1" applyFill="1" applyBorder="1" applyAlignment="1">
      <alignment vertical="center"/>
    </xf>
    <xf numFmtId="0" fontId="9" fillId="0" borderId="3" xfId="2" applyFont="1" applyFill="1" applyBorder="1" applyAlignment="1">
      <alignment horizontal="center" vertical="center"/>
    </xf>
    <xf numFmtId="0" fontId="9" fillId="0" borderId="8" xfId="2" applyFont="1" applyFill="1" applyBorder="1" applyAlignment="1">
      <alignment vertical="center"/>
    </xf>
    <xf numFmtId="0" fontId="9" fillId="0" borderId="7" xfId="2" applyFont="1" applyFill="1" applyBorder="1" applyAlignment="1">
      <alignment horizontal="centerContinuous" vertical="center"/>
    </xf>
    <xf numFmtId="0" fontId="10" fillId="0" borderId="4" xfId="2" applyFont="1" applyFill="1" applyBorder="1" applyAlignment="1">
      <alignment horizontal="centerContinuous" vertical="center"/>
    </xf>
    <xf numFmtId="0" fontId="9" fillId="0" borderId="22" xfId="2" applyFont="1" applyFill="1" applyBorder="1" applyAlignment="1" applyProtection="1">
      <alignment horizontal="centerContinuous" vertical="center"/>
    </xf>
    <xf numFmtId="0" fontId="9" fillId="0" borderId="4" xfId="2" applyFont="1" applyFill="1" applyBorder="1" applyAlignment="1" applyProtection="1">
      <alignment horizontal="center" vertical="center"/>
    </xf>
    <xf numFmtId="0" fontId="10" fillId="0" borderId="3" xfId="2" applyFont="1" applyFill="1" applyBorder="1" applyAlignment="1" applyProtection="1">
      <alignment horizontal="centerContinuous" vertical="center"/>
    </xf>
    <xf numFmtId="0" fontId="9" fillId="0" borderId="3" xfId="2" applyFont="1" applyFill="1" applyBorder="1" applyAlignment="1" applyProtection="1">
      <alignment horizontal="centerContinuous" vertical="center"/>
    </xf>
    <xf numFmtId="0" fontId="9" fillId="0" borderId="3" xfId="2" applyFont="1" applyFill="1" applyBorder="1" applyAlignment="1" applyProtection="1">
      <alignment horizontal="center" vertical="center"/>
    </xf>
    <xf numFmtId="0" fontId="10" fillId="0" borderId="3" xfId="2" applyFont="1" applyFill="1" applyBorder="1" applyAlignment="1" applyProtection="1">
      <alignment horizontal="center" vertical="center"/>
    </xf>
    <xf numFmtId="0" fontId="10" fillId="0" borderId="4" xfId="2" applyFont="1" applyFill="1" applyBorder="1" applyAlignment="1" applyProtection="1">
      <alignment horizontal="centerContinuous" vertical="center"/>
    </xf>
    <xf numFmtId="0" fontId="9" fillId="0" borderId="2" xfId="2" applyFont="1" applyFill="1" applyBorder="1" applyAlignment="1" applyProtection="1">
      <alignment horizontal="fill" vertical="center"/>
    </xf>
    <xf numFmtId="0" fontId="9" fillId="0" borderId="1" xfId="2" applyFont="1" applyFill="1" applyBorder="1" applyAlignment="1" applyProtection="1">
      <alignment horizontal="fill" vertical="center"/>
    </xf>
    <xf numFmtId="0" fontId="9" fillId="0" borderId="22" xfId="2" applyFont="1" applyFill="1" applyBorder="1" applyAlignment="1">
      <alignment horizontal="centerContinuous" vertical="center"/>
    </xf>
    <xf numFmtId="0" fontId="9" fillId="0" borderId="4" xfId="2" applyFont="1" applyFill="1" applyBorder="1" applyAlignment="1">
      <alignment vertical="center"/>
    </xf>
    <xf numFmtId="0" fontId="10" fillId="0" borderId="1" xfId="2" applyFont="1" applyFill="1" applyBorder="1" applyAlignment="1">
      <alignment horizontal="centerContinuous" vertical="center"/>
    </xf>
    <xf numFmtId="0" fontId="9" fillId="0" borderId="6" xfId="2" applyFont="1" applyFill="1" applyBorder="1" applyAlignment="1">
      <alignment horizontal="centerContinuous" vertical="center"/>
    </xf>
    <xf numFmtId="0" fontId="9" fillId="0" borderId="5" xfId="2" applyFont="1" applyFill="1" applyBorder="1" applyAlignment="1" applyProtection="1">
      <alignment horizontal="centerContinuous" vertical="center"/>
    </xf>
    <xf numFmtId="0" fontId="9" fillId="0" borderId="3" xfId="2" applyFont="1" applyFill="1" applyBorder="1" applyAlignment="1" applyProtection="1">
      <alignment vertical="center"/>
    </xf>
    <xf numFmtId="0" fontId="9" fillId="0" borderId="0" xfId="2" applyFont="1" applyFill="1" applyBorder="1" applyAlignment="1" applyProtection="1">
      <alignment horizontal="centerContinuous" vertical="center"/>
    </xf>
    <xf numFmtId="0" fontId="9" fillId="0" borderId="1" xfId="2" applyFont="1" applyFill="1" applyBorder="1" applyAlignment="1">
      <alignment horizontal="centerContinuous" vertical="center"/>
    </xf>
    <xf numFmtId="0" fontId="9" fillId="0" borderId="1" xfId="2" applyFont="1" applyFill="1" applyBorder="1" applyAlignment="1">
      <alignment vertical="center"/>
    </xf>
    <xf numFmtId="0" fontId="9" fillId="0" borderId="1" xfId="2" applyFont="1" applyFill="1" applyBorder="1" applyAlignment="1">
      <alignment horizontal="center" vertical="center"/>
    </xf>
    <xf numFmtId="0" fontId="9" fillId="0" borderId="12" xfId="2" applyFont="1" applyFill="1" applyBorder="1" applyAlignment="1" applyProtection="1">
      <alignment horizontal="centerContinuous"/>
    </xf>
    <xf numFmtId="0" fontId="9" fillId="0" borderId="0" xfId="2" applyFont="1" applyFill="1" applyAlignment="1" applyProtection="1">
      <alignment horizontal="fill"/>
    </xf>
    <xf numFmtId="0" fontId="9" fillId="0" borderId="0" xfId="2" applyFont="1" applyFill="1" applyAlignment="1" applyProtection="1">
      <alignment vertical="center"/>
    </xf>
    <xf numFmtId="0" fontId="9" fillId="0" borderId="0" xfId="2" applyFont="1" applyFill="1" applyAlignment="1">
      <alignment horizontal="centerContinuous"/>
    </xf>
    <xf numFmtId="0" fontId="9" fillId="0" borderId="0" xfId="2" applyFont="1" applyFill="1" applyAlignment="1">
      <alignment horizontal="centerContinuous" vertical="center"/>
    </xf>
    <xf numFmtId="0" fontId="9" fillId="0" borderId="0" xfId="2" applyFont="1" applyFill="1" applyAlignment="1" applyProtection="1">
      <alignment horizontal="centerContinuous"/>
    </xf>
    <xf numFmtId="49" fontId="9" fillId="0" borderId="0" xfId="2" applyNumberFormat="1" applyFont="1" applyFill="1" applyAlignment="1">
      <alignment horizontal="right"/>
    </xf>
    <xf numFmtId="0" fontId="10" fillId="0" borderId="0" xfId="2" applyFont="1" applyFill="1" applyBorder="1" applyAlignment="1">
      <alignment horizontal="centerContinuous" vertical="center"/>
    </xf>
    <xf numFmtId="0" fontId="9" fillId="0" borderId="0" xfId="2" quotePrefix="1" applyFont="1" applyFill="1" applyAlignment="1">
      <alignment horizontal="center" vertical="center"/>
    </xf>
    <xf numFmtId="170" fontId="10" fillId="0" borderId="0" xfId="2" applyNumberFormat="1" applyFont="1" applyFill="1" applyBorder="1" applyAlignment="1">
      <alignment horizontal="centerContinuous" vertical="center"/>
    </xf>
    <xf numFmtId="0" fontId="9" fillId="0" borderId="0" xfId="2" applyFont="1" applyFill="1" applyBorder="1" applyAlignment="1">
      <alignment horizontal="centerContinuous" vertical="center"/>
    </xf>
    <xf numFmtId="0" fontId="9" fillId="0" borderId="0" xfId="2" applyFont="1" applyFill="1" applyBorder="1" applyAlignment="1" applyProtection="1">
      <alignment horizontal="left" vertical="center"/>
    </xf>
    <xf numFmtId="0" fontId="28" fillId="0" borderId="0" xfId="2" applyFont="1" applyFill="1"/>
    <xf numFmtId="0" fontId="10" fillId="0" borderId="2" xfId="0" applyFont="1" applyFill="1" applyBorder="1" applyAlignment="1">
      <alignment horizontal="centerContinuous" vertical="center"/>
    </xf>
    <xf numFmtId="0" fontId="10" fillId="0" borderId="34" xfId="0" applyFont="1" applyFill="1" applyBorder="1" applyAlignment="1" applyProtection="1">
      <alignment horizontal="left"/>
    </xf>
    <xf numFmtId="0" fontId="10" fillId="0" borderId="8" xfId="0" applyFont="1" applyFill="1" applyBorder="1" applyAlignment="1" applyProtection="1">
      <alignment horizontal="centerContinuous" vertical="center"/>
    </xf>
    <xf numFmtId="0" fontId="10" fillId="0" borderId="41" xfId="0" applyFont="1" applyFill="1" applyBorder="1" applyAlignment="1" applyProtection="1">
      <alignment horizontal="left"/>
    </xf>
    <xf numFmtId="171" fontId="9" fillId="0" borderId="4" xfId="0" applyNumberFormat="1" applyFont="1" applyFill="1" applyBorder="1" applyAlignment="1">
      <alignment horizontal="right"/>
    </xf>
    <xf numFmtId="0" fontId="15" fillId="0" borderId="2" xfId="2" applyFont="1" applyFill="1" applyBorder="1" applyAlignment="1" applyProtection="1">
      <alignment horizontal="center"/>
    </xf>
    <xf numFmtId="0" fontId="15" fillId="0" borderId="8" xfId="2" quotePrefix="1" applyFont="1" applyFill="1" applyBorder="1"/>
    <xf numFmtId="0" fontId="16" fillId="0" borderId="4" xfId="2" applyFont="1" applyFill="1" applyBorder="1" applyAlignment="1" applyProtection="1">
      <alignment horizontal="left" vertical="center"/>
    </xf>
    <xf numFmtId="179" fontId="9" fillId="0" borderId="35" xfId="0" applyNumberFormat="1" applyFont="1" applyFill="1" applyBorder="1" applyAlignment="1">
      <alignment vertical="center"/>
    </xf>
    <xf numFmtId="173" fontId="7" fillId="0" borderId="0" xfId="0" applyNumberFormat="1" applyFont="1" applyFill="1" applyAlignment="1">
      <alignment vertical="center"/>
    </xf>
    <xf numFmtId="173" fontId="9" fillId="0" borderId="0" xfId="0" applyNumberFormat="1" applyFont="1" applyFill="1"/>
    <xf numFmtId="169" fontId="9" fillId="0" borderId="19" xfId="0" applyNumberFormat="1" applyFont="1" applyFill="1" applyBorder="1" applyAlignment="1" applyProtection="1">
      <alignment horizontal="left" vertical="center"/>
    </xf>
    <xf numFmtId="169" fontId="10" fillId="0" borderId="2" xfId="0" applyNumberFormat="1" applyFont="1" applyFill="1" applyBorder="1" applyAlignment="1">
      <alignment vertical="center"/>
    </xf>
    <xf numFmtId="0" fontId="9" fillId="0" borderId="8" xfId="0" applyFont="1" applyFill="1" applyBorder="1" applyAlignment="1">
      <alignment horizontal="centerContinuous" vertical="center"/>
    </xf>
    <xf numFmtId="0" fontId="36" fillId="0" borderId="0" xfId="0" applyFont="1" applyFill="1" applyAlignment="1">
      <alignment vertical="center"/>
    </xf>
    <xf numFmtId="169" fontId="38" fillId="0" borderId="0" xfId="0" applyNumberFormat="1" applyFont="1" applyFill="1" applyBorder="1" applyAlignment="1" applyProtection="1">
      <alignment horizontal="centerContinuous"/>
    </xf>
    <xf numFmtId="0" fontId="9" fillId="0" borderId="4" xfId="2" quotePrefix="1" applyFont="1" applyFill="1" applyBorder="1" applyAlignment="1">
      <alignment vertical="center"/>
    </xf>
    <xf numFmtId="190" fontId="9" fillId="0" borderId="4" xfId="2" applyNumberFormat="1" applyFont="1" applyFill="1" applyBorder="1" applyAlignment="1">
      <alignment wrapText="1"/>
    </xf>
    <xf numFmtId="0" fontId="9" fillId="0" borderId="4" xfId="2" applyFont="1" applyFill="1" applyBorder="1"/>
    <xf numFmtId="191" fontId="9" fillId="0" borderId="3" xfId="2" applyNumberFormat="1" applyFont="1" applyFill="1" applyBorder="1" applyAlignment="1" applyProtection="1"/>
    <xf numFmtId="173" fontId="9" fillId="0" borderId="22" xfId="0" applyNumberFormat="1" applyFont="1" applyFill="1" applyBorder="1" applyAlignment="1" applyProtection="1">
      <alignment horizontal="right"/>
    </xf>
    <xf numFmtId="191" fontId="9" fillId="0" borderId="0" xfId="2" applyNumberFormat="1" applyFont="1" applyFill="1" applyBorder="1" applyAlignment="1" applyProtection="1"/>
    <xf numFmtId="185" fontId="9" fillId="0" borderId="3" xfId="0" applyNumberFormat="1" applyFont="1" applyFill="1" applyBorder="1" applyAlignment="1" applyProtection="1">
      <alignment horizontal="center" vertical="center"/>
    </xf>
    <xf numFmtId="169" fontId="9" fillId="0" borderId="3" xfId="0" applyNumberFormat="1" applyFont="1" applyFill="1" applyBorder="1" applyAlignment="1" applyProtection="1"/>
    <xf numFmtId="169" fontId="10" fillId="0" borderId="3" xfId="0" applyNumberFormat="1" applyFont="1" applyFill="1" applyBorder="1" applyAlignment="1" applyProtection="1">
      <alignment horizontal="right"/>
    </xf>
    <xf numFmtId="169" fontId="9" fillId="0" borderId="0" xfId="0" applyNumberFormat="1" applyFont="1" applyFill="1" applyBorder="1" applyAlignment="1">
      <alignment horizontal="right"/>
    </xf>
    <xf numFmtId="169" fontId="9" fillId="0" borderId="4" xfId="0" applyNumberFormat="1" applyFont="1" applyFill="1" applyBorder="1" applyAlignment="1">
      <alignment horizontal="right"/>
    </xf>
    <xf numFmtId="0" fontId="9" fillId="0" borderId="28" xfId="0" applyFont="1" applyFill="1" applyBorder="1" applyAlignment="1"/>
    <xf numFmtId="169" fontId="10" fillId="0" borderId="0" xfId="0" applyNumberFormat="1" applyFont="1" applyFill="1" applyBorder="1" applyAlignment="1" applyProtection="1"/>
    <xf numFmtId="169" fontId="9" fillId="0" borderId="11" xfId="0" applyNumberFormat="1" applyFont="1" applyFill="1" applyBorder="1" applyAlignment="1" applyProtection="1"/>
    <xf numFmtId="169" fontId="9" fillId="0" borderId="28" xfId="0" applyNumberFormat="1" applyFont="1" applyFill="1" applyBorder="1" applyAlignment="1"/>
    <xf numFmtId="169" fontId="9" fillId="0" borderId="11" xfId="0" applyNumberFormat="1" applyFont="1" applyFill="1" applyBorder="1" applyAlignment="1">
      <alignment horizontal="right"/>
    </xf>
    <xf numFmtId="169" fontId="9" fillId="0" borderId="3" xfId="0" applyNumberFormat="1" applyFont="1" applyFill="1" applyBorder="1" applyAlignment="1">
      <alignment horizontal="right"/>
    </xf>
    <xf numFmtId="169" fontId="9" fillId="0" borderId="28" xfId="0" applyNumberFormat="1" applyFont="1" applyFill="1" applyBorder="1" applyAlignment="1" applyProtection="1"/>
    <xf numFmtId="169" fontId="9" fillId="0" borderId="0" xfId="0" applyNumberFormat="1" applyFont="1" applyFill="1" applyBorder="1" applyAlignment="1"/>
    <xf numFmtId="169" fontId="9" fillId="0" borderId="4" xfId="0" applyNumberFormat="1" applyFont="1" applyFill="1" applyBorder="1" applyAlignment="1"/>
    <xf numFmtId="169" fontId="9" fillId="0" borderId="3" xfId="0" applyNumberFormat="1" applyFont="1" applyFill="1" applyBorder="1" applyAlignment="1"/>
    <xf numFmtId="169" fontId="9" fillId="0" borderId="18" xfId="0" applyNumberFormat="1" applyFont="1" applyFill="1" applyBorder="1" applyAlignment="1"/>
    <xf numFmtId="169" fontId="10" fillId="0" borderId="25" xfId="0" applyNumberFormat="1" applyFont="1" applyFill="1" applyBorder="1" applyAlignment="1"/>
    <xf numFmtId="169" fontId="9" fillId="0" borderId="25" xfId="0" applyNumberFormat="1" applyFont="1" applyFill="1" applyBorder="1" applyAlignment="1"/>
    <xf numFmtId="169" fontId="10" fillId="0" borderId="18" xfId="0" applyNumberFormat="1" applyFont="1" applyFill="1" applyBorder="1" applyAlignment="1"/>
    <xf numFmtId="0" fontId="9" fillId="0" borderId="18" xfId="0" applyFont="1" applyFill="1" applyBorder="1" applyAlignment="1"/>
    <xf numFmtId="0" fontId="9" fillId="0" borderId="26" xfId="0" applyFont="1" applyFill="1" applyBorder="1" applyAlignment="1"/>
    <xf numFmtId="169" fontId="9" fillId="0" borderId="10" xfId="0" applyNumberFormat="1" applyFont="1" applyFill="1" applyBorder="1" applyAlignment="1" applyProtection="1"/>
    <xf numFmtId="169" fontId="9" fillId="0" borderId="10" xfId="0" applyNumberFormat="1" applyFont="1" applyFill="1" applyBorder="1" applyAlignment="1"/>
    <xf numFmtId="169" fontId="9" fillId="0" borderId="1" xfId="0" applyNumberFormat="1" applyFont="1" applyFill="1" applyBorder="1" applyAlignment="1"/>
    <xf numFmtId="0" fontId="9" fillId="0" borderId="10" xfId="0" applyFont="1" applyFill="1" applyBorder="1" applyAlignment="1"/>
    <xf numFmtId="169" fontId="10" fillId="0" borderId="11" xfId="0" applyNumberFormat="1" applyFont="1" applyFill="1" applyBorder="1" applyAlignment="1" applyProtection="1"/>
    <xf numFmtId="173" fontId="9" fillId="0" borderId="17" xfId="0" applyNumberFormat="1" applyFont="1" applyFill="1" applyBorder="1" applyAlignment="1">
      <alignment horizontal="centerContinuous" vertical="center" wrapText="1"/>
    </xf>
    <xf numFmtId="176" fontId="9" fillId="0" borderId="33" xfId="0" applyNumberFormat="1" applyFont="1" applyFill="1" applyBorder="1" applyAlignment="1"/>
    <xf numFmtId="182" fontId="15" fillId="0" borderId="30" xfId="0" applyNumberFormat="1" applyFont="1" applyFill="1" applyBorder="1" applyAlignment="1" applyProtection="1">
      <alignment horizontal="center" vertical="center"/>
    </xf>
    <xf numFmtId="0" fontId="15" fillId="0" borderId="46" xfId="0" applyFont="1" applyFill="1" applyBorder="1"/>
    <xf numFmtId="0" fontId="15" fillId="0" borderId="34" xfId="0" applyFont="1" applyFill="1" applyBorder="1"/>
    <xf numFmtId="0" fontId="16" fillId="0" borderId="34" xfId="0" applyFont="1" applyFill="1" applyBorder="1" applyAlignment="1" applyProtection="1">
      <alignment horizontal="left"/>
    </xf>
    <xf numFmtId="0" fontId="16" fillId="0" borderId="34" xfId="0" applyFont="1" applyFill="1" applyBorder="1" applyAlignment="1" applyProtection="1">
      <alignment horizontal="left" vertical="top"/>
    </xf>
    <xf numFmtId="0" fontId="16" fillId="0" borderId="34" xfId="0" applyFont="1" applyFill="1" applyBorder="1" applyAlignment="1" applyProtection="1">
      <alignment vertical="center"/>
    </xf>
    <xf numFmtId="0" fontId="15" fillId="0" borderId="34" xfId="0" applyFont="1" applyFill="1" applyBorder="1" applyAlignment="1" applyProtection="1">
      <alignment horizontal="left"/>
    </xf>
    <xf numFmtId="0" fontId="15" fillId="0" borderId="47" xfId="0" applyFont="1" applyFill="1" applyBorder="1"/>
    <xf numFmtId="0" fontId="15" fillId="0" borderId="44" xfId="0" applyFont="1" applyFill="1" applyBorder="1"/>
    <xf numFmtId="169" fontId="10" fillId="0" borderId="7" xfId="0" applyNumberFormat="1" applyFont="1" applyFill="1" applyBorder="1" applyAlignment="1">
      <alignment horizontal="center" vertical="center"/>
    </xf>
    <xf numFmtId="169" fontId="9" fillId="0" borderId="7" xfId="0" applyNumberFormat="1" applyFont="1" applyFill="1" applyBorder="1" applyAlignment="1">
      <alignment horizontal="centerContinuous" vertical="center"/>
    </xf>
    <xf numFmtId="169" fontId="9" fillId="0" borderId="6" xfId="0" applyNumberFormat="1" applyFont="1" applyFill="1" applyBorder="1" applyAlignment="1">
      <alignment vertical="center"/>
    </xf>
    <xf numFmtId="169" fontId="9" fillId="0" borderId="7" xfId="0" applyNumberFormat="1" applyFont="1" applyFill="1" applyBorder="1" applyAlignment="1">
      <alignment vertical="center"/>
    </xf>
    <xf numFmtId="169" fontId="9" fillId="0" borderId="5" xfId="0" applyNumberFormat="1" applyFont="1" applyFill="1" applyBorder="1" applyAlignment="1">
      <alignment vertical="center"/>
    </xf>
    <xf numFmtId="0" fontId="10" fillId="0" borderId="0" xfId="0" applyFont="1" applyFill="1" applyBorder="1" applyAlignment="1">
      <alignment horizontal="center" vertical="center"/>
    </xf>
    <xf numFmtId="170" fontId="10" fillId="0" borderId="0" xfId="0" applyNumberFormat="1" applyFont="1" applyFill="1" applyBorder="1" applyAlignment="1">
      <alignment horizontal="center" vertical="center"/>
    </xf>
    <xf numFmtId="0" fontId="9" fillId="0" borderId="0" xfId="0" quotePrefix="1" applyFont="1" applyFill="1" applyAlignment="1">
      <alignment horizontal="center"/>
    </xf>
    <xf numFmtId="0" fontId="9" fillId="0" borderId="0" xfId="0" applyFont="1" applyFill="1" applyAlignment="1">
      <alignment horizontal="center"/>
    </xf>
    <xf numFmtId="0" fontId="10" fillId="0" borderId="0" xfId="0" applyFont="1" applyFill="1" applyAlignment="1">
      <alignment horizontal="center"/>
    </xf>
    <xf numFmtId="0" fontId="9" fillId="0" borderId="1" xfId="0" applyFont="1" applyFill="1" applyBorder="1" applyAlignment="1">
      <alignment horizontal="center"/>
    </xf>
    <xf numFmtId="0" fontId="10" fillId="0" borderId="1" xfId="0" applyFont="1" applyFill="1" applyBorder="1" applyAlignment="1">
      <alignment horizontal="center"/>
    </xf>
    <xf numFmtId="0" fontId="9" fillId="0" borderId="2" xfId="0" applyFont="1" applyFill="1" applyBorder="1" applyAlignment="1" applyProtection="1">
      <alignment horizontal="center"/>
    </xf>
    <xf numFmtId="0" fontId="9"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left" vertical="center"/>
    </xf>
    <xf numFmtId="0" fontId="37" fillId="0" borderId="0" xfId="0" applyFont="1" applyFill="1"/>
    <xf numFmtId="0" fontId="36" fillId="0" borderId="34"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173" fontId="9" fillId="0" borderId="4" xfId="0" applyNumberFormat="1" applyFont="1" applyFill="1" applyBorder="1" applyAlignment="1"/>
    <xf numFmtId="169" fontId="9" fillId="0" borderId="1" xfId="0" quotePrefix="1" applyNumberFormat="1" applyFont="1" applyFill="1" applyBorder="1" applyAlignment="1" applyProtection="1">
      <alignment horizontal="left" vertical="center"/>
    </xf>
    <xf numFmtId="0" fontId="9" fillId="0" borderId="7" xfId="2" applyFont="1" applyFill="1" applyBorder="1" applyAlignment="1">
      <alignment horizontal="center" vertical="center"/>
    </xf>
    <xf numFmtId="0" fontId="10" fillId="0" borderId="7" xfId="2" applyFont="1" applyFill="1" applyBorder="1" applyAlignment="1">
      <alignment horizontal="centerContinuous" vertical="center"/>
    </xf>
    <xf numFmtId="170" fontId="9" fillId="0" borderId="0" xfId="2" quotePrefix="1" applyNumberFormat="1" applyFont="1" applyFill="1" applyBorder="1" applyAlignment="1">
      <alignment horizontal="right" vertical="center"/>
    </xf>
    <xf numFmtId="0" fontId="36" fillId="0" borderId="0" xfId="0" applyFont="1" applyFill="1"/>
    <xf numFmtId="173" fontId="9" fillId="0" borderId="0" xfId="2" applyNumberFormat="1" applyFont="1" applyFill="1"/>
    <xf numFmtId="179" fontId="10" fillId="0" borderId="0" xfId="0" applyNumberFormat="1" applyFont="1" applyFill="1" applyAlignment="1">
      <alignment vertical="center"/>
    </xf>
    <xf numFmtId="173" fontId="39" fillId="0" borderId="0" xfId="0" applyNumberFormat="1" applyFont="1" applyFill="1" applyBorder="1" applyAlignment="1" applyProtection="1">
      <alignment horizontal="right" vertical="center"/>
    </xf>
    <xf numFmtId="176" fontId="9" fillId="0" borderId="0" xfId="0" applyNumberFormat="1" applyFont="1" applyFill="1" applyAlignment="1"/>
    <xf numFmtId="0" fontId="9" fillId="0" borderId="0" xfId="2" applyFont="1" applyFill="1" applyBorder="1"/>
    <xf numFmtId="169" fontId="9" fillId="0" borderId="0" xfId="2" quotePrefix="1" applyNumberFormat="1" applyFont="1" applyFill="1" applyAlignment="1">
      <alignment horizontal="right"/>
    </xf>
    <xf numFmtId="0" fontId="15" fillId="0" borderId="43" xfId="2" applyFont="1" applyFill="1" applyBorder="1" applyAlignment="1">
      <alignment horizontal="center"/>
    </xf>
    <xf numFmtId="0" fontId="15" fillId="0" borderId="4" xfId="2" applyFont="1" applyFill="1" applyBorder="1" applyAlignment="1">
      <alignment horizontal="center"/>
    </xf>
    <xf numFmtId="0" fontId="9" fillId="0" borderId="0" xfId="2" quotePrefix="1" applyFont="1" applyFill="1" applyBorder="1" applyAlignment="1">
      <alignment horizontal="center" vertical="center"/>
    </xf>
    <xf numFmtId="0" fontId="15" fillId="0" borderId="46" xfId="2" applyFont="1" applyFill="1" applyBorder="1" applyAlignment="1" applyProtection="1">
      <alignment horizontal="fill"/>
    </xf>
    <xf numFmtId="0" fontId="15" fillId="0" borderId="2" xfId="2" applyFont="1" applyFill="1" applyBorder="1" applyAlignment="1" applyProtection="1">
      <alignment horizontal="fill"/>
    </xf>
    <xf numFmtId="0" fontId="9" fillId="0" borderId="4" xfId="2" applyFont="1" applyFill="1" applyBorder="1" applyAlignment="1" applyProtection="1">
      <alignment horizontal="left" vertical="center"/>
    </xf>
    <xf numFmtId="173" fontId="9" fillId="0" borderId="0" xfId="2" applyNumberFormat="1" applyFont="1" applyFill="1" applyBorder="1"/>
    <xf numFmtId="0" fontId="16" fillId="0" borderId="44" xfId="2" applyFont="1" applyFill="1" applyBorder="1"/>
    <xf numFmtId="0" fontId="16" fillId="0" borderId="8" xfId="2" applyFont="1" applyFill="1" applyBorder="1"/>
    <xf numFmtId="0" fontId="18" fillId="0" borderId="0" xfId="2" applyFont="1" applyFill="1"/>
    <xf numFmtId="0" fontId="9" fillId="0" borderId="0" xfId="2" applyFont="1" applyFill="1" applyAlignment="1">
      <alignment horizontal="right"/>
    </xf>
    <xf numFmtId="0" fontId="10" fillId="0" borderId="0" xfId="2" applyFont="1" applyFill="1" applyBorder="1"/>
    <xf numFmtId="178" fontId="9" fillId="0" borderId="0" xfId="2" applyNumberFormat="1" applyFont="1" applyFill="1" applyBorder="1"/>
    <xf numFmtId="0" fontId="10" fillId="0" borderId="42" xfId="2" applyFont="1" applyFill="1" applyBorder="1" applyAlignment="1" applyProtection="1">
      <alignment horizontal="center" vertical="center"/>
    </xf>
    <xf numFmtId="0" fontId="16" fillId="0" borderId="25" xfId="2" applyFont="1" applyFill="1" applyBorder="1" applyAlignment="1" applyProtection="1">
      <alignment horizontal="left" vertical="center"/>
    </xf>
    <xf numFmtId="191" fontId="9" fillId="0" borderId="19" xfId="2" applyNumberFormat="1" applyFont="1" applyFill="1" applyBorder="1" applyAlignment="1" applyProtection="1"/>
    <xf numFmtId="173" fontId="9" fillId="0" borderId="29" xfId="0" applyNumberFormat="1" applyFont="1" applyFill="1" applyBorder="1" applyAlignment="1" applyProtection="1">
      <alignment horizontal="right"/>
    </xf>
    <xf numFmtId="173" fontId="9" fillId="0" borderId="25" xfId="0" applyNumberFormat="1" applyFont="1" applyFill="1" applyBorder="1" applyAlignment="1" applyProtection="1">
      <alignment horizontal="right"/>
    </xf>
    <xf numFmtId="173" fontId="9" fillId="0" borderId="18" xfId="0" applyNumberFormat="1" applyFont="1" applyFill="1" applyBorder="1" applyAlignment="1" applyProtection="1">
      <alignment horizontal="right"/>
    </xf>
    <xf numFmtId="173" fontId="9" fillId="0" borderId="48" xfId="0" applyNumberFormat="1" applyFont="1" applyFill="1" applyBorder="1" applyAlignment="1" applyProtection="1">
      <alignment horizontal="right"/>
    </xf>
    <xf numFmtId="0" fontId="9" fillId="0" borderId="3" xfId="2" applyFont="1" applyFill="1" applyBorder="1" applyAlignment="1" applyProtection="1">
      <alignment horizontal="left" vertical="center"/>
    </xf>
    <xf numFmtId="0" fontId="9" fillId="0" borderId="25" xfId="2" applyFont="1" applyFill="1" applyBorder="1" applyAlignment="1" applyProtection="1">
      <alignment horizontal="left" vertical="center"/>
    </xf>
    <xf numFmtId="0" fontId="15" fillId="0" borderId="8" xfId="2" applyFont="1" applyFill="1" applyBorder="1" applyAlignment="1">
      <alignment horizontal="center"/>
    </xf>
    <xf numFmtId="0" fontId="10" fillId="0" borderId="0" xfId="2" applyFont="1" applyFill="1" applyBorder="1" applyAlignment="1" applyProtection="1">
      <alignment horizontal="center" vertical="center"/>
    </xf>
    <xf numFmtId="0" fontId="16" fillId="0" borderId="0" xfId="2" applyFont="1" applyFill="1" applyBorder="1" applyAlignment="1" applyProtection="1">
      <alignment horizontal="left" vertical="center"/>
    </xf>
    <xf numFmtId="0" fontId="14" fillId="0" borderId="0" xfId="2" applyFont="1" applyFill="1" applyBorder="1" applyAlignment="1">
      <alignment horizontal="centerContinuous" vertical="center"/>
    </xf>
    <xf numFmtId="170" fontId="14" fillId="0" borderId="0" xfId="2" applyNumberFormat="1" applyFont="1" applyFill="1" applyBorder="1" applyAlignment="1">
      <alignment horizontal="centerContinuous" vertical="center"/>
    </xf>
    <xf numFmtId="0" fontId="15" fillId="0" borderId="0" xfId="2" quotePrefix="1" applyFont="1" applyFill="1" applyAlignment="1">
      <alignment horizontal="center"/>
    </xf>
    <xf numFmtId="0" fontId="8" fillId="0" borderId="0" xfId="2" applyFont="1" applyFill="1"/>
    <xf numFmtId="0" fontId="17" fillId="0" borderId="0" xfId="2" applyFont="1" applyFill="1" applyBorder="1" applyAlignment="1" applyProtection="1">
      <alignment horizontal="centerContinuous"/>
    </xf>
    <xf numFmtId="0" fontId="8" fillId="0" borderId="0" xfId="2" applyFont="1" applyFill="1" applyBorder="1" applyAlignment="1">
      <alignment horizontal="centerContinuous"/>
    </xf>
    <xf numFmtId="0" fontId="14" fillId="0" borderId="0" xfId="2" applyFont="1" applyFill="1" applyBorder="1" applyAlignment="1">
      <alignment horizontal="centerContinuous"/>
    </xf>
    <xf numFmtId="0" fontId="8" fillId="0" borderId="0" xfId="2" applyFont="1" applyFill="1" applyBorder="1"/>
    <xf numFmtId="0" fontId="8" fillId="0" borderId="18" xfId="2" applyFont="1" applyFill="1" applyBorder="1"/>
    <xf numFmtId="0" fontId="8" fillId="0" borderId="18" xfId="2" applyFont="1" applyFill="1" applyBorder="1" applyAlignment="1">
      <alignment vertical="center"/>
    </xf>
    <xf numFmtId="0" fontId="14" fillId="0" borderId="18" xfId="2" applyFont="1" applyFill="1" applyBorder="1" applyAlignment="1">
      <alignment vertical="center"/>
    </xf>
    <xf numFmtId="0" fontId="14" fillId="0" borderId="0" xfId="2" applyFont="1" applyFill="1" applyBorder="1"/>
    <xf numFmtId="0" fontId="9" fillId="0" borderId="11" xfId="2" applyFont="1" applyFill="1" applyBorder="1" applyAlignment="1" applyProtection="1">
      <alignment horizontal="centerContinuous"/>
    </xf>
    <xf numFmtId="0" fontId="9" fillId="0" borderId="3" xfId="2" applyFont="1" applyFill="1" applyBorder="1" applyAlignment="1" applyProtection="1">
      <alignment horizontal="centerContinuous"/>
    </xf>
    <xf numFmtId="0" fontId="10" fillId="0" borderId="2" xfId="2" applyFont="1" applyFill="1" applyBorder="1" applyAlignment="1" applyProtection="1">
      <alignment horizontal="fill"/>
    </xf>
    <xf numFmtId="0" fontId="9" fillId="0" borderId="1" xfId="2" applyFont="1" applyFill="1" applyBorder="1" applyAlignment="1" applyProtection="1">
      <alignment horizontal="fill"/>
    </xf>
    <xf numFmtId="0" fontId="10" fillId="0" borderId="0" xfId="2" applyFont="1" applyFill="1" applyBorder="1" applyAlignment="1" applyProtection="1">
      <alignment horizontal="centerContinuous" vertical="center"/>
    </xf>
    <xf numFmtId="0" fontId="10" fillId="0" borderId="1" xfId="2" applyFont="1" applyFill="1" applyBorder="1" applyAlignment="1" applyProtection="1">
      <alignment horizontal="fill"/>
    </xf>
    <xf numFmtId="0" fontId="9" fillId="0" borderId="2" xfId="2" applyFont="1" applyFill="1" applyBorder="1" applyAlignment="1" applyProtection="1">
      <alignment horizontal="fill"/>
    </xf>
    <xf numFmtId="0" fontId="10" fillId="0" borderId="4" xfId="2" applyFont="1" applyFill="1" applyBorder="1"/>
    <xf numFmtId="0" fontId="9" fillId="0" borderId="3" xfId="2" applyFont="1" applyFill="1" applyBorder="1"/>
    <xf numFmtId="0" fontId="10" fillId="0" borderId="3" xfId="2" applyFont="1" applyFill="1" applyBorder="1"/>
    <xf numFmtId="0" fontId="19" fillId="0" borderId="0" xfId="2" applyFont="1" applyFill="1" applyBorder="1" applyAlignment="1">
      <alignment horizontal="centerContinuous" vertical="center"/>
    </xf>
    <xf numFmtId="170" fontId="19" fillId="0" borderId="0" xfId="2" applyNumberFormat="1" applyFont="1" applyFill="1" applyBorder="1" applyAlignment="1">
      <alignment horizontal="centerContinuous" vertical="center"/>
    </xf>
    <xf numFmtId="170" fontId="18" fillId="0" borderId="0" xfId="2" quotePrefix="1" applyNumberFormat="1" applyFont="1" applyFill="1" applyBorder="1" applyAlignment="1">
      <alignment horizontal="right" vertical="center"/>
    </xf>
    <xf numFmtId="0" fontId="10" fillId="0" borderId="4" xfId="2" applyFont="1" applyFill="1" applyBorder="1" applyAlignment="1" applyProtection="1">
      <alignment horizontal="center"/>
    </xf>
    <xf numFmtId="0" fontId="9" fillId="0" borderId="3" xfId="2" applyFont="1" applyFill="1" applyBorder="1" applyAlignment="1" applyProtection="1">
      <alignment horizontal="center"/>
    </xf>
    <xf numFmtId="0" fontId="9" fillId="0" borderId="11" xfId="2" applyFont="1" applyFill="1" applyBorder="1" applyAlignment="1" applyProtection="1">
      <alignment horizontal="center"/>
    </xf>
    <xf numFmtId="0" fontId="10" fillId="0" borderId="3" xfId="2" applyFont="1" applyFill="1" applyBorder="1" applyAlignment="1" applyProtection="1">
      <alignment horizontal="center"/>
    </xf>
    <xf numFmtId="0" fontId="9" fillId="0" borderId="4" xfId="2" applyFont="1" applyFill="1" applyBorder="1" applyAlignment="1" applyProtection="1">
      <alignment horizontal="center"/>
    </xf>
    <xf numFmtId="0" fontId="9" fillId="0" borderId="22" xfId="2" applyFont="1" applyFill="1" applyBorder="1" applyAlignment="1" applyProtection="1">
      <alignment horizontal="center"/>
    </xf>
    <xf numFmtId="0" fontId="10" fillId="0" borderId="8" xfId="2" applyFont="1" applyFill="1" applyBorder="1"/>
    <xf numFmtId="167" fontId="9" fillId="0" borderId="7" xfId="2" applyNumberFormat="1" applyFont="1" applyFill="1" applyBorder="1"/>
    <xf numFmtId="0" fontId="9" fillId="0" borderId="11" xfId="2" applyFont="1" applyFill="1" applyBorder="1"/>
    <xf numFmtId="0" fontId="9" fillId="0" borderId="7" xfId="2" applyFont="1" applyFill="1" applyBorder="1"/>
    <xf numFmtId="0" fontId="9" fillId="0" borderId="8" xfId="2" applyFont="1" applyFill="1" applyBorder="1"/>
    <xf numFmtId="0" fontId="9" fillId="0" borderId="5" xfId="2" applyFont="1" applyFill="1" applyBorder="1" applyAlignment="1" applyProtection="1">
      <alignment horizontal="centerContinuous"/>
    </xf>
    <xf numFmtId="0" fontId="9" fillId="0" borderId="7" xfId="2" applyFont="1" applyFill="1" applyBorder="1" applyAlignment="1" applyProtection="1">
      <alignment horizontal="centerContinuous"/>
    </xf>
    <xf numFmtId="0" fontId="10" fillId="0" borderId="7" xfId="2" applyFont="1" applyFill="1" applyBorder="1"/>
    <xf numFmtId="0" fontId="9" fillId="0" borderId="5" xfId="2" applyFont="1" applyFill="1" applyBorder="1"/>
    <xf numFmtId="0" fontId="9" fillId="0" borderId="31" xfId="2" applyFont="1" applyFill="1" applyBorder="1"/>
    <xf numFmtId="0" fontId="10" fillId="0" borderId="4" xfId="2" applyFont="1" applyFill="1" applyBorder="1" applyAlignment="1" applyProtection="1">
      <alignment horizontal="center" vertical="top"/>
    </xf>
    <xf numFmtId="0" fontId="8" fillId="0" borderId="0" xfId="2" applyFont="1" applyFill="1" applyBorder="1" applyAlignment="1"/>
    <xf numFmtId="0" fontId="8" fillId="0" borderId="0" xfId="2" applyFont="1" applyFill="1" applyBorder="1" applyAlignment="1" applyProtection="1">
      <alignment horizontal="center"/>
    </xf>
    <xf numFmtId="0" fontId="14" fillId="0" borderId="0" xfId="2" applyFont="1" applyFill="1" applyBorder="1" applyAlignment="1" applyProtection="1">
      <alignment horizontal="centerContinuous"/>
    </xf>
    <xf numFmtId="0" fontId="8" fillId="0" borderId="0" xfId="2" applyFont="1" applyFill="1" applyBorder="1" applyAlignment="1" applyProtection="1">
      <alignment horizontal="center" vertical="center"/>
    </xf>
    <xf numFmtId="0" fontId="8" fillId="0" borderId="0" xfId="2" applyFont="1" applyFill="1" applyBorder="1" applyAlignment="1" applyProtection="1">
      <alignment horizontal="centerContinuous" vertical="center"/>
    </xf>
    <xf numFmtId="0" fontId="8" fillId="0" borderId="0" xfId="2" applyFont="1" applyFill="1" applyBorder="1" applyAlignment="1">
      <alignment horizontal="centerContinuous" vertical="center"/>
    </xf>
    <xf numFmtId="0" fontId="8" fillId="0" borderId="0" xfId="2" applyFont="1" applyFill="1" applyBorder="1" applyAlignment="1">
      <alignment horizontal="center"/>
    </xf>
    <xf numFmtId="0" fontId="8" fillId="0" borderId="0" xfId="2" applyFont="1" applyFill="1" applyBorder="1" applyAlignment="1" applyProtection="1">
      <alignment horizontal="fill"/>
    </xf>
    <xf numFmtId="0" fontId="14" fillId="0" borderId="0" xfId="2" applyFont="1" applyFill="1" applyBorder="1" applyAlignment="1" applyProtection="1">
      <alignment horizontal="fill"/>
    </xf>
    <xf numFmtId="0" fontId="8" fillId="0" borderId="0" xfId="2" applyFont="1" applyFill="1" applyBorder="1" applyAlignment="1" applyProtection="1">
      <alignment horizontal="centerContinuous"/>
    </xf>
    <xf numFmtId="0" fontId="10" fillId="0" borderId="4" xfId="2" applyFont="1" applyFill="1" applyBorder="1" applyAlignment="1" applyProtection="1">
      <alignment horizontal="center" vertical="center"/>
    </xf>
    <xf numFmtId="0" fontId="14" fillId="0" borderId="0" xfId="2" applyFont="1" applyFill="1" applyBorder="1" applyAlignment="1" applyProtection="1">
      <alignment horizontal="center"/>
    </xf>
    <xf numFmtId="0" fontId="14" fillId="0" borderId="0" xfId="2" applyFont="1" applyFill="1" applyBorder="1" applyAlignment="1" applyProtection="1">
      <alignment horizontal="center" vertical="center"/>
    </xf>
    <xf numFmtId="0" fontId="8" fillId="0" borderId="0" xfId="2" applyFont="1" applyFill="1" applyBorder="1" applyAlignment="1">
      <alignment vertical="center"/>
    </xf>
    <xf numFmtId="0" fontId="9" fillId="0" borderId="34" xfId="2" applyFont="1" applyFill="1" applyBorder="1" applyAlignment="1">
      <alignment horizontal="center"/>
    </xf>
    <xf numFmtId="173" fontId="15" fillId="0" borderId="8" xfId="2" applyNumberFormat="1" applyFont="1" applyFill="1" applyBorder="1"/>
    <xf numFmtId="173" fontId="15" fillId="0" borderId="7" xfId="2" applyNumberFormat="1" applyFont="1" applyFill="1" applyBorder="1"/>
    <xf numFmtId="173" fontId="15" fillId="0" borderId="6" xfId="2" applyNumberFormat="1" applyFont="1" applyFill="1" applyBorder="1"/>
    <xf numFmtId="0" fontId="10" fillId="0" borderId="41" xfId="2" applyFont="1" applyFill="1" applyBorder="1" applyAlignment="1" applyProtection="1">
      <alignment horizontal="center" vertical="center"/>
    </xf>
    <xf numFmtId="173" fontId="16" fillId="0" borderId="25" xfId="2" applyNumberFormat="1" applyFont="1" applyFill="1" applyBorder="1" applyAlignment="1" applyProtection="1">
      <alignment vertical="center"/>
    </xf>
    <xf numFmtId="0" fontId="8" fillId="0" borderId="0" xfId="2" applyFont="1" applyFill="1" applyAlignment="1">
      <alignment vertical="center"/>
    </xf>
    <xf numFmtId="173" fontId="16" fillId="0" borderId="0" xfId="2" applyNumberFormat="1" applyFont="1" applyFill="1" applyBorder="1" applyAlignment="1" applyProtection="1">
      <alignment vertical="center"/>
    </xf>
    <xf numFmtId="188" fontId="16" fillId="0" borderId="0" xfId="2" applyNumberFormat="1" applyFont="1" applyFill="1" applyBorder="1" applyAlignment="1" applyProtection="1">
      <alignment vertical="center"/>
    </xf>
    <xf numFmtId="173" fontId="16" fillId="0" borderId="0" xfId="2" applyNumberFormat="1" applyFont="1" applyFill="1" applyBorder="1" applyAlignment="1" applyProtection="1">
      <alignment horizontal="center" vertical="center"/>
    </xf>
    <xf numFmtId="173" fontId="16" fillId="0" borderId="0" xfId="2" applyNumberFormat="1" applyFont="1" applyFill="1" applyBorder="1" applyAlignment="1" applyProtection="1">
      <alignment horizontal="right" vertical="center"/>
    </xf>
    <xf numFmtId="187" fontId="16" fillId="0" borderId="0" xfId="2" applyNumberFormat="1" applyFont="1" applyFill="1" applyBorder="1" applyAlignment="1" applyProtection="1">
      <alignment horizontal="center" vertical="center"/>
    </xf>
    <xf numFmtId="173" fontId="10" fillId="0" borderId="0" xfId="2" applyNumberFormat="1" applyFont="1" applyFill="1" applyBorder="1" applyAlignment="1" applyProtection="1">
      <alignment horizontal="right" vertical="center"/>
    </xf>
    <xf numFmtId="0" fontId="14" fillId="0" borderId="0" xfId="2" applyFont="1" applyFill="1" applyAlignment="1">
      <alignment vertical="center"/>
    </xf>
    <xf numFmtId="188" fontId="8" fillId="0" borderId="0" xfId="2" applyNumberFormat="1" applyFont="1" applyFill="1" applyAlignment="1">
      <alignment vertical="center"/>
    </xf>
    <xf numFmtId="0" fontId="14" fillId="0" borderId="0" xfId="2" applyFont="1" applyFill="1"/>
    <xf numFmtId="173" fontId="8" fillId="0" borderId="0" xfId="2" applyNumberFormat="1" applyFont="1" applyFill="1"/>
    <xf numFmtId="0" fontId="8" fillId="0" borderId="0" xfId="2" applyFont="1" applyFill="1" applyBorder="1" applyAlignment="1" applyProtection="1">
      <alignment vertical="center"/>
    </xf>
    <xf numFmtId="0" fontId="9" fillId="0" borderId="0" xfId="2" applyFont="1" applyFill="1" applyAlignment="1"/>
    <xf numFmtId="49" fontId="9" fillId="0" borderId="0" xfId="0" applyNumberFormat="1" applyFont="1" applyFill="1" applyAlignment="1"/>
    <xf numFmtId="0" fontId="9" fillId="0" borderId="9" xfId="0" applyFont="1" applyFill="1" applyBorder="1" applyAlignment="1" applyProtection="1">
      <alignment horizontal="center" vertical="center"/>
    </xf>
    <xf numFmtId="0" fontId="9" fillId="0" borderId="11" xfId="0" applyFont="1" applyFill="1" applyBorder="1" applyAlignment="1" applyProtection="1">
      <alignment horizontal="centerContinuous" vertical="center"/>
    </xf>
    <xf numFmtId="0" fontId="10" fillId="0" borderId="6" xfId="0" applyFont="1" applyFill="1" applyBorder="1" applyAlignment="1" applyProtection="1">
      <alignment horizontal="centerContinuous" vertical="center"/>
    </xf>
    <xf numFmtId="0" fontId="9" fillId="0" borderId="0" xfId="0" quotePrefix="1" applyFont="1" applyFill="1" applyBorder="1" applyAlignment="1">
      <alignment horizontal="center" vertical="center"/>
    </xf>
    <xf numFmtId="0" fontId="9" fillId="0" borderId="43" xfId="0" applyFont="1" applyFill="1" applyBorder="1" applyAlignment="1" applyProtection="1">
      <alignment horizontal="center"/>
    </xf>
    <xf numFmtId="0" fontId="9" fillId="0" borderId="9" xfId="0" applyFont="1" applyFill="1" applyBorder="1" applyAlignment="1">
      <alignment horizontal="centerContinuous"/>
    </xf>
    <xf numFmtId="0" fontId="9" fillId="0" borderId="3" xfId="0" applyFont="1" applyFill="1" applyBorder="1" applyAlignment="1" applyProtection="1">
      <alignment horizontal="centerContinuous"/>
    </xf>
    <xf numFmtId="0" fontId="9" fillId="0" borderId="11" xfId="0" applyFont="1" applyFill="1" applyBorder="1" applyAlignment="1" applyProtection="1">
      <alignment horizontal="center"/>
    </xf>
    <xf numFmtId="0" fontId="10" fillId="0" borderId="4" xfId="0" applyFont="1" applyFill="1" applyBorder="1"/>
    <xf numFmtId="0" fontId="9" fillId="0" borderId="5" xfId="0" applyFont="1" applyFill="1" applyBorder="1"/>
    <xf numFmtId="0" fontId="9" fillId="0" borderId="3" xfId="0" applyFont="1" applyFill="1" applyBorder="1" applyAlignment="1">
      <alignment horizontal="centerContinuous"/>
    </xf>
    <xf numFmtId="170" fontId="14" fillId="0" borderId="0" xfId="0" applyNumberFormat="1" applyFont="1" applyFill="1" applyBorder="1" applyAlignment="1">
      <alignment horizontal="centerContinuous" vertical="center"/>
    </xf>
    <xf numFmtId="0" fontId="8" fillId="0" borderId="0" xfId="0" quotePrefix="1" applyFont="1" applyFill="1" applyAlignment="1">
      <alignment horizontal="center" vertical="center"/>
    </xf>
    <xf numFmtId="0" fontId="7" fillId="0" borderId="0" xfId="0" applyFont="1" applyFill="1" applyAlignment="1">
      <alignment horizontal="centerContinuous"/>
    </xf>
    <xf numFmtId="0" fontId="7" fillId="0" borderId="0" xfId="0" applyFont="1" applyFill="1" applyAlignment="1">
      <alignment horizontal="centerContinuous" vertical="center"/>
    </xf>
    <xf numFmtId="0" fontId="7" fillId="0" borderId="0" xfId="0" applyFont="1" applyFill="1" applyAlignment="1" applyProtection="1">
      <alignment horizontal="centerContinuous"/>
    </xf>
    <xf numFmtId="0" fontId="7" fillId="0" borderId="0" xfId="0" applyFont="1" applyFill="1" applyAlignment="1" applyProtection="1">
      <alignment horizontal="centerContinuous" vertical="center"/>
    </xf>
    <xf numFmtId="0" fontId="7" fillId="0" borderId="0" xfId="0" applyFont="1" applyFill="1" applyBorder="1" applyAlignment="1">
      <alignment vertical="center"/>
    </xf>
    <xf numFmtId="0" fontId="9" fillId="0" borderId="0" xfId="0" applyFont="1" applyFill="1" applyBorder="1" applyAlignment="1" applyProtection="1">
      <alignment vertical="center"/>
    </xf>
    <xf numFmtId="169" fontId="14" fillId="0" borderId="0" xfId="0" applyNumberFormat="1" applyFont="1" applyFill="1" applyAlignment="1">
      <alignment horizontal="centerContinuous"/>
    </xf>
    <xf numFmtId="0" fontId="14" fillId="0" borderId="0" xfId="0" applyFont="1" applyFill="1"/>
    <xf numFmtId="0" fontId="14" fillId="0" borderId="0" xfId="0" applyFont="1" applyFill="1" applyAlignment="1">
      <alignment horizontal="centerContinuous"/>
    </xf>
    <xf numFmtId="0" fontId="14" fillId="0" borderId="0" xfId="0" applyFont="1" applyFill="1" applyAlignment="1" applyProtection="1">
      <alignment horizontal="centerContinuous"/>
    </xf>
    <xf numFmtId="169" fontId="14" fillId="0" borderId="0" xfId="0" applyNumberFormat="1" applyFont="1" applyFill="1" applyAlignment="1" applyProtection="1">
      <alignment horizontal="centerContinuous"/>
    </xf>
    <xf numFmtId="169" fontId="8" fillId="0" borderId="0" xfId="0" applyNumberFormat="1" applyFont="1" applyFill="1" applyAlignment="1">
      <alignment vertical="center"/>
    </xf>
    <xf numFmtId="0" fontId="14" fillId="0" borderId="0" xfId="0" applyFont="1" applyFill="1" applyBorder="1" applyAlignment="1">
      <alignment vertical="center"/>
    </xf>
    <xf numFmtId="0" fontId="8" fillId="0" borderId="0" xfId="0" applyFont="1" applyFill="1" applyAlignment="1">
      <alignment horizontal="centerContinuous"/>
    </xf>
    <xf numFmtId="169" fontId="8" fillId="0" borderId="0" xfId="0" applyNumberFormat="1" applyFont="1" applyFill="1" applyAlignment="1">
      <alignment horizontal="centerContinuous"/>
    </xf>
    <xf numFmtId="0" fontId="8" fillId="0" borderId="0" xfId="0" applyFont="1" applyFill="1" applyAlignment="1" applyProtection="1">
      <alignment horizontal="fill"/>
    </xf>
    <xf numFmtId="169" fontId="8" fillId="0" borderId="0" xfId="0" applyNumberFormat="1" applyFont="1" applyFill="1" applyAlignment="1" applyProtection="1">
      <alignment horizontal="fill"/>
    </xf>
    <xf numFmtId="177" fontId="9" fillId="0" borderId="12" xfId="0" applyNumberFormat="1" applyFont="1" applyFill="1" applyBorder="1" applyAlignment="1" applyProtection="1">
      <alignment horizontal="centerContinuous"/>
    </xf>
    <xf numFmtId="177" fontId="9" fillId="0" borderId="3" xfId="0" applyNumberFormat="1" applyFont="1" applyFill="1" applyBorder="1" applyAlignment="1" applyProtection="1">
      <alignment horizontal="centerContinuous" vertical="center"/>
    </xf>
    <xf numFmtId="177" fontId="9" fillId="0" borderId="3" xfId="0" applyNumberFormat="1" applyFont="1" applyFill="1" applyBorder="1" applyAlignment="1" applyProtection="1">
      <alignment horizontal="fill" vertical="center"/>
    </xf>
    <xf numFmtId="177" fontId="10" fillId="0" borderId="3" xfId="0" applyNumberFormat="1" applyFont="1" applyFill="1" applyBorder="1" applyAlignment="1" applyProtection="1">
      <alignment horizontal="centerContinuous" vertical="center"/>
    </xf>
    <xf numFmtId="177" fontId="10" fillId="0" borderId="4" xfId="0" applyNumberFormat="1" applyFont="1" applyFill="1" applyBorder="1" applyAlignment="1">
      <alignment horizontal="centerContinuous" vertical="center"/>
    </xf>
    <xf numFmtId="177" fontId="9" fillId="0" borderId="3" xfId="0" applyNumberFormat="1" applyFont="1" applyFill="1" applyBorder="1" applyAlignment="1">
      <alignment horizontal="centerContinuous" vertical="center"/>
    </xf>
    <xf numFmtId="177" fontId="9" fillId="0" borderId="0" xfId="0" applyNumberFormat="1" applyFont="1" applyFill="1" applyBorder="1" applyAlignment="1" applyProtection="1">
      <alignment horizontal="centerContinuous"/>
    </xf>
    <xf numFmtId="177" fontId="9" fillId="0" borderId="4" xfId="0" applyNumberFormat="1" applyFont="1" applyFill="1" applyBorder="1" applyAlignment="1" applyProtection="1">
      <alignment horizontal="centerContinuous"/>
    </xf>
    <xf numFmtId="177" fontId="9" fillId="0" borderId="3" xfId="0" applyNumberFormat="1" applyFont="1" applyFill="1" applyBorder="1" applyAlignment="1">
      <alignment vertical="center"/>
    </xf>
    <xf numFmtId="177" fontId="10" fillId="0" borderId="3" xfId="0" applyNumberFormat="1" applyFont="1" applyFill="1" applyBorder="1" applyAlignment="1">
      <alignment horizontal="centerContinuous" vertical="center"/>
    </xf>
    <xf numFmtId="177" fontId="10" fillId="0" borderId="4" xfId="0" applyNumberFormat="1" applyFont="1" applyFill="1" applyBorder="1" applyAlignment="1" applyProtection="1">
      <alignment horizontal="centerContinuous" vertical="center"/>
    </xf>
    <xf numFmtId="177" fontId="9" fillId="0" borderId="5" xfId="0" applyNumberFormat="1" applyFont="1" applyFill="1" applyBorder="1" applyAlignment="1" applyProtection="1">
      <alignment horizontal="centerContinuous" vertical="center"/>
    </xf>
    <xf numFmtId="177" fontId="9" fillId="0" borderId="6" xfId="0" applyNumberFormat="1" applyFont="1" applyFill="1" applyBorder="1" applyAlignment="1">
      <alignment horizontal="centerContinuous"/>
    </xf>
    <xf numFmtId="177" fontId="9" fillId="0" borderId="8" xfId="0" applyNumberFormat="1" applyFont="1" applyFill="1" applyBorder="1" applyAlignment="1">
      <alignment horizontal="centerContinuous"/>
    </xf>
    <xf numFmtId="177" fontId="10" fillId="0" borderId="11" xfId="0" applyNumberFormat="1" applyFont="1" applyFill="1" applyBorder="1" applyAlignment="1">
      <alignment horizontal="centerContinuous" vertical="center"/>
    </xf>
    <xf numFmtId="177" fontId="9" fillId="0" borderId="1" xfId="0" applyNumberFormat="1" applyFont="1" applyFill="1" applyBorder="1" applyAlignment="1">
      <alignment horizontal="center" vertical="center"/>
    </xf>
    <xf numFmtId="177" fontId="9" fillId="0" borderId="4" xfId="0" applyNumberFormat="1" applyFont="1" applyFill="1" applyBorder="1" applyAlignment="1">
      <alignment horizontal="centerContinuous" vertical="center"/>
    </xf>
    <xf numFmtId="177" fontId="10" fillId="0" borderId="22" xfId="0" applyNumberFormat="1" applyFont="1" applyFill="1" applyBorder="1" applyAlignment="1">
      <alignment horizontal="centerContinuous" vertical="center"/>
    </xf>
    <xf numFmtId="177" fontId="9" fillId="0" borderId="9" xfId="0" applyNumberFormat="1" applyFont="1" applyFill="1" applyBorder="1" applyAlignment="1">
      <alignment vertical="center"/>
    </xf>
    <xf numFmtId="177" fontId="10" fillId="0" borderId="11" xfId="0" applyNumberFormat="1" applyFont="1" applyFill="1" applyBorder="1" applyAlignment="1" applyProtection="1">
      <alignment horizontal="centerContinuous" vertical="center"/>
    </xf>
    <xf numFmtId="177" fontId="9" fillId="0" borderId="3" xfId="0" applyNumberFormat="1" applyFont="1" applyFill="1" applyBorder="1" applyAlignment="1" applyProtection="1">
      <alignment horizontal="center" vertical="center"/>
    </xf>
    <xf numFmtId="177" fontId="9" fillId="0" borderId="11" xfId="0" applyNumberFormat="1" applyFont="1" applyFill="1" applyBorder="1" applyAlignment="1" applyProtection="1">
      <alignment horizontal="centerContinuous" vertical="center"/>
    </xf>
    <xf numFmtId="177" fontId="10" fillId="0" borderId="3" xfId="0" applyNumberFormat="1" applyFont="1" applyFill="1" applyBorder="1" applyAlignment="1" applyProtection="1">
      <alignment horizontal="center" vertical="center"/>
    </xf>
    <xf numFmtId="177" fontId="9" fillId="0" borderId="4" xfId="0" applyNumberFormat="1" applyFont="1" applyFill="1" applyBorder="1" applyAlignment="1" applyProtection="1">
      <alignment horizontal="center" vertical="center"/>
    </xf>
    <xf numFmtId="177" fontId="9" fillId="0" borderId="22" xfId="0" applyNumberFormat="1" applyFont="1" applyFill="1" applyBorder="1" applyAlignment="1" applyProtection="1">
      <alignment horizontal="centerContinuous" vertical="center"/>
    </xf>
    <xf numFmtId="177" fontId="9" fillId="0" borderId="11" xfId="0" applyNumberFormat="1" applyFont="1" applyFill="1" applyBorder="1" applyAlignment="1" applyProtection="1">
      <alignment horizontal="center" vertical="center"/>
    </xf>
    <xf numFmtId="177" fontId="9" fillId="0" borderId="11" xfId="0" applyNumberFormat="1" applyFont="1" applyFill="1" applyBorder="1" applyAlignment="1">
      <alignment horizontal="centerContinuous" vertical="center"/>
    </xf>
    <xf numFmtId="177" fontId="9" fillId="0" borderId="11" xfId="0" applyNumberFormat="1" applyFont="1" applyFill="1" applyBorder="1" applyAlignment="1" applyProtection="1">
      <alignment horizontal="fill" vertical="center"/>
    </xf>
    <xf numFmtId="177" fontId="9" fillId="0" borderId="11" xfId="0" applyNumberFormat="1" applyFont="1" applyFill="1" applyBorder="1" applyAlignment="1">
      <alignment vertical="center"/>
    </xf>
    <xf numFmtId="177" fontId="10" fillId="0" borderId="5" xfId="0" applyNumberFormat="1" applyFont="1" applyFill="1" applyBorder="1" applyAlignment="1" applyProtection="1">
      <alignment horizontal="centerContinuous" vertical="center"/>
    </xf>
    <xf numFmtId="177" fontId="9" fillId="0" borderId="7" xfId="0" applyNumberFormat="1" applyFont="1" applyFill="1" applyBorder="1" applyAlignment="1" applyProtection="1">
      <alignment horizontal="fill" vertical="center"/>
    </xf>
    <xf numFmtId="177" fontId="10" fillId="0" borderId="7" xfId="0" applyNumberFormat="1" applyFont="1" applyFill="1" applyBorder="1" applyAlignment="1" applyProtection="1">
      <alignment horizontal="center" vertical="center"/>
    </xf>
    <xf numFmtId="177" fontId="9" fillId="0" borderId="31" xfId="0" applyNumberFormat="1" applyFont="1" applyFill="1" applyBorder="1" applyAlignment="1" applyProtection="1">
      <alignment horizontal="centerContinuous" vertical="center"/>
    </xf>
    <xf numFmtId="169" fontId="8" fillId="0" borderId="0" xfId="0" applyNumberFormat="1" applyFont="1" applyFill="1" applyAlignment="1"/>
    <xf numFmtId="170" fontId="9" fillId="0" borderId="0" xfId="0" quotePrefix="1" applyNumberFormat="1" applyFont="1" applyFill="1" applyBorder="1" applyAlignment="1">
      <alignment horizontal="center" vertical="center"/>
    </xf>
    <xf numFmtId="0" fontId="4" fillId="0" borderId="0" xfId="0" applyFont="1" applyFill="1" applyAlignment="1">
      <alignment horizontal="centerContinuous"/>
    </xf>
    <xf numFmtId="0" fontId="2" fillId="0" borderId="0" xfId="0" applyFont="1" applyFill="1" applyAlignment="1">
      <alignment horizontal="centerContinuous"/>
    </xf>
    <xf numFmtId="169" fontId="10" fillId="0" borderId="0" xfId="0" applyNumberFormat="1" applyFont="1" applyFill="1" applyAlignment="1">
      <alignment horizontal="centerContinuous"/>
    </xf>
    <xf numFmtId="169" fontId="10" fillId="0" borderId="0" xfId="0" applyNumberFormat="1" applyFont="1" applyFill="1" applyAlignment="1" applyProtection="1">
      <alignment horizontal="centerContinuous"/>
    </xf>
    <xf numFmtId="0" fontId="10" fillId="0" borderId="0" xfId="0" applyFont="1" applyFill="1" applyAlignment="1" applyProtection="1">
      <alignment horizontal="centerContinuous"/>
    </xf>
    <xf numFmtId="0" fontId="9" fillId="0" borderId="8" xfId="0" applyFont="1" applyFill="1" applyBorder="1" applyAlignment="1" applyProtection="1">
      <alignment horizontal="centerContinuous" vertical="center"/>
    </xf>
    <xf numFmtId="169" fontId="10" fillId="0" borderId="0" xfId="0" applyNumberFormat="1" applyFont="1" applyFill="1"/>
    <xf numFmtId="0" fontId="15" fillId="0" borderId="0" xfId="0" quotePrefix="1" applyFont="1" applyFill="1" applyAlignment="1">
      <alignment horizontal="right"/>
    </xf>
    <xf numFmtId="0" fontId="8" fillId="0" borderId="18" xfId="0" applyFont="1" applyFill="1" applyBorder="1" applyAlignment="1">
      <alignment vertical="center"/>
    </xf>
    <xf numFmtId="0" fontId="14" fillId="0" borderId="18" xfId="0" applyFont="1" applyFill="1" applyBorder="1" applyAlignment="1">
      <alignment vertical="center"/>
    </xf>
    <xf numFmtId="0" fontId="8" fillId="0" borderId="18" xfId="0" applyFont="1" applyFill="1" applyBorder="1"/>
    <xf numFmtId="0" fontId="9" fillId="0" borderId="11" xfId="0" applyFont="1" applyFill="1" applyBorder="1" applyAlignment="1" applyProtection="1">
      <alignment horizontal="centerContinuous"/>
    </xf>
    <xf numFmtId="0" fontId="9" fillId="0" borderId="9" xfId="0" applyFont="1" applyFill="1" applyBorder="1" applyAlignment="1" applyProtection="1">
      <alignment horizontal="center"/>
    </xf>
    <xf numFmtId="0" fontId="9" fillId="0" borderId="2" xfId="0" applyFont="1" applyFill="1" applyBorder="1" applyAlignment="1" applyProtection="1">
      <alignment horizontal="fill"/>
    </xf>
    <xf numFmtId="0" fontId="22" fillId="0" borderId="0" xfId="0" applyFont="1" applyFill="1" applyAlignment="1">
      <alignment vertical="center"/>
    </xf>
    <xf numFmtId="0" fontId="22" fillId="0" borderId="0" xfId="0" applyFont="1" applyFill="1" applyBorder="1" applyAlignment="1">
      <alignment horizontal="center" vertical="center"/>
    </xf>
    <xf numFmtId="173" fontId="22" fillId="0" borderId="0" xfId="0" applyNumberFormat="1" applyFont="1" applyFill="1" applyBorder="1" applyAlignment="1">
      <alignment vertical="center"/>
    </xf>
    <xf numFmtId="181" fontId="35" fillId="0" borderId="0" xfId="0" applyNumberFormat="1" applyFont="1" applyFill="1" applyBorder="1" applyAlignment="1">
      <alignment vertical="center"/>
    </xf>
    <xf numFmtId="173" fontId="22" fillId="0" borderId="0" xfId="0" applyNumberFormat="1" applyFont="1" applyFill="1" applyAlignment="1">
      <alignment vertical="center"/>
    </xf>
    <xf numFmtId="0" fontId="22" fillId="0" borderId="0" xfId="0" applyFont="1" applyFill="1" applyBorder="1" applyAlignment="1" applyProtection="1">
      <alignment horizontal="left"/>
    </xf>
    <xf numFmtId="0" fontId="9" fillId="0" borderId="1" xfId="0" applyFont="1" applyFill="1" applyBorder="1" applyAlignment="1">
      <alignment horizontal="centerContinuous"/>
    </xf>
    <xf numFmtId="0" fontId="9" fillId="0" borderId="9" xfId="0" applyFont="1" applyFill="1" applyBorder="1" applyAlignment="1"/>
    <xf numFmtId="0" fontId="9" fillId="0" borderId="9" xfId="0" applyFont="1" applyFill="1" applyBorder="1" applyAlignment="1">
      <alignment horizontal="left"/>
    </xf>
    <xf numFmtId="0" fontId="9" fillId="0" borderId="33" xfId="0" applyFont="1" applyFill="1" applyBorder="1" applyAlignment="1">
      <alignment horizontal="center"/>
    </xf>
    <xf numFmtId="0" fontId="9" fillId="0" borderId="3" xfId="0" applyFont="1" applyFill="1" applyBorder="1" applyAlignment="1"/>
    <xf numFmtId="0" fontId="9" fillId="0" borderId="3" xfId="0" applyFont="1" applyFill="1" applyBorder="1" applyAlignment="1">
      <alignment horizontal="center"/>
    </xf>
    <xf numFmtId="0" fontId="9" fillId="0" borderId="22" xfId="0" applyFont="1" applyFill="1" applyBorder="1" applyAlignment="1">
      <alignment horizontal="center"/>
    </xf>
    <xf numFmtId="0" fontId="9" fillId="0" borderId="11" xfId="0" applyFont="1" applyFill="1" applyBorder="1" applyAlignment="1">
      <alignment horizontal="centerContinuous"/>
    </xf>
    <xf numFmtId="0" fontId="9" fillId="0" borderId="11" xfId="0" applyFont="1" applyFill="1" applyBorder="1" applyAlignment="1">
      <alignment horizontal="left"/>
    </xf>
    <xf numFmtId="0" fontId="9" fillId="0" borderId="31" xfId="0" applyFont="1" applyFill="1" applyBorder="1" applyAlignment="1">
      <alignment horizontal="center"/>
    </xf>
    <xf numFmtId="0" fontId="9" fillId="0" borderId="9" xfId="0" applyFont="1" applyFill="1" applyBorder="1" applyAlignment="1" applyProtection="1">
      <alignment horizontal="fill"/>
    </xf>
    <xf numFmtId="171" fontId="10" fillId="0" borderId="9" xfId="0" applyNumberFormat="1" applyFont="1" applyFill="1" applyBorder="1" applyAlignment="1" applyProtection="1">
      <alignment horizontal="center"/>
    </xf>
    <xf numFmtId="171" fontId="9" fillId="0" borderId="1" xfId="0" applyNumberFormat="1" applyFont="1" applyFill="1" applyBorder="1" applyAlignment="1" applyProtection="1">
      <alignment horizontal="center"/>
    </xf>
    <xf numFmtId="171" fontId="9" fillId="0" borderId="9" xfId="0" applyNumberFormat="1" applyFont="1" applyFill="1" applyBorder="1" applyAlignment="1">
      <alignment horizontal="center"/>
    </xf>
    <xf numFmtId="171" fontId="9" fillId="0" borderId="10" xfId="0" applyNumberFormat="1" applyFont="1" applyFill="1" applyBorder="1" applyAlignment="1" applyProtection="1">
      <alignment horizontal="center"/>
    </xf>
    <xf numFmtId="171" fontId="9" fillId="0" borderId="2" xfId="0" applyNumberFormat="1" applyFont="1" applyFill="1" applyBorder="1" applyAlignment="1" applyProtection="1">
      <alignment horizontal="center"/>
    </xf>
    <xf numFmtId="171" fontId="10" fillId="0" borderId="41" xfId="0" applyNumberFormat="1" applyFont="1" applyFill="1" applyBorder="1" applyAlignment="1">
      <alignment horizontal="right" vertical="center"/>
    </xf>
    <xf numFmtId="168" fontId="7" fillId="0" borderId="0" xfId="0" applyNumberFormat="1" applyFont="1" applyFill="1"/>
    <xf numFmtId="168" fontId="7" fillId="0" borderId="0" xfId="0" applyNumberFormat="1" applyFont="1" applyFill="1" applyBorder="1"/>
    <xf numFmtId="168" fontId="13" fillId="0" borderId="0" xfId="0" applyNumberFormat="1" applyFont="1" applyFill="1"/>
    <xf numFmtId="0" fontId="39" fillId="0" borderId="0" xfId="0" applyFont="1" applyFill="1" applyBorder="1" applyAlignment="1">
      <alignment horizontal="centerContinuous" vertical="center"/>
    </xf>
    <xf numFmtId="0" fontId="13" fillId="0" borderId="0" xfId="0" applyFont="1" applyFill="1" applyBorder="1" applyAlignment="1">
      <alignment horizontal="center" wrapText="1"/>
    </xf>
    <xf numFmtId="0" fontId="9" fillId="0" borderId="9" xfId="0" applyFont="1" applyFill="1" applyBorder="1" applyAlignment="1" applyProtection="1">
      <alignment horizontal="centerContinuous" vertical="center"/>
    </xf>
    <xf numFmtId="0" fontId="9" fillId="0" borderId="10" xfId="0" applyFont="1" applyFill="1" applyBorder="1" applyAlignment="1">
      <alignment horizontal="centerContinuous" vertical="center"/>
    </xf>
    <xf numFmtId="0" fontId="9" fillId="0" borderId="2" xfId="0" applyFont="1" applyFill="1" applyBorder="1" applyAlignment="1" applyProtection="1">
      <alignment horizontal="center" vertical="center"/>
    </xf>
    <xf numFmtId="176" fontId="9" fillId="0" borderId="7" xfId="0" applyNumberFormat="1" applyFont="1" applyFill="1" applyBorder="1" applyAlignment="1">
      <alignment vertical="center"/>
    </xf>
    <xf numFmtId="176" fontId="9" fillId="0" borderId="8" xfId="0" applyNumberFormat="1" applyFont="1" applyFill="1" applyBorder="1" applyAlignment="1">
      <alignment vertical="center"/>
    </xf>
    <xf numFmtId="176" fontId="9" fillId="0" borderId="6" xfId="0" applyNumberFormat="1" applyFont="1" applyFill="1" applyBorder="1" applyAlignment="1">
      <alignment vertical="center"/>
    </xf>
    <xf numFmtId="176" fontId="9" fillId="0" borderId="31" xfId="0" applyNumberFormat="1" applyFont="1" applyFill="1" applyBorder="1" applyAlignment="1">
      <alignment vertical="center"/>
    </xf>
    <xf numFmtId="166" fontId="9" fillId="0" borderId="0" xfId="0" applyNumberFormat="1" applyFont="1" applyFill="1" applyAlignment="1">
      <alignment vertical="center"/>
    </xf>
    <xf numFmtId="0" fontId="9" fillId="0" borderId="1" xfId="2" applyFont="1" applyFill="1" applyBorder="1" applyAlignment="1" applyProtection="1">
      <alignment horizontal="centerContinuous"/>
    </xf>
    <xf numFmtId="0" fontId="9" fillId="0" borderId="6" xfId="0" applyFont="1" applyFill="1" applyBorder="1" applyAlignment="1" applyProtection="1">
      <alignment horizontal="center" vertical="center"/>
    </xf>
    <xf numFmtId="173" fontId="40" fillId="0" borderId="0" xfId="0" applyNumberFormat="1" applyFont="1" applyFill="1" applyBorder="1" applyAlignment="1" applyProtection="1">
      <alignment horizontal="left" vertical="center"/>
    </xf>
    <xf numFmtId="169" fontId="21" fillId="0" borderId="7" xfId="0" quotePrefix="1" applyNumberFormat="1" applyFont="1" applyFill="1" applyBorder="1" applyAlignment="1">
      <alignment wrapText="1"/>
    </xf>
    <xf numFmtId="0" fontId="9" fillId="0" borderId="6" xfId="0" applyFont="1" applyFill="1" applyBorder="1" applyAlignment="1" applyProtection="1">
      <alignment horizontal="fill"/>
    </xf>
    <xf numFmtId="0" fontId="10" fillId="0" borderId="6" xfId="0" applyFont="1" applyFill="1" applyBorder="1" applyAlignment="1" applyProtection="1">
      <alignment horizontal="fill"/>
    </xf>
    <xf numFmtId="0" fontId="10" fillId="0" borderId="6" xfId="0" applyFont="1" applyFill="1" applyBorder="1" applyAlignment="1">
      <alignment horizontal="centerContinuous"/>
    </xf>
    <xf numFmtId="0" fontId="9" fillId="0" borderId="6" xfId="0" applyFont="1" applyFill="1" applyBorder="1" applyAlignment="1" applyProtection="1">
      <alignment horizontal="center"/>
    </xf>
    <xf numFmtId="0" fontId="10" fillId="0" borderId="6" xfId="0" applyFont="1" applyFill="1" applyBorder="1" applyAlignment="1">
      <alignment horizontal="centerContinuous" vertical="center"/>
    </xf>
    <xf numFmtId="169" fontId="21" fillId="0" borderId="7" xfId="0" quotePrefix="1" applyNumberFormat="1" applyFont="1" applyFill="1" applyBorder="1" applyAlignment="1">
      <alignment vertical="center" wrapText="1"/>
    </xf>
    <xf numFmtId="0" fontId="36" fillId="0" borderId="0" xfId="0" applyFont="1" applyAlignment="1">
      <alignment vertical="center"/>
    </xf>
    <xf numFmtId="0" fontId="15" fillId="0" borderId="4" xfId="2" applyFont="1" applyFill="1" applyBorder="1" applyAlignment="1" applyProtection="1">
      <alignment horizontal="fill"/>
    </xf>
    <xf numFmtId="173" fontId="16" fillId="0" borderId="3" xfId="2" applyNumberFormat="1" applyFont="1" applyFill="1" applyBorder="1" applyAlignment="1" applyProtection="1">
      <alignment horizontal="center"/>
    </xf>
    <xf numFmtId="173" fontId="15" fillId="0" borderId="0" xfId="2" applyNumberFormat="1" applyFont="1" applyFill="1" applyBorder="1" applyAlignment="1" applyProtection="1">
      <alignment horizontal="center"/>
    </xf>
    <xf numFmtId="173" fontId="15" fillId="0" borderId="3" xfId="2" applyNumberFormat="1" applyFont="1" applyFill="1" applyBorder="1" applyAlignment="1" applyProtection="1">
      <alignment horizontal="center"/>
    </xf>
    <xf numFmtId="173" fontId="16" fillId="0" borderId="19" xfId="2" applyNumberFormat="1" applyFont="1" applyFill="1" applyBorder="1" applyAlignment="1" applyProtection="1">
      <alignment horizontal="center"/>
    </xf>
    <xf numFmtId="173" fontId="15" fillId="0" borderId="18" xfId="2" applyNumberFormat="1" applyFont="1" applyFill="1" applyBorder="1" applyAlignment="1" applyProtection="1">
      <alignment horizontal="center"/>
    </xf>
    <xf numFmtId="173" fontId="15" fillId="0" borderId="19" xfId="2" applyNumberFormat="1" applyFont="1" applyFill="1" applyBorder="1" applyAlignment="1" applyProtection="1">
      <alignment horizontal="center"/>
    </xf>
    <xf numFmtId="0" fontId="15" fillId="0" borderId="25" xfId="2" applyFont="1" applyFill="1" applyBorder="1" applyAlignment="1" applyProtection="1">
      <alignment horizontal="fill"/>
    </xf>
    <xf numFmtId="0" fontId="15" fillId="0" borderId="0" xfId="2" applyFont="1" applyFill="1" applyBorder="1" applyAlignment="1" applyProtection="1">
      <alignment horizontal="fill"/>
    </xf>
    <xf numFmtId="173" fontId="16" fillId="0" borderId="0" xfId="2" applyNumberFormat="1" applyFont="1" applyFill="1" applyBorder="1" applyAlignment="1" applyProtection="1">
      <alignment horizontal="center"/>
    </xf>
    <xf numFmtId="0" fontId="10" fillId="0" borderId="27" xfId="0" applyFont="1" applyFill="1" applyBorder="1" applyAlignment="1" applyProtection="1">
      <alignment horizontal="center" vertical="center"/>
    </xf>
    <xf numFmtId="179" fontId="10" fillId="0" borderId="3" xfId="1" applyNumberFormat="1" applyFont="1" applyFill="1" applyBorder="1" applyAlignment="1" applyProtection="1">
      <alignment horizontal="right" vertical="center"/>
    </xf>
    <xf numFmtId="179" fontId="10" fillId="0" borderId="11" xfId="0" applyNumberFormat="1" applyFont="1" applyFill="1" applyBorder="1" applyAlignment="1" applyProtection="1">
      <alignment horizontal="right" vertical="center"/>
    </xf>
    <xf numFmtId="173" fontId="9" fillId="0" borderId="0" xfId="0" quotePrefix="1" applyNumberFormat="1" applyFont="1" applyFill="1" applyAlignment="1">
      <alignment horizontal="right" vertical="center"/>
    </xf>
    <xf numFmtId="173" fontId="15" fillId="0" borderId="32" xfId="0" applyNumberFormat="1" applyFont="1" applyFill="1" applyBorder="1" applyAlignment="1">
      <alignment vertical="center"/>
    </xf>
    <xf numFmtId="0" fontId="8" fillId="0" borderId="0" xfId="0" applyFont="1" applyFill="1" applyAlignment="1">
      <alignment horizontal="center"/>
    </xf>
    <xf numFmtId="0" fontId="15" fillId="0" borderId="0" xfId="0" quotePrefix="1" applyFont="1" applyFill="1" applyBorder="1" applyAlignment="1">
      <alignment horizontal="left"/>
    </xf>
    <xf numFmtId="0" fontId="11" fillId="0" borderId="0" xfId="0" applyFont="1" applyFill="1"/>
    <xf numFmtId="0" fontId="10" fillId="0" borderId="3" xfId="0" applyFont="1" applyFill="1" applyBorder="1" applyAlignment="1" applyProtection="1">
      <alignment horizontal="left" vertical="center"/>
    </xf>
    <xf numFmtId="0" fontId="17" fillId="0" borderId="0" xfId="0" applyFont="1" applyFill="1" applyAlignment="1" applyProtection="1">
      <alignment horizontal="centerContinuous"/>
    </xf>
    <xf numFmtId="0" fontId="24" fillId="0" borderId="0" xfId="0" applyFont="1" applyFill="1" applyAlignment="1" applyProtection="1">
      <alignment horizontal="centerContinuous"/>
    </xf>
    <xf numFmtId="0" fontId="17" fillId="0" borderId="0" xfId="0" applyFont="1" applyFill="1" applyAlignment="1" applyProtection="1">
      <alignment horizontal="center"/>
    </xf>
    <xf numFmtId="0" fontId="8" fillId="0" borderId="0" xfId="0" applyFont="1" applyFill="1" applyAlignment="1" applyProtection="1">
      <alignment horizontal="center"/>
    </xf>
    <xf numFmtId="177" fontId="10" fillId="0" borderId="0" xfId="0" applyNumberFormat="1" applyFont="1" applyFill="1" applyBorder="1" applyAlignment="1" applyProtection="1">
      <alignment horizontal="center" vertical="center"/>
    </xf>
    <xf numFmtId="0" fontId="8" fillId="0" borderId="0" xfId="0" applyFont="1" applyFill="1" applyAlignment="1">
      <alignment horizontal="center" vertical="center"/>
    </xf>
    <xf numFmtId="0" fontId="6" fillId="0" borderId="0" xfId="0" applyFont="1" applyFill="1" applyAlignment="1" applyProtection="1">
      <alignment horizontal="centerContinuous"/>
    </xf>
    <xf numFmtId="0" fontId="17" fillId="0" borderId="0" xfId="0" applyFont="1" applyFill="1" applyBorder="1" applyAlignment="1" applyProtection="1">
      <alignment horizontal="centerContinuous"/>
    </xf>
    <xf numFmtId="0" fontId="18" fillId="0" borderId="0" xfId="0" applyFont="1" applyFill="1"/>
    <xf numFmtId="0" fontId="19" fillId="0" borderId="0" xfId="0" applyFont="1" applyFill="1" applyBorder="1" applyAlignment="1">
      <alignment horizontal="centerContinuous" vertical="center"/>
    </xf>
    <xf numFmtId="170" fontId="19" fillId="0" borderId="0" xfId="0" applyNumberFormat="1" applyFont="1" applyFill="1" applyBorder="1" applyAlignment="1">
      <alignment horizontal="centerContinuous" vertical="center"/>
    </xf>
    <xf numFmtId="170" fontId="18" fillId="0" borderId="0" xfId="0" quotePrefix="1" applyNumberFormat="1" applyFont="1" applyFill="1" applyBorder="1" applyAlignment="1">
      <alignment horizontal="right" vertical="center"/>
    </xf>
    <xf numFmtId="0" fontId="31" fillId="0" borderId="0" xfId="0" applyFont="1" applyFill="1"/>
    <xf numFmtId="0" fontId="9" fillId="0" borderId="0" xfId="0" quotePrefix="1" applyFont="1" applyFill="1" applyAlignment="1">
      <alignment horizontal="right" vertical="top" wrapText="1"/>
    </xf>
    <xf numFmtId="170" fontId="8" fillId="0" borderId="0" xfId="0" quotePrefix="1" applyNumberFormat="1" applyFont="1" applyFill="1" applyBorder="1" applyAlignment="1">
      <alignment horizontal="right" vertical="center"/>
    </xf>
    <xf numFmtId="0" fontId="13" fillId="0" borderId="0" xfId="0" applyFont="1" applyFill="1" applyAlignment="1">
      <alignment horizontal="center" vertical="center"/>
    </xf>
    <xf numFmtId="0" fontId="9" fillId="0" borderId="34" xfId="0" applyFont="1" applyFill="1" applyBorder="1" applyAlignment="1" applyProtection="1">
      <alignment horizontal="centerContinuous"/>
    </xf>
    <xf numFmtId="0" fontId="8" fillId="0" borderId="0" xfId="0" applyFont="1" applyFill="1" applyBorder="1" applyAlignment="1" applyProtection="1">
      <alignment horizontal="left" vertical="center"/>
    </xf>
    <xf numFmtId="0" fontId="9" fillId="0" borderId="46" xfId="0" applyFont="1" applyFill="1" applyBorder="1" applyAlignment="1" applyProtection="1">
      <alignment horizontal="fill"/>
    </xf>
    <xf numFmtId="171" fontId="9" fillId="0" borderId="0" xfId="0" applyNumberFormat="1" applyFont="1" applyFill="1" applyBorder="1" applyAlignment="1" applyProtection="1">
      <alignment horizontal="center"/>
    </xf>
    <xf numFmtId="0" fontId="9" fillId="0" borderId="46" xfId="0" applyFont="1" applyFill="1" applyBorder="1" applyAlignment="1" applyProtection="1"/>
    <xf numFmtId="0" fontId="9" fillId="0" borderId="2" xfId="0" applyFont="1" applyFill="1" applyBorder="1" applyAlignment="1" applyProtection="1">
      <alignment horizontal="left"/>
    </xf>
    <xf numFmtId="0" fontId="10" fillId="0" borderId="34" xfId="0" applyFont="1" applyFill="1" applyBorder="1" applyAlignment="1" applyProtection="1">
      <alignment vertical="center"/>
    </xf>
    <xf numFmtId="0" fontId="9" fillId="0" borderId="42" xfId="0" applyFont="1" applyFill="1" applyBorder="1" applyAlignment="1" applyProtection="1"/>
    <xf numFmtId="183" fontId="7" fillId="0" borderId="28" xfId="0" applyNumberFormat="1" applyFont="1" applyFill="1" applyBorder="1" applyAlignment="1" applyProtection="1">
      <alignment horizontal="right"/>
    </xf>
    <xf numFmtId="183" fontId="7" fillId="0" borderId="26" xfId="0" applyNumberFormat="1" applyFont="1" applyFill="1" applyBorder="1" applyAlignment="1" applyProtection="1">
      <alignment horizontal="right"/>
    </xf>
    <xf numFmtId="183" fontId="7" fillId="0" borderId="30" xfId="0" applyNumberFormat="1" applyFont="1" applyFill="1" applyBorder="1" applyAlignment="1" applyProtection="1">
      <alignment horizontal="right"/>
    </xf>
    <xf numFmtId="0" fontId="15" fillId="0" borderId="0" xfId="0" applyFont="1" applyFill="1" applyBorder="1" applyAlignment="1">
      <alignment horizontal="left"/>
    </xf>
    <xf numFmtId="0" fontId="9" fillId="0" borderId="27"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0" xfId="2" quotePrefix="1" applyFont="1" applyFill="1"/>
    <xf numFmtId="179" fontId="9" fillId="0" borderId="11" xfId="0" applyNumberFormat="1" applyFont="1" applyFill="1" applyBorder="1" applyAlignment="1" applyProtection="1">
      <alignment horizontal="right" vertical="center"/>
    </xf>
    <xf numFmtId="179" fontId="9" fillId="0" borderId="9" xfId="0" applyNumberFormat="1" applyFont="1" applyFill="1" applyBorder="1" applyAlignment="1">
      <alignment vertical="center"/>
    </xf>
    <xf numFmtId="179" fontId="9" fillId="0" borderId="29" xfId="1" applyNumberFormat="1" applyFont="1" applyFill="1" applyBorder="1" applyAlignment="1" applyProtection="1">
      <alignment horizontal="right" vertical="center"/>
    </xf>
    <xf numFmtId="171" fontId="9" fillId="0" borderId="33" xfId="0" applyNumberFormat="1" applyFont="1" applyFill="1" applyBorder="1" applyAlignment="1" applyProtection="1">
      <alignment horizontal="center"/>
    </xf>
    <xf numFmtId="176" fontId="9" fillId="0" borderId="5" xfId="0" applyNumberFormat="1" applyFont="1" applyFill="1" applyBorder="1" applyAlignment="1">
      <alignment vertical="center"/>
    </xf>
    <xf numFmtId="173" fontId="15" fillId="0" borderId="7" xfId="2" applyNumberFormat="1" applyFont="1" applyFill="1" applyBorder="1" applyAlignment="1">
      <alignment horizontal="center"/>
    </xf>
    <xf numFmtId="173" fontId="16" fillId="0" borderId="26" xfId="2" applyNumberFormat="1" applyFont="1" applyFill="1" applyBorder="1" applyAlignment="1" applyProtection="1">
      <alignment vertical="center"/>
    </xf>
    <xf numFmtId="0" fontId="15" fillId="0" borderId="10" xfId="0" applyFont="1" applyFill="1" applyBorder="1" applyAlignment="1" applyProtection="1">
      <alignment horizontal="left" wrapText="1"/>
    </xf>
    <xf numFmtId="0" fontId="15" fillId="0" borderId="0" xfId="0" applyFont="1" applyFill="1" applyBorder="1" applyAlignment="1" applyProtection="1">
      <alignment horizontal="left" wrapText="1"/>
    </xf>
    <xf numFmtId="0" fontId="7" fillId="0" borderId="0" xfId="0" applyFont="1" applyFill="1" applyBorder="1" applyAlignment="1" applyProtection="1">
      <alignment horizontal="left" wrapText="1"/>
    </xf>
    <xf numFmtId="0" fontId="7" fillId="0" borderId="18" xfId="0" applyFont="1" applyFill="1" applyBorder="1" applyAlignment="1" applyProtection="1">
      <alignment horizontal="left" wrapText="1"/>
    </xf>
    <xf numFmtId="0" fontId="9" fillId="0" borderId="0" xfId="2" applyFont="1" applyFill="1" applyBorder="1" applyAlignment="1" applyProtection="1">
      <alignment wrapText="1"/>
    </xf>
    <xf numFmtId="0" fontId="9" fillId="0" borderId="27" xfId="0" applyFont="1" applyFill="1" applyBorder="1" applyAlignment="1">
      <alignment horizontal="center" vertical="center"/>
    </xf>
    <xf numFmtId="0" fontId="13" fillId="0" borderId="0" xfId="2" applyFont="1" applyFill="1" applyAlignment="1" applyProtection="1">
      <alignment horizontal="center"/>
    </xf>
    <xf numFmtId="173" fontId="9" fillId="0" borderId="28" xfId="0" applyNumberFormat="1" applyFont="1" applyFill="1" applyBorder="1" applyAlignment="1">
      <alignment horizontal="right"/>
    </xf>
    <xf numFmtId="173" fontId="9" fillId="0" borderId="3" xfId="0" applyNumberFormat="1" applyFont="1" applyFill="1" applyBorder="1"/>
    <xf numFmtId="173" fontId="9" fillId="0" borderId="28" xfId="0" applyNumberFormat="1" applyFont="1" applyFill="1" applyBorder="1"/>
    <xf numFmtId="173" fontId="10" fillId="0" borderId="45" xfId="0" applyNumberFormat="1" applyFont="1" applyFill="1" applyBorder="1" applyAlignment="1" applyProtection="1">
      <alignment vertical="center"/>
    </xf>
    <xf numFmtId="169" fontId="9" fillId="0" borderId="11" xfId="0" applyNumberFormat="1" applyFont="1" applyFill="1" applyBorder="1" applyAlignment="1" applyProtection="1">
      <alignment horizontal="right"/>
    </xf>
    <xf numFmtId="169" fontId="10" fillId="0" borderId="11" xfId="0" applyNumberFormat="1" applyFont="1" applyFill="1" applyBorder="1" applyAlignment="1">
      <alignment horizontal="right"/>
    </xf>
    <xf numFmtId="169" fontId="9" fillId="0" borderId="7" xfId="0" applyNumberFormat="1" applyFont="1" applyFill="1" applyBorder="1" applyAlignment="1" applyProtection="1"/>
    <xf numFmtId="169" fontId="9" fillId="0" borderId="6" xfId="0" applyNumberFormat="1" applyFont="1" applyFill="1" applyBorder="1" applyAlignment="1" applyProtection="1"/>
    <xf numFmtId="169" fontId="9" fillId="0" borderId="8" xfId="0" applyNumberFormat="1" applyFont="1" applyFill="1" applyBorder="1" applyAlignment="1" applyProtection="1"/>
    <xf numFmtId="169" fontId="9" fillId="0" borderId="21" xfId="0" applyNumberFormat="1" applyFont="1" applyFill="1" applyBorder="1" applyAlignment="1" applyProtection="1"/>
    <xf numFmtId="169" fontId="10" fillId="0" borderId="5" xfId="0" applyNumberFormat="1" applyFont="1" applyFill="1" applyBorder="1" applyAlignment="1" applyProtection="1"/>
    <xf numFmtId="179" fontId="10" fillId="0" borderId="11" xfId="0" applyNumberFormat="1" applyFont="1" applyFill="1" applyBorder="1" applyAlignment="1">
      <alignment horizontal="right" vertical="center"/>
    </xf>
    <xf numFmtId="173" fontId="9" fillId="0" borderId="22" xfId="0" applyNumberFormat="1" applyFont="1" applyFill="1" applyBorder="1" applyAlignment="1">
      <alignment vertical="center"/>
    </xf>
    <xf numFmtId="173" fontId="10" fillId="0" borderId="15" xfId="0" applyNumberFormat="1" applyFont="1" applyFill="1" applyBorder="1" applyAlignment="1">
      <alignment vertical="center"/>
    </xf>
    <xf numFmtId="176" fontId="9" fillId="0" borderId="9" xfId="0" applyNumberFormat="1" applyFont="1" applyFill="1" applyBorder="1" applyAlignment="1"/>
    <xf numFmtId="176" fontId="9" fillId="0" borderId="2" xfId="0" applyNumberFormat="1" applyFont="1" applyFill="1" applyBorder="1" applyAlignment="1"/>
    <xf numFmtId="176" fontId="9" fillId="0" borderId="10" xfId="0" applyNumberFormat="1" applyFont="1" applyFill="1" applyBorder="1" applyAlignment="1"/>
    <xf numFmtId="0" fontId="0" fillId="0" borderId="27" xfId="0" applyFill="1" applyBorder="1" applyAlignment="1">
      <alignment horizontal="center" vertical="center"/>
    </xf>
    <xf numFmtId="173" fontId="15" fillId="0" borderId="2" xfId="2" applyNumberFormat="1" applyFont="1" applyFill="1" applyBorder="1" applyAlignment="1" applyProtection="1"/>
    <xf numFmtId="173" fontId="15" fillId="0" borderId="32" xfId="2" applyNumberFormat="1" applyFont="1" applyFill="1" applyBorder="1" applyAlignment="1" applyProtection="1"/>
    <xf numFmtId="173" fontId="15" fillId="0" borderId="4" xfId="2" applyNumberFormat="1" applyFont="1" applyFill="1" applyBorder="1" applyAlignment="1" applyProtection="1"/>
    <xf numFmtId="173" fontId="15" fillId="0" borderId="28" xfId="2" applyNumberFormat="1" applyFont="1" applyFill="1" applyBorder="1" applyAlignment="1" applyProtection="1"/>
    <xf numFmtId="173" fontId="15" fillId="0" borderId="22" xfId="2" applyNumberFormat="1" applyFont="1" applyFill="1" applyBorder="1" applyAlignment="1" applyProtection="1"/>
    <xf numFmtId="0" fontId="9" fillId="0" borderId="4"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13" fillId="0" borderId="0" xfId="0" applyFont="1" applyFill="1" applyBorder="1" applyAlignment="1" applyProtection="1">
      <alignment horizontal="left" vertical="center"/>
    </xf>
    <xf numFmtId="0" fontId="9" fillId="0" borderId="27" xfId="0" applyFont="1" applyFill="1" applyBorder="1" applyAlignment="1">
      <alignment horizontal="center" vertical="center"/>
    </xf>
    <xf numFmtId="173" fontId="9" fillId="0" borderId="0" xfId="0" applyNumberFormat="1" applyFont="1" applyFill="1" applyBorder="1" applyAlignment="1">
      <alignment horizontal="right"/>
    </xf>
    <xf numFmtId="173" fontId="9" fillId="0" borderId="4" xfId="0" applyNumberFormat="1" applyFont="1" applyFill="1" applyBorder="1" applyAlignment="1">
      <alignment horizontal="right"/>
    </xf>
    <xf numFmtId="173" fontId="10" fillId="0" borderId="41" xfId="0" applyNumberFormat="1" applyFont="1" applyFill="1" applyBorder="1" applyAlignment="1" applyProtection="1">
      <alignment vertical="center"/>
    </xf>
    <xf numFmtId="173" fontId="10" fillId="0" borderId="14" xfId="0" applyNumberFormat="1" applyFont="1" applyFill="1" applyBorder="1" applyAlignment="1" applyProtection="1">
      <alignment vertical="center"/>
    </xf>
    <xf numFmtId="173" fontId="9" fillId="0" borderId="1" xfId="0" applyNumberFormat="1" applyFont="1" applyFill="1" applyBorder="1"/>
    <xf numFmtId="173" fontId="10" fillId="0" borderId="39" xfId="0" applyNumberFormat="1" applyFont="1" applyFill="1" applyBorder="1" applyAlignment="1" applyProtection="1">
      <alignment vertical="center"/>
    </xf>
    <xf numFmtId="173" fontId="10" fillId="0" borderId="11" xfId="0" applyNumberFormat="1" applyFont="1" applyFill="1" applyBorder="1"/>
    <xf numFmtId="173" fontId="10" fillId="0" borderId="11" xfId="0" applyNumberFormat="1" applyFont="1" applyFill="1" applyBorder="1" applyAlignment="1">
      <alignment horizontal="right"/>
    </xf>
    <xf numFmtId="173" fontId="10" fillId="0" borderId="9" xfId="0" applyNumberFormat="1" applyFont="1" applyFill="1" applyBorder="1" applyAlignment="1"/>
    <xf numFmtId="173" fontId="10" fillId="0" borderId="11" xfId="0" applyNumberFormat="1" applyFont="1" applyFill="1" applyBorder="1" applyAlignment="1"/>
    <xf numFmtId="173" fontId="10" fillId="0" borderId="5" xfId="0" applyNumberFormat="1" applyFont="1" applyFill="1" applyBorder="1" applyAlignment="1" applyProtection="1"/>
    <xf numFmtId="192" fontId="9" fillId="0" borderId="0" xfId="0" applyNumberFormat="1" applyFont="1" applyFill="1" applyBorder="1" applyAlignment="1">
      <alignment horizontal="right"/>
    </xf>
    <xf numFmtId="192" fontId="10" fillId="0" borderId="11" xfId="0" applyNumberFormat="1" applyFont="1" applyFill="1" applyBorder="1" applyAlignment="1">
      <alignment horizontal="right"/>
    </xf>
    <xf numFmtId="173" fontId="9" fillId="0" borderId="10" xfId="0" applyNumberFormat="1" applyFont="1" applyFill="1" applyBorder="1"/>
    <xf numFmtId="173" fontId="9" fillId="0" borderId="2" xfId="0" applyNumberFormat="1" applyFont="1" applyFill="1" applyBorder="1"/>
    <xf numFmtId="173" fontId="10" fillId="0" borderId="9" xfId="0" applyNumberFormat="1" applyFont="1" applyFill="1" applyBorder="1"/>
    <xf numFmtId="173" fontId="9" fillId="0" borderId="3" xfId="0" applyNumberFormat="1" applyFont="1" applyFill="1" applyBorder="1" applyAlignment="1" applyProtection="1">
      <alignment horizontal="right" vertical="center"/>
    </xf>
    <xf numFmtId="173" fontId="10" fillId="0" borderId="10" xfId="0" applyNumberFormat="1" applyFont="1" applyFill="1" applyBorder="1"/>
    <xf numFmtId="173" fontId="10" fillId="0" borderId="0" xfId="0" applyNumberFormat="1" applyFont="1" applyFill="1" applyBorder="1"/>
    <xf numFmtId="173" fontId="10" fillId="0" borderId="0" xfId="0" applyNumberFormat="1" applyFont="1" applyFill="1" applyBorder="1" applyAlignment="1">
      <alignment horizontal="right"/>
    </xf>
    <xf numFmtId="169" fontId="10" fillId="0" borderId="6" xfId="0" applyNumberFormat="1" applyFont="1" applyFill="1" applyBorder="1" applyAlignment="1" applyProtection="1">
      <alignment horizontal="right" vertical="top"/>
    </xf>
    <xf numFmtId="173" fontId="9" fillId="0" borderId="32" xfId="0" applyNumberFormat="1" applyFont="1" applyFill="1" applyBorder="1"/>
    <xf numFmtId="169" fontId="9" fillId="0" borderId="21" xfId="0" applyNumberFormat="1" applyFont="1" applyFill="1" applyBorder="1" applyAlignment="1" applyProtection="1">
      <alignment horizontal="right" vertical="top"/>
    </xf>
    <xf numFmtId="169" fontId="9" fillId="0" borderId="8" xfId="0" applyNumberFormat="1" applyFont="1" applyFill="1" applyBorder="1" applyAlignment="1" applyProtection="1">
      <alignment horizontal="right"/>
    </xf>
    <xf numFmtId="0" fontId="10" fillId="0" borderId="1" xfId="0" applyFont="1" applyFill="1" applyBorder="1" applyAlignment="1" applyProtection="1">
      <alignment horizontal="center" vertical="center"/>
    </xf>
    <xf numFmtId="0" fontId="9" fillId="0" borderId="4" xfId="0" applyFont="1" applyFill="1" applyBorder="1" applyAlignment="1" applyProtection="1">
      <alignment horizontal="left" vertical="top"/>
    </xf>
    <xf numFmtId="0" fontId="9" fillId="0" borderId="41" xfId="0" applyFont="1" applyFill="1" applyBorder="1" applyAlignment="1" applyProtection="1">
      <alignment horizontal="left" vertical="center"/>
    </xf>
    <xf numFmtId="0" fontId="20" fillId="0" borderId="4" xfId="0" applyFont="1" applyFill="1" applyBorder="1" applyAlignment="1" applyProtection="1">
      <alignment horizontal="left"/>
    </xf>
    <xf numFmtId="0" fontId="20" fillId="0" borderId="4" xfId="0" applyFont="1" applyFill="1" applyBorder="1" applyAlignment="1" applyProtection="1">
      <alignment horizontal="left" vertical="center"/>
    </xf>
    <xf numFmtId="169" fontId="10" fillId="0" borderId="4" xfId="0" applyNumberFormat="1" applyFont="1" applyFill="1" applyBorder="1" applyAlignment="1">
      <alignment vertical="center"/>
    </xf>
    <xf numFmtId="169" fontId="9" fillId="0" borderId="28" xfId="0" applyNumberFormat="1" applyFont="1" applyFill="1" applyBorder="1" applyAlignment="1">
      <alignment vertical="center"/>
    </xf>
    <xf numFmtId="169" fontId="10" fillId="0" borderId="29" xfId="0" applyNumberFormat="1" applyFont="1" applyFill="1" applyBorder="1" applyAlignment="1">
      <alignment horizontal="right" vertical="center"/>
    </xf>
    <xf numFmtId="169" fontId="9" fillId="0" borderId="29" xfId="0" applyNumberFormat="1" applyFont="1" applyFill="1" applyBorder="1" applyAlignment="1">
      <alignment horizontal="right" vertical="center"/>
    </xf>
    <xf numFmtId="169" fontId="9" fillId="0" borderId="28" xfId="0" applyNumberFormat="1" applyFont="1" applyFill="1" applyBorder="1" applyAlignment="1">
      <alignment horizontal="right"/>
    </xf>
    <xf numFmtId="169" fontId="9" fillId="0" borderId="29" xfId="0" applyNumberFormat="1" applyFont="1" applyFill="1" applyBorder="1" applyAlignment="1" applyProtection="1">
      <alignment vertical="center"/>
    </xf>
    <xf numFmtId="169" fontId="9" fillId="0" borderId="10" xfId="0" applyNumberFormat="1" applyFont="1" applyFill="1" applyBorder="1" applyAlignment="1">
      <alignment horizontal="centerContinuous" vertical="center"/>
    </xf>
    <xf numFmtId="169" fontId="10" fillId="0" borderId="10" xfId="0" applyNumberFormat="1" applyFont="1" applyFill="1" applyBorder="1" applyAlignment="1">
      <alignment vertical="center"/>
    </xf>
    <xf numFmtId="169" fontId="9" fillId="0" borderId="32" xfId="0" applyNumberFormat="1" applyFont="1" applyFill="1" applyBorder="1" applyAlignment="1">
      <alignment vertical="center"/>
    </xf>
    <xf numFmtId="169" fontId="9" fillId="0" borderId="2" xfId="0" applyNumberFormat="1" applyFont="1" applyFill="1" applyBorder="1" applyAlignment="1" applyProtection="1">
      <alignment horizontal="centerContinuous" vertical="center"/>
    </xf>
    <xf numFmtId="169" fontId="10" fillId="0" borderId="11" xfId="0" applyNumberFormat="1" applyFont="1" applyFill="1" applyBorder="1" applyAlignment="1">
      <alignment horizontal="center"/>
    </xf>
    <xf numFmtId="169" fontId="10" fillId="0" borderId="5" xfId="0" applyNumberFormat="1" applyFont="1" applyFill="1" applyBorder="1" applyAlignment="1" applyProtection="1">
      <alignment horizontal="right"/>
    </xf>
    <xf numFmtId="169" fontId="10" fillId="0" borderId="29" xfId="0" applyNumberFormat="1" applyFont="1" applyFill="1" applyBorder="1" applyAlignment="1">
      <alignment horizontal="center" vertical="center"/>
    </xf>
    <xf numFmtId="169" fontId="10" fillId="0" borderId="9" xfId="0" applyNumberFormat="1" applyFont="1" applyFill="1" applyBorder="1" applyAlignment="1" applyProtection="1">
      <alignment horizontal="center" vertical="center"/>
    </xf>
    <xf numFmtId="169" fontId="10" fillId="0" borderId="5" xfId="0" applyNumberFormat="1" applyFont="1" applyFill="1" applyBorder="1" applyAlignment="1">
      <alignment vertical="center"/>
    </xf>
    <xf numFmtId="169" fontId="10" fillId="0" borderId="9" xfId="0" applyNumberFormat="1" applyFont="1" applyFill="1" applyBorder="1" applyAlignment="1">
      <alignment horizontal="right" vertical="center"/>
    </xf>
    <xf numFmtId="169" fontId="9" fillId="0" borderId="9" xfId="0" applyNumberFormat="1" applyFont="1" applyFill="1" applyBorder="1" applyAlignment="1">
      <alignment horizontal="right" vertical="center"/>
    </xf>
    <xf numFmtId="169" fontId="9" fillId="0" borderId="29" xfId="0" applyNumberFormat="1" applyFont="1" applyFill="1" applyBorder="1" applyAlignment="1"/>
    <xf numFmtId="169" fontId="10" fillId="0" borderId="7" xfId="0" applyNumberFormat="1" applyFont="1" applyFill="1" applyBorder="1" applyAlignment="1">
      <alignment horizontal="centerContinuous" vertical="center"/>
    </xf>
    <xf numFmtId="169" fontId="10" fillId="0" borderId="31" xfId="0" applyNumberFormat="1" applyFont="1" applyFill="1" applyBorder="1" applyAlignment="1">
      <alignment vertical="center"/>
    </xf>
    <xf numFmtId="169" fontId="9" fillId="0" borderId="28" xfId="0" applyNumberFormat="1" applyFont="1" applyFill="1" applyBorder="1" applyAlignment="1" applyProtection="1">
      <alignment horizontal="center" vertical="center"/>
    </xf>
    <xf numFmtId="169" fontId="9" fillId="0" borderId="28" xfId="0" applyNumberFormat="1" applyFont="1" applyFill="1" applyBorder="1" applyAlignment="1">
      <alignment horizontal="center" vertical="center"/>
    </xf>
    <xf numFmtId="169" fontId="9" fillId="0" borderId="2" xfId="0" applyNumberFormat="1" applyFont="1" applyFill="1" applyBorder="1" applyAlignment="1" applyProtection="1">
      <alignment horizontal="center" vertical="center"/>
    </xf>
    <xf numFmtId="169" fontId="9" fillId="0" borderId="1" xfId="0" applyNumberFormat="1" applyFont="1" applyFill="1" applyBorder="1" applyAlignment="1" applyProtection="1">
      <alignment horizontal="centerContinuous" vertical="center"/>
    </xf>
    <xf numFmtId="0" fontId="9" fillId="0" borderId="10" xfId="0" applyFont="1" applyFill="1" applyBorder="1" applyAlignment="1" applyProtection="1">
      <alignment horizontal="centerContinuous" vertical="center"/>
    </xf>
    <xf numFmtId="169" fontId="10" fillId="0" borderId="10" xfId="0" applyNumberFormat="1" applyFont="1" applyFill="1" applyBorder="1" applyAlignment="1" applyProtection="1">
      <alignment horizontal="centerContinuous" vertical="center"/>
    </xf>
    <xf numFmtId="169" fontId="10" fillId="0" borderId="2" xfId="0" applyNumberFormat="1" applyFont="1" applyFill="1" applyBorder="1" applyAlignment="1" applyProtection="1">
      <alignment horizontal="centerContinuous" vertical="center"/>
    </xf>
    <xf numFmtId="169" fontId="10" fillId="0" borderId="11" xfId="0" applyNumberFormat="1" applyFont="1" applyFill="1" applyBorder="1" applyAlignment="1"/>
    <xf numFmtId="169" fontId="10" fillId="0" borderId="9" xfId="0" applyNumberFormat="1" applyFont="1" applyFill="1" applyBorder="1" applyAlignment="1" applyProtection="1"/>
    <xf numFmtId="169" fontId="9" fillId="0" borderId="29" xfId="0" applyNumberFormat="1" applyFont="1" applyFill="1" applyBorder="1" applyAlignment="1">
      <alignment vertical="center"/>
    </xf>
    <xf numFmtId="169" fontId="10" fillId="0" borderId="11" xfId="0" applyNumberFormat="1" applyFont="1" applyFill="1" applyBorder="1" applyAlignment="1" applyProtection="1">
      <alignment horizontal="center"/>
    </xf>
    <xf numFmtId="0" fontId="8" fillId="0" borderId="4" xfId="0" applyFont="1" applyFill="1" applyBorder="1"/>
    <xf numFmtId="0" fontId="8" fillId="0" borderId="3" xfId="0" applyFont="1" applyFill="1" applyBorder="1"/>
    <xf numFmtId="177" fontId="10" fillId="0" borderId="4" xfId="0" applyNumberFormat="1" applyFont="1" applyFill="1" applyBorder="1" applyAlignment="1" applyProtection="1">
      <alignment horizontal="center" vertical="center"/>
    </xf>
    <xf numFmtId="177" fontId="9" fillId="0" borderId="3" xfId="0" applyNumberFormat="1" applyFont="1" applyFill="1" applyBorder="1" applyAlignment="1" applyProtection="1">
      <alignment horizontal="center" vertical="top"/>
    </xf>
    <xf numFmtId="0" fontId="9" fillId="0" borderId="31" xfId="0" applyFont="1" applyFill="1" applyBorder="1" applyAlignment="1" applyProtection="1">
      <alignment horizontal="center" vertical="center"/>
    </xf>
    <xf numFmtId="176" fontId="10" fillId="0" borderId="1" xfId="0" applyNumberFormat="1" applyFont="1" applyFill="1" applyBorder="1" applyAlignment="1"/>
    <xf numFmtId="176" fontId="10" fillId="0" borderId="3" xfId="0" applyNumberFormat="1" applyFont="1" applyFill="1" applyBorder="1" applyAlignment="1"/>
    <xf numFmtId="176" fontId="10" fillId="0" borderId="4" xfId="0" applyNumberFormat="1" applyFont="1" applyFill="1" applyBorder="1" applyAlignment="1"/>
    <xf numFmtId="176" fontId="10" fillId="0" borderId="0" xfId="0" applyNumberFormat="1" applyFont="1" applyFill="1" applyBorder="1" applyAlignment="1"/>
    <xf numFmtId="170" fontId="9" fillId="0" borderId="1" xfId="0" applyNumberFormat="1" applyFont="1" applyFill="1" applyBorder="1" applyAlignment="1" applyProtection="1">
      <alignment horizontal="center" vertical="center"/>
    </xf>
    <xf numFmtId="170" fontId="9" fillId="0" borderId="3" xfId="0" applyNumberFormat="1" applyFont="1" applyFill="1" applyBorder="1" applyAlignment="1" applyProtection="1">
      <alignment horizontal="center" vertical="center"/>
    </xf>
    <xf numFmtId="170" fontId="10" fillId="0" borderId="14" xfId="0" applyNumberFormat="1" applyFont="1" applyFill="1" applyBorder="1" applyAlignment="1" applyProtection="1">
      <alignment horizontal="center"/>
    </xf>
    <xf numFmtId="170" fontId="10" fillId="0" borderId="15" xfId="0" applyNumberFormat="1" applyFont="1" applyFill="1" applyBorder="1" applyAlignment="1" applyProtection="1">
      <alignment horizontal="center"/>
    </xf>
    <xf numFmtId="170" fontId="9" fillId="0" borderId="22" xfId="0" applyNumberFormat="1" applyFont="1" applyFill="1" applyBorder="1" applyAlignment="1" applyProtection="1">
      <alignment horizontal="center"/>
    </xf>
    <xf numFmtId="170" fontId="9" fillId="0" borderId="3" xfId="0" applyNumberFormat="1" applyFont="1" applyFill="1" applyBorder="1" applyAlignment="1" applyProtection="1">
      <alignment horizontal="center"/>
    </xf>
    <xf numFmtId="170" fontId="10" fillId="0" borderId="0" xfId="0" applyNumberFormat="1" applyFont="1" applyFill="1" applyBorder="1" applyAlignment="1" applyProtection="1">
      <alignment horizontal="center"/>
    </xf>
    <xf numFmtId="0" fontId="15" fillId="0" borderId="35" xfId="0" applyFont="1" applyFill="1" applyBorder="1"/>
    <xf numFmtId="0" fontId="16" fillId="0" borderId="35" xfId="0" applyFont="1" applyFill="1" applyBorder="1" applyAlignment="1" applyProtection="1">
      <alignment horizontal="center" wrapText="1"/>
    </xf>
    <xf numFmtId="183" fontId="7" fillId="0" borderId="16" xfId="0" applyNumberFormat="1" applyFont="1" applyFill="1" applyBorder="1" applyAlignment="1" applyProtection="1">
      <alignment horizontal="right"/>
    </xf>
    <xf numFmtId="170" fontId="10" fillId="0" borderId="55" xfId="0" applyNumberFormat="1" applyFont="1" applyFill="1" applyBorder="1" applyAlignment="1" applyProtection="1">
      <alignment horizontal="center"/>
    </xf>
    <xf numFmtId="0" fontId="15" fillId="0" borderId="55" xfId="0" applyFont="1" applyFill="1" applyBorder="1"/>
    <xf numFmtId="0" fontId="16" fillId="0" borderId="55" xfId="0" applyFont="1" applyFill="1" applyBorder="1" applyAlignment="1" applyProtection="1">
      <alignment horizontal="center" wrapText="1"/>
    </xf>
    <xf numFmtId="0" fontId="16" fillId="0" borderId="40" xfId="0" applyFont="1" applyFill="1" applyBorder="1" applyAlignment="1" applyProtection="1">
      <alignment horizontal="center" vertical="center" wrapText="1"/>
    </xf>
    <xf numFmtId="0" fontId="15" fillId="0" borderId="47" xfId="0" applyFont="1" applyFill="1" applyBorder="1" applyAlignment="1">
      <alignment vertical="center"/>
    </xf>
    <xf numFmtId="0" fontId="33" fillId="0" borderId="40" xfId="0" applyFont="1" applyFill="1" applyBorder="1" applyAlignment="1" applyProtection="1">
      <alignment horizontal="center" vertical="center" wrapText="1"/>
    </xf>
    <xf numFmtId="0" fontId="10" fillId="0" borderId="27" xfId="0" applyFont="1" applyFill="1" applyBorder="1" applyAlignment="1">
      <alignment horizontal="center" vertical="center"/>
    </xf>
    <xf numFmtId="0" fontId="10" fillId="0" borderId="27" xfId="0" applyFont="1" applyFill="1" applyBorder="1" applyAlignment="1">
      <alignment horizontal="center" wrapText="1"/>
    </xf>
    <xf numFmtId="173" fontId="10" fillId="0" borderId="0" xfId="0" applyNumberFormat="1" applyFont="1" applyFill="1" applyBorder="1" applyAlignment="1">
      <alignment horizontal="right" vertical="center"/>
    </xf>
    <xf numFmtId="173" fontId="9" fillId="0" borderId="4" xfId="0" applyNumberFormat="1" applyFont="1" applyFill="1" applyBorder="1" applyAlignment="1">
      <alignment vertical="top"/>
    </xf>
    <xf numFmtId="181" fontId="9" fillId="0" borderId="25" xfId="0" applyNumberFormat="1" applyFont="1" applyFill="1" applyBorder="1" applyAlignment="1">
      <alignment vertical="top"/>
    </xf>
    <xf numFmtId="173" fontId="9" fillId="0" borderId="25" xfId="0" applyNumberFormat="1" applyFont="1" applyFill="1" applyBorder="1" applyAlignment="1">
      <alignment vertical="center"/>
    </xf>
    <xf numFmtId="173" fontId="9" fillId="0" borderId="0" xfId="0" applyNumberFormat="1" applyFont="1" applyFill="1" applyBorder="1" applyAlignment="1">
      <alignment horizontal="right" vertical="center"/>
    </xf>
    <xf numFmtId="173" fontId="9" fillId="0" borderId="25" xfId="0" applyNumberFormat="1" applyFont="1" applyFill="1" applyBorder="1" applyAlignment="1"/>
    <xf numFmtId="0" fontId="10" fillId="0" borderId="27" xfId="0" applyFont="1" applyFill="1" applyBorder="1" applyAlignment="1">
      <alignment horizontal="center" vertical="center" wrapText="1"/>
    </xf>
    <xf numFmtId="0" fontId="10" fillId="0" borderId="27" xfId="0" applyFont="1" applyFill="1" applyBorder="1" applyAlignment="1">
      <alignment vertical="center"/>
    </xf>
    <xf numFmtId="0" fontId="16" fillId="0" borderId="4" xfId="2" applyFont="1" applyFill="1" applyBorder="1" applyAlignment="1" applyProtection="1">
      <alignment horizontal="center"/>
    </xf>
    <xf numFmtId="0" fontId="16" fillId="0" borderId="4" xfId="2" applyFont="1" applyFill="1" applyBorder="1" applyAlignment="1">
      <alignment horizontal="center"/>
    </xf>
    <xf numFmtId="0" fontId="10" fillId="0" borderId="47" xfId="2" applyFont="1" applyFill="1" applyBorder="1" applyAlignment="1" applyProtection="1">
      <alignment vertical="center"/>
    </xf>
    <xf numFmtId="0" fontId="10" fillId="0" borderId="41" xfId="2" applyFont="1" applyFill="1" applyBorder="1" applyAlignment="1" applyProtection="1">
      <alignment vertical="center"/>
    </xf>
    <xf numFmtId="0" fontId="9" fillId="0" borderId="1" xfId="2" applyFont="1" applyFill="1" applyBorder="1" applyAlignment="1">
      <alignment horizontal="centerContinuous"/>
    </xf>
    <xf numFmtId="0" fontId="10" fillId="0" borderId="9" xfId="2" applyFont="1" applyFill="1" applyBorder="1" applyAlignment="1">
      <alignment horizontal="centerContinuous"/>
    </xf>
    <xf numFmtId="0" fontId="9" fillId="0" borderId="1" xfId="2" applyFont="1" applyFill="1" applyBorder="1" applyAlignment="1">
      <alignment horizontal="center"/>
    </xf>
    <xf numFmtId="0" fontId="9" fillId="0" borderId="3" xfId="2" applyFont="1" applyFill="1" applyBorder="1" applyAlignment="1">
      <alignment horizontal="centerContinuous"/>
    </xf>
    <xf numFmtId="0" fontId="10" fillId="0" borderId="11" xfId="2" applyFont="1" applyFill="1" applyBorder="1" applyAlignment="1">
      <alignment horizontal="centerContinuous"/>
    </xf>
    <xf numFmtId="0" fontId="9" fillId="0" borderId="3" xfId="2" applyFont="1" applyFill="1" applyBorder="1" applyAlignment="1"/>
    <xf numFmtId="0" fontId="10" fillId="0" borderId="9" xfId="2" applyFont="1" applyFill="1" applyBorder="1" applyAlignment="1" applyProtection="1">
      <alignment horizontal="centerContinuous"/>
    </xf>
    <xf numFmtId="0" fontId="10" fillId="0" borderId="11" xfId="2" applyFont="1" applyFill="1" applyBorder="1" applyAlignment="1" applyProtection="1">
      <alignment horizontal="centerContinuous"/>
    </xf>
    <xf numFmtId="0" fontId="9" fillId="0" borderId="31" xfId="2" applyFont="1" applyFill="1" applyBorder="1" applyAlignment="1">
      <alignment horizontal="center"/>
    </xf>
    <xf numFmtId="0" fontId="10" fillId="0" borderId="5" xfId="2" applyFont="1" applyFill="1" applyBorder="1" applyAlignment="1" applyProtection="1">
      <alignment horizontal="centerContinuous"/>
    </xf>
    <xf numFmtId="0" fontId="9" fillId="0" borderId="7" xfId="2" applyFont="1" applyFill="1" applyBorder="1" applyAlignment="1" applyProtection="1">
      <alignment horizontal="center"/>
    </xf>
    <xf numFmtId="170" fontId="9" fillId="0" borderId="3" xfId="2" applyNumberFormat="1" applyFont="1" applyFill="1" applyBorder="1" applyAlignment="1" applyProtection="1"/>
    <xf numFmtId="170" fontId="9" fillId="0" borderId="11" xfId="2" applyNumberFormat="1" applyFont="1" applyFill="1" applyBorder="1" applyAlignment="1" applyProtection="1"/>
    <xf numFmtId="170" fontId="9" fillId="0" borderId="0" xfId="2" applyNumberFormat="1" applyFont="1" applyFill="1" applyBorder="1" applyAlignment="1" applyProtection="1"/>
    <xf numFmtId="170" fontId="9" fillId="0" borderId="11" xfId="0" applyNumberFormat="1" applyFont="1" applyFill="1" applyBorder="1" applyAlignment="1" applyProtection="1"/>
    <xf numFmtId="170" fontId="9" fillId="0" borderId="4" xfId="0" applyNumberFormat="1" applyFont="1" applyFill="1" applyBorder="1" applyAlignment="1" applyProtection="1"/>
    <xf numFmtId="170" fontId="9" fillId="0" borderId="22" xfId="0" applyNumberFormat="1" applyFont="1" applyFill="1" applyBorder="1" applyAlignment="1" applyProtection="1"/>
    <xf numFmtId="170" fontId="9" fillId="0" borderId="0" xfId="0" applyNumberFormat="1" applyFont="1" applyFill="1" applyBorder="1" applyAlignment="1" applyProtection="1"/>
    <xf numFmtId="170" fontId="9" fillId="0" borderId="3" xfId="0" applyNumberFormat="1" applyFont="1" applyFill="1" applyBorder="1" applyAlignment="1" applyProtection="1"/>
    <xf numFmtId="170" fontId="9" fillId="0" borderId="4" xfId="2" applyNumberFormat="1" applyFont="1" applyFill="1" applyBorder="1" applyAlignment="1" applyProtection="1"/>
    <xf numFmtId="170" fontId="10" fillId="0" borderId="3" xfId="2" applyNumberFormat="1" applyFont="1" applyFill="1" applyBorder="1" applyAlignment="1" applyProtection="1"/>
    <xf numFmtId="170" fontId="10" fillId="0" borderId="4" xfId="0" applyNumberFormat="1" applyFont="1" applyFill="1" applyBorder="1" applyAlignment="1" applyProtection="1"/>
    <xf numFmtId="170" fontId="10" fillId="0" borderId="11" xfId="0" applyNumberFormat="1" applyFont="1" applyFill="1" applyBorder="1" applyAlignment="1" applyProtection="1"/>
    <xf numFmtId="173" fontId="16" fillId="0" borderId="2" xfId="2" applyNumberFormat="1" applyFont="1" applyFill="1" applyBorder="1" applyAlignment="1" applyProtection="1"/>
    <xf numFmtId="173" fontId="16" fillId="0" borderId="4" xfId="2" applyNumberFormat="1" applyFont="1" applyFill="1" applyBorder="1" applyAlignment="1" applyProtection="1"/>
    <xf numFmtId="173" fontId="16" fillId="0" borderId="3" xfId="2" applyNumberFormat="1" applyFont="1" applyFill="1" applyBorder="1" applyAlignment="1" applyProtection="1"/>
    <xf numFmtId="173" fontId="15" fillId="0" borderId="5" xfId="2" applyNumberFormat="1" applyFont="1" applyFill="1" applyBorder="1" applyAlignment="1"/>
    <xf numFmtId="173" fontId="15" fillId="0" borderId="5" xfId="2" applyNumberFormat="1" applyFont="1" applyFill="1" applyBorder="1" applyAlignment="1" applyProtection="1"/>
    <xf numFmtId="173" fontId="15" fillId="0" borderId="7" xfId="2" applyNumberFormat="1" applyFont="1" applyFill="1" applyBorder="1" applyAlignment="1"/>
    <xf numFmtId="173" fontId="15" fillId="0" borderId="31" xfId="2" applyNumberFormat="1" applyFont="1" applyFill="1" applyBorder="1"/>
    <xf numFmtId="179" fontId="10" fillId="0" borderId="0" xfId="0" applyNumberFormat="1" applyFont="1" applyFill="1" applyBorder="1" applyAlignment="1" applyProtection="1">
      <alignment horizontal="right"/>
    </xf>
    <xf numFmtId="179" fontId="10" fillId="0" borderId="28" xfId="0" applyNumberFormat="1" applyFont="1" applyFill="1" applyBorder="1" applyAlignment="1" applyProtection="1">
      <alignment horizontal="right"/>
    </xf>
    <xf numFmtId="179" fontId="9" fillId="0" borderId="0" xfId="0" applyNumberFormat="1" applyFont="1" applyFill="1" applyBorder="1" applyAlignment="1" applyProtection="1">
      <alignment horizontal="right"/>
    </xf>
    <xf numFmtId="179" fontId="9" fillId="0" borderId="28" xfId="0" applyNumberFormat="1" applyFont="1" applyFill="1" applyBorder="1" applyAlignment="1" applyProtection="1">
      <alignment horizontal="right"/>
    </xf>
    <xf numFmtId="179" fontId="9" fillId="0" borderId="28" xfId="0" applyNumberFormat="1" applyFont="1" applyFill="1" applyBorder="1" applyAlignment="1" applyProtection="1">
      <alignment horizontal="left"/>
    </xf>
    <xf numFmtId="179" fontId="9" fillId="0" borderId="0" xfId="2" applyNumberFormat="1" applyFont="1" applyBorder="1" applyAlignment="1"/>
    <xf numFmtId="179" fontId="10" fillId="0" borderId="28" xfId="0" applyNumberFormat="1" applyFont="1" applyFill="1" applyBorder="1" applyAlignment="1">
      <alignment vertical="center"/>
    </xf>
    <xf numFmtId="179" fontId="9" fillId="0" borderId="0" xfId="0" applyNumberFormat="1" applyFont="1" applyBorder="1" applyAlignment="1"/>
    <xf numFmtId="179" fontId="9" fillId="0" borderId="28" xfId="0" applyNumberFormat="1" applyFont="1" applyFill="1" applyBorder="1" applyAlignment="1">
      <alignment vertical="center"/>
    </xf>
    <xf numFmtId="179" fontId="9" fillId="0" borderId="11" xfId="0" applyNumberFormat="1" applyFont="1" applyFill="1" applyBorder="1" applyAlignment="1" applyProtection="1">
      <alignment horizontal="right"/>
    </xf>
    <xf numFmtId="179" fontId="9" fillId="0" borderId="26" xfId="0" applyNumberFormat="1" applyFont="1" applyFill="1" applyBorder="1" applyAlignment="1">
      <alignment vertical="center"/>
    </xf>
    <xf numFmtId="179" fontId="10" fillId="0" borderId="19" xfId="0" applyNumberFormat="1" applyFont="1" applyFill="1" applyBorder="1" applyAlignment="1">
      <alignment horizontal="right" vertical="center"/>
    </xf>
    <xf numFmtId="179" fontId="10" fillId="0" borderId="18" xfId="0" applyNumberFormat="1" applyFont="1" applyFill="1" applyBorder="1" applyAlignment="1">
      <alignment horizontal="right" vertical="center"/>
    </xf>
    <xf numFmtId="179" fontId="10" fillId="0" borderId="25" xfId="0" applyNumberFormat="1" applyFont="1" applyFill="1" applyBorder="1" applyAlignment="1">
      <alignment horizontal="right" vertical="center"/>
    </xf>
    <xf numFmtId="179" fontId="10" fillId="0" borderId="29" xfId="0" applyNumberFormat="1" applyFont="1" applyFill="1" applyBorder="1" applyAlignment="1">
      <alignment horizontal="right" vertical="center"/>
    </xf>
    <xf numFmtId="179" fontId="9" fillId="0" borderId="28" xfId="0" applyNumberFormat="1" applyFont="1" applyFill="1" applyBorder="1" applyAlignment="1">
      <alignment horizontal="right" vertical="center"/>
    </xf>
    <xf numFmtId="179" fontId="10" fillId="0" borderId="11" xfId="1" applyNumberFormat="1" applyFont="1" applyFill="1" applyBorder="1" applyAlignment="1" applyProtection="1">
      <alignment horizontal="right" vertical="center"/>
    </xf>
    <xf numFmtId="179" fontId="10" fillId="0" borderId="4" xfId="1" applyNumberFormat="1" applyFont="1" applyFill="1" applyBorder="1" applyAlignment="1" applyProtection="1">
      <alignment horizontal="right" vertical="center"/>
    </xf>
    <xf numFmtId="170" fontId="10" fillId="0" borderId="3" xfId="0" applyNumberFormat="1" applyFont="1" applyFill="1" applyBorder="1" applyAlignment="1" applyProtection="1"/>
    <xf numFmtId="0" fontId="9" fillId="0" borderId="4"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169" fontId="10" fillId="0" borderId="11" xfId="0" applyNumberFormat="1" applyFont="1" applyFill="1" applyBorder="1" applyAlignment="1">
      <alignment horizontal="center" vertical="center"/>
    </xf>
    <xf numFmtId="169" fontId="10" fillId="0" borderId="4" xfId="0" applyNumberFormat="1" applyFont="1" applyFill="1" applyBorder="1" applyAlignment="1">
      <alignment horizontal="center" vertical="center"/>
    </xf>
    <xf numFmtId="169" fontId="10" fillId="0" borderId="11" xfId="0" applyNumberFormat="1" applyFont="1" applyFill="1" applyBorder="1" applyAlignment="1" applyProtection="1">
      <alignment horizontal="center" vertical="center"/>
    </xf>
    <xf numFmtId="170" fontId="9" fillId="0" borderId="3" xfId="0" applyNumberFormat="1" applyFont="1" applyFill="1" applyBorder="1" applyAlignment="1" applyProtection="1">
      <alignment horizontal="centerContinuous" vertical="center"/>
    </xf>
    <xf numFmtId="0" fontId="10" fillId="0" borderId="3" xfId="0" applyFont="1" applyFill="1" applyBorder="1" applyAlignment="1" applyProtection="1">
      <alignment horizontal="fill" vertical="center"/>
    </xf>
    <xf numFmtId="0" fontId="10" fillId="0" borderId="11" xfId="0" applyFont="1" applyFill="1" applyBorder="1" applyAlignment="1">
      <alignment vertical="center"/>
    </xf>
    <xf numFmtId="0" fontId="10" fillId="0" borderId="3" xfId="0" applyFont="1" applyFill="1" applyBorder="1" applyAlignment="1">
      <alignment vertical="center"/>
    </xf>
    <xf numFmtId="0" fontId="9" fillId="0" borderId="22" xfId="0" applyFont="1" applyFill="1" applyBorder="1" applyAlignment="1" applyProtection="1">
      <alignment horizontal="center" vertical="center"/>
    </xf>
    <xf numFmtId="0" fontId="10" fillId="0" borderId="1" xfId="0" applyFont="1" applyFill="1" applyBorder="1" applyAlignment="1" applyProtection="1">
      <alignment horizontal="left"/>
    </xf>
    <xf numFmtId="0" fontId="10" fillId="0" borderId="27" xfId="0" applyFont="1" applyFill="1" applyBorder="1" applyAlignment="1" applyProtection="1">
      <alignment horizontal="center"/>
    </xf>
    <xf numFmtId="179" fontId="10" fillId="0" borderId="1" xfId="0" applyNumberFormat="1" applyFont="1" applyFill="1" applyBorder="1" applyAlignment="1" applyProtection="1">
      <alignment horizontal="right"/>
    </xf>
    <xf numFmtId="179" fontId="10" fillId="0" borderId="9" xfId="0" applyNumberFormat="1" applyFont="1" applyFill="1" applyBorder="1" applyAlignment="1" applyProtection="1">
      <alignment horizontal="right"/>
    </xf>
    <xf numFmtId="179" fontId="10" fillId="0" borderId="10" xfId="0" applyNumberFormat="1" applyFont="1" applyFill="1" applyBorder="1" applyAlignment="1" applyProtection="1">
      <alignment horizontal="right"/>
    </xf>
    <xf numFmtId="179" fontId="10" fillId="0" borderId="11" xfId="0" applyNumberFormat="1" applyFont="1" applyFill="1" applyBorder="1" applyAlignment="1" applyProtection="1">
      <alignment horizontal="right"/>
    </xf>
    <xf numFmtId="179" fontId="10" fillId="0" borderId="3" xfId="0" applyNumberFormat="1" applyFont="1" applyFill="1" applyBorder="1" applyAlignment="1" applyProtection="1">
      <alignment horizontal="right"/>
    </xf>
    <xf numFmtId="179" fontId="10" fillId="0" borderId="4" xfId="0" applyNumberFormat="1" applyFont="1" applyFill="1" applyBorder="1" applyAlignment="1" applyProtection="1">
      <alignment horizontal="right"/>
    </xf>
    <xf numFmtId="0" fontId="10" fillId="0" borderId="20" xfId="0" applyFont="1" applyFill="1" applyBorder="1" applyAlignment="1" applyProtection="1">
      <alignment horizontal="center"/>
    </xf>
    <xf numFmtId="0" fontId="9" fillId="0" borderId="27" xfId="0" applyFont="1" applyFill="1" applyBorder="1" applyAlignment="1">
      <alignment horizontal="center" vertical="center"/>
    </xf>
    <xf numFmtId="179" fontId="10" fillId="0" borderId="19" xfId="0" applyNumberFormat="1" applyFont="1" applyFill="1" applyBorder="1" applyAlignment="1" applyProtection="1">
      <alignment horizontal="right" vertical="center"/>
    </xf>
    <xf numFmtId="0" fontId="16" fillId="0" borderId="34" xfId="0" applyFont="1" applyFill="1" applyBorder="1" applyAlignment="1" applyProtection="1">
      <alignment horizontal="left" wrapText="1"/>
    </xf>
    <xf numFmtId="0" fontId="15" fillId="0" borderId="8" xfId="0" applyFont="1" applyFill="1" applyBorder="1" applyAlignment="1" applyProtection="1">
      <alignment horizontal="left" wrapText="1"/>
    </xf>
    <xf numFmtId="0" fontId="10" fillId="2" borderId="34" xfId="2" applyFont="1" applyFill="1" applyBorder="1" applyAlignment="1" applyProtection="1">
      <alignment horizontal="center" vertical="center"/>
    </xf>
    <xf numFmtId="0" fontId="15" fillId="2" borderId="4" xfId="2" applyFont="1" applyFill="1" applyBorder="1" applyAlignment="1" applyProtection="1">
      <alignment horizontal="fill"/>
    </xf>
    <xf numFmtId="0" fontId="9" fillId="2" borderId="4" xfId="2" applyFont="1" applyFill="1" applyBorder="1" applyAlignment="1" applyProtection="1">
      <alignment horizontal="left" vertical="center"/>
    </xf>
    <xf numFmtId="170" fontId="10" fillId="2" borderId="3" xfId="2" applyNumberFormat="1" applyFont="1" applyFill="1" applyBorder="1" applyAlignment="1" applyProtection="1"/>
    <xf numFmtId="170" fontId="9" fillId="2" borderId="11" xfId="2" applyNumberFormat="1" applyFont="1" applyFill="1" applyBorder="1" applyAlignment="1" applyProtection="1"/>
    <xf numFmtId="170" fontId="9" fillId="2" borderId="0" xfId="2" applyNumberFormat="1" applyFont="1" applyFill="1" applyBorder="1" applyAlignment="1" applyProtection="1"/>
    <xf numFmtId="170" fontId="9" fillId="2" borderId="3" xfId="2" applyNumberFormat="1" applyFont="1" applyFill="1" applyBorder="1" applyAlignment="1" applyProtection="1"/>
    <xf numFmtId="170" fontId="10" fillId="2" borderId="11" xfId="0" applyNumberFormat="1" applyFont="1" applyFill="1" applyBorder="1" applyAlignment="1" applyProtection="1"/>
    <xf numFmtId="170" fontId="9" fillId="2" borderId="11" xfId="0" applyNumberFormat="1" applyFont="1" applyFill="1" applyBorder="1" applyAlignment="1" applyProtection="1"/>
    <xf numFmtId="170" fontId="9" fillId="2" borderId="4" xfId="0" applyNumberFormat="1" applyFont="1" applyFill="1" applyBorder="1" applyAlignment="1" applyProtection="1"/>
    <xf numFmtId="170" fontId="9" fillId="2" borderId="22" xfId="0" applyNumberFormat="1" applyFont="1" applyFill="1" applyBorder="1" applyAlignment="1" applyProtection="1"/>
    <xf numFmtId="0" fontId="16" fillId="2" borderId="4" xfId="2" applyFont="1" applyFill="1" applyBorder="1" applyAlignment="1" applyProtection="1">
      <alignment horizontal="left" vertical="center"/>
    </xf>
    <xf numFmtId="0" fontId="9" fillId="2" borderId="0" xfId="2" applyFont="1" applyFill="1" applyBorder="1" applyAlignment="1" applyProtection="1">
      <alignment horizontal="left" vertical="center"/>
    </xf>
    <xf numFmtId="170" fontId="10" fillId="2" borderId="3" xfId="0" applyNumberFormat="1" applyFont="1" applyFill="1" applyBorder="1" applyAlignment="1" applyProtection="1">
      <alignment horizontal="center"/>
    </xf>
    <xf numFmtId="170" fontId="9" fillId="2" borderId="11" xfId="0" applyNumberFormat="1" applyFont="1" applyFill="1" applyBorder="1" applyAlignment="1" applyProtection="1">
      <alignment horizontal="center"/>
    </xf>
    <xf numFmtId="170" fontId="9" fillId="2" borderId="4" xfId="0" applyNumberFormat="1" applyFont="1" applyFill="1" applyBorder="1" applyAlignment="1" applyProtection="1">
      <alignment horizontal="center"/>
    </xf>
    <xf numFmtId="170" fontId="9" fillId="2" borderId="3" xfId="0" applyNumberFormat="1" applyFont="1" applyFill="1" applyBorder="1" applyAlignment="1" applyProtection="1">
      <alignment horizontal="center"/>
    </xf>
    <xf numFmtId="170" fontId="9" fillId="2" borderId="22" xfId="0" applyNumberFormat="1" applyFont="1" applyFill="1" applyBorder="1" applyAlignment="1" applyProtection="1">
      <alignment horizontal="center"/>
    </xf>
    <xf numFmtId="0" fontId="9" fillId="2" borderId="4" xfId="2" applyFont="1" applyFill="1" applyBorder="1"/>
    <xf numFmtId="190" fontId="9" fillId="2" borderId="4" xfId="2" applyNumberFormat="1" applyFont="1" applyFill="1" applyBorder="1" applyAlignment="1">
      <alignment wrapText="1"/>
    </xf>
    <xf numFmtId="0" fontId="9" fillId="0" borderId="0" xfId="0" applyFont="1" applyFill="1" applyBorder="1" applyAlignment="1" applyProtection="1">
      <alignment horizontal="center" vertical="center"/>
    </xf>
    <xf numFmtId="169" fontId="16" fillId="0" borderId="3" xfId="0" applyNumberFormat="1" applyFont="1" applyFill="1" applyBorder="1" applyAlignment="1" applyProtection="1">
      <alignment horizontal="left" vertical="center"/>
    </xf>
    <xf numFmtId="169" fontId="16" fillId="0" borderId="11" xfId="0" applyNumberFormat="1" applyFont="1" applyFill="1" applyBorder="1" applyAlignment="1" applyProtection="1"/>
    <xf numFmtId="169" fontId="16" fillId="0" borderId="0" xfId="0" applyNumberFormat="1" applyFont="1" applyFill="1" applyBorder="1" applyAlignment="1" applyProtection="1"/>
    <xf numFmtId="169" fontId="16" fillId="0" borderId="4" xfId="0" applyNumberFormat="1" applyFont="1" applyFill="1" applyBorder="1" applyAlignment="1" applyProtection="1"/>
    <xf numFmtId="169" fontId="16" fillId="0" borderId="28" xfId="0" applyNumberFormat="1" applyFont="1" applyFill="1" applyBorder="1" applyAlignment="1" applyProtection="1"/>
    <xf numFmtId="169" fontId="15" fillId="0" borderId="3" xfId="0" applyNumberFormat="1" applyFont="1" applyFill="1" applyBorder="1" applyAlignment="1">
      <alignment vertical="center"/>
    </xf>
    <xf numFmtId="169" fontId="16" fillId="0" borderId="3" xfId="0" applyNumberFormat="1" applyFont="1" applyFill="1" applyBorder="1" applyAlignment="1" applyProtection="1"/>
    <xf numFmtId="186" fontId="16" fillId="0" borderId="11" xfId="0" applyNumberFormat="1" applyFont="1" applyFill="1" applyBorder="1" applyAlignment="1" applyProtection="1">
      <alignment horizontal="center"/>
    </xf>
    <xf numFmtId="0" fontId="15" fillId="0" borderId="0" xfId="0" applyFont="1" applyFill="1" applyBorder="1" applyAlignment="1"/>
    <xf numFmtId="0" fontId="15" fillId="0" borderId="28" xfId="0" applyFont="1" applyFill="1" applyBorder="1" applyAlignment="1"/>
    <xf numFmtId="169" fontId="15" fillId="0" borderId="3" xfId="0" applyNumberFormat="1" applyFont="1" applyFill="1" applyBorder="1" applyAlignment="1" applyProtection="1">
      <alignment horizontal="left" vertical="center"/>
    </xf>
    <xf numFmtId="169" fontId="15" fillId="0" borderId="0" xfId="0" applyNumberFormat="1" applyFont="1" applyFill="1" applyBorder="1" applyAlignment="1" applyProtection="1"/>
    <xf numFmtId="169" fontId="15" fillId="0" borderId="4" xfId="0" applyNumberFormat="1" applyFont="1" applyFill="1" applyBorder="1" applyAlignment="1" applyProtection="1"/>
    <xf numFmtId="169" fontId="15" fillId="0" borderId="28" xfId="0" applyNumberFormat="1" applyFont="1" applyFill="1" applyBorder="1" applyAlignment="1" applyProtection="1"/>
    <xf numFmtId="169" fontId="15" fillId="0" borderId="11" xfId="0" applyNumberFormat="1" applyFont="1" applyFill="1" applyBorder="1" applyAlignment="1" applyProtection="1"/>
    <xf numFmtId="169" fontId="15" fillId="0" borderId="3" xfId="0" applyNumberFormat="1" applyFont="1" applyFill="1" applyBorder="1" applyAlignment="1" applyProtection="1"/>
    <xf numFmtId="0" fontId="9" fillId="0" borderId="27" xfId="0" applyFont="1" applyFill="1" applyBorder="1" applyAlignment="1">
      <alignment horizontal="center" vertical="center"/>
    </xf>
    <xf numFmtId="169" fontId="9" fillId="0" borderId="5" xfId="0" applyNumberFormat="1" applyFont="1" applyFill="1" applyBorder="1" applyAlignment="1" applyProtection="1"/>
    <xf numFmtId="170" fontId="16" fillId="0" borderId="14" xfId="0" applyNumberFormat="1" applyFont="1" applyFill="1" applyBorder="1" applyAlignment="1" applyProtection="1">
      <alignment horizontal="center" vertical="center"/>
    </xf>
    <xf numFmtId="170" fontId="16" fillId="0" borderId="15" xfId="0" applyNumberFormat="1" applyFont="1" applyFill="1" applyBorder="1" applyAlignment="1" applyProtection="1">
      <alignment horizontal="center" vertical="center"/>
    </xf>
    <xf numFmtId="170" fontId="9" fillId="0" borderId="33" xfId="0" applyNumberFormat="1" applyFont="1" applyFill="1" applyBorder="1" applyAlignment="1" applyProtection="1">
      <alignment horizontal="center" vertical="center"/>
    </xf>
    <xf numFmtId="170" fontId="9" fillId="0" borderId="22" xfId="0" applyNumberFormat="1" applyFont="1" applyFill="1" applyBorder="1" applyAlignment="1" applyProtection="1">
      <alignment horizontal="center" vertical="center"/>
    </xf>
    <xf numFmtId="0" fontId="16" fillId="0" borderId="40" xfId="2" applyFont="1" applyFill="1" applyBorder="1" applyAlignment="1" applyProtection="1">
      <alignment horizontal="left" vertical="center"/>
    </xf>
    <xf numFmtId="170" fontId="16" fillId="0" borderId="14" xfId="2" applyNumberFormat="1" applyFont="1" applyFill="1" applyBorder="1" applyAlignment="1" applyProtection="1">
      <alignment horizontal="right" vertical="center"/>
    </xf>
    <xf numFmtId="170" fontId="16" fillId="0" borderId="39" xfId="2" applyNumberFormat="1" applyFont="1" applyFill="1" applyBorder="1" applyAlignment="1" applyProtection="1">
      <alignment horizontal="right" vertical="center"/>
    </xf>
    <xf numFmtId="170" fontId="16" fillId="0" borderId="40" xfId="2" applyNumberFormat="1" applyFont="1" applyFill="1" applyBorder="1" applyAlignment="1" applyProtection="1">
      <alignment horizontal="right" vertical="center"/>
    </xf>
    <xf numFmtId="170" fontId="16" fillId="0" borderId="39" xfId="0" applyNumberFormat="1" applyFont="1" applyFill="1" applyBorder="1" applyAlignment="1" applyProtection="1">
      <alignment horizontal="right" vertical="center"/>
    </xf>
    <xf numFmtId="170" fontId="16" fillId="0" borderId="41" xfId="0" applyNumberFormat="1" applyFont="1" applyFill="1" applyBorder="1" applyAlignment="1" applyProtection="1">
      <alignment horizontal="right" vertical="center"/>
    </xf>
    <xf numFmtId="170" fontId="16" fillId="0" borderId="15" xfId="0" applyNumberFormat="1" applyFont="1" applyFill="1" applyBorder="1" applyAlignment="1" applyProtection="1">
      <alignment horizontal="right" vertical="center"/>
    </xf>
    <xf numFmtId="0" fontId="9" fillId="0" borderId="27" xfId="0" applyFont="1" applyFill="1" applyBorder="1" applyAlignment="1">
      <alignment horizontal="center" vertical="center"/>
    </xf>
    <xf numFmtId="0" fontId="10" fillId="0" borderId="4" xfId="0" applyFont="1" applyFill="1" applyBorder="1" applyAlignment="1">
      <alignment horizontal="center" vertical="center"/>
    </xf>
    <xf numFmtId="173" fontId="10" fillId="0" borderId="3" xfId="0" applyNumberFormat="1" applyFont="1" applyFill="1" applyBorder="1" applyAlignment="1">
      <alignment vertical="center"/>
    </xf>
    <xf numFmtId="173" fontId="10" fillId="0" borderId="0" xfId="0" applyNumberFormat="1" applyFont="1" applyFill="1" applyBorder="1" applyAlignment="1">
      <alignment vertical="center"/>
    </xf>
    <xf numFmtId="173" fontId="10" fillId="0" borderId="4" xfId="0" applyNumberFormat="1" applyFont="1" applyFill="1" applyBorder="1" applyAlignment="1">
      <alignment vertical="center"/>
    </xf>
    <xf numFmtId="173" fontId="10" fillId="0" borderId="28" xfId="0" applyNumberFormat="1" applyFont="1" applyFill="1" applyBorder="1" applyAlignment="1">
      <alignment vertical="center"/>
    </xf>
    <xf numFmtId="1" fontId="10" fillId="0" borderId="4" xfId="0" applyNumberFormat="1" applyFont="1" applyFill="1" applyBorder="1" applyAlignment="1">
      <alignment horizontal="center" vertical="center"/>
    </xf>
    <xf numFmtId="0" fontId="9" fillId="0" borderId="27" xfId="0" applyFont="1" applyFill="1" applyBorder="1" applyAlignment="1">
      <alignment horizontal="center" vertical="center"/>
    </xf>
    <xf numFmtId="173" fontId="10" fillId="3" borderId="39" xfId="0" applyNumberFormat="1" applyFont="1" applyFill="1" applyBorder="1" applyAlignment="1" applyProtection="1">
      <alignment vertical="center"/>
    </xf>
    <xf numFmtId="173" fontId="10" fillId="3" borderId="40" xfId="0" applyNumberFormat="1" applyFont="1" applyFill="1" applyBorder="1" applyAlignment="1" applyProtection="1">
      <alignment vertical="center"/>
    </xf>
    <xf numFmtId="173" fontId="10" fillId="3" borderId="41" xfId="0" applyNumberFormat="1" applyFont="1" applyFill="1" applyBorder="1" applyAlignment="1" applyProtection="1">
      <alignment vertical="center"/>
    </xf>
    <xf numFmtId="173" fontId="46" fillId="4" borderId="40" xfId="0" applyNumberFormat="1" applyFont="1" applyFill="1" applyBorder="1" applyAlignment="1" applyProtection="1">
      <alignment vertical="center"/>
    </xf>
    <xf numFmtId="173" fontId="46" fillId="4" borderId="41" xfId="0" applyNumberFormat="1" applyFont="1" applyFill="1" applyBorder="1" applyAlignment="1" applyProtection="1">
      <alignment vertical="center"/>
    </xf>
    <xf numFmtId="173" fontId="45" fillId="3" borderId="40" xfId="0" applyNumberFormat="1" applyFont="1" applyFill="1" applyBorder="1" applyAlignment="1" applyProtection="1">
      <alignment vertical="center"/>
    </xf>
    <xf numFmtId="173" fontId="45" fillId="3" borderId="41" xfId="0" applyNumberFormat="1" applyFont="1" applyFill="1" applyBorder="1" applyAlignment="1" applyProtection="1">
      <alignment vertical="center"/>
    </xf>
    <xf numFmtId="169" fontId="47" fillId="3" borderId="0" xfId="0" applyNumberFormat="1" applyFont="1" applyFill="1" applyBorder="1" applyAlignment="1">
      <alignment vertical="center"/>
    </xf>
    <xf numFmtId="169" fontId="9" fillId="3" borderId="0" xfId="0" applyNumberFormat="1" applyFont="1" applyFill="1" applyBorder="1" applyAlignment="1">
      <alignment vertical="center"/>
    </xf>
    <xf numFmtId="169" fontId="9" fillId="2" borderId="0" xfId="0" applyNumberFormat="1" applyFont="1" applyFill="1" applyBorder="1" applyAlignment="1">
      <alignment vertical="center"/>
    </xf>
    <xf numFmtId="173" fontId="10" fillId="2" borderId="41" xfId="0" applyNumberFormat="1" applyFont="1" applyFill="1" applyBorder="1" applyAlignment="1" applyProtection="1">
      <alignment vertical="center"/>
    </xf>
    <xf numFmtId="173" fontId="10" fillId="2" borderId="39" xfId="0" applyNumberFormat="1" applyFont="1" applyFill="1" applyBorder="1" applyAlignment="1" applyProtection="1">
      <alignment vertical="center"/>
    </xf>
    <xf numFmtId="173" fontId="10" fillId="2" borderId="40" xfId="0" applyNumberFormat="1" applyFont="1" applyFill="1" applyBorder="1" applyAlignment="1" applyProtection="1">
      <alignment vertical="center"/>
    </xf>
    <xf numFmtId="173" fontId="45" fillId="2" borderId="40" xfId="0" applyNumberFormat="1" applyFont="1" applyFill="1" applyBorder="1" applyAlignment="1" applyProtection="1">
      <alignment vertical="center"/>
    </xf>
    <xf numFmtId="169" fontId="9" fillId="2" borderId="0" xfId="0" applyNumberFormat="1" applyFont="1" applyFill="1" applyAlignment="1">
      <alignment vertical="center"/>
    </xf>
    <xf numFmtId="169" fontId="9" fillId="3" borderId="0" xfId="0" applyNumberFormat="1" applyFont="1" applyFill="1" applyAlignment="1">
      <alignment vertical="center"/>
    </xf>
    <xf numFmtId="169" fontId="46" fillId="4" borderId="0" xfId="0" applyNumberFormat="1" applyFont="1" applyFill="1" applyBorder="1" applyAlignment="1">
      <alignment vertical="center"/>
    </xf>
    <xf numFmtId="173" fontId="10" fillId="0" borderId="3" xfId="0" applyNumberFormat="1" applyFont="1" applyFill="1" applyBorder="1" applyAlignment="1">
      <alignment vertical="top"/>
    </xf>
    <xf numFmtId="173" fontId="10" fillId="0" borderId="0" xfId="0" applyNumberFormat="1" applyFont="1" applyFill="1" applyBorder="1" applyAlignment="1">
      <alignment vertical="top"/>
    </xf>
    <xf numFmtId="173" fontId="45" fillId="2" borderId="41" xfId="0" applyNumberFormat="1" applyFont="1" applyFill="1" applyBorder="1" applyAlignment="1" applyProtection="1">
      <alignment vertical="center"/>
    </xf>
    <xf numFmtId="1" fontId="10" fillId="0" borderId="11" xfId="0" applyNumberFormat="1" applyFont="1" applyFill="1" applyBorder="1" applyAlignment="1">
      <alignment horizontal="center" vertical="top"/>
    </xf>
    <xf numFmtId="173" fontId="10" fillId="0" borderId="4" xfId="0" applyNumberFormat="1" applyFont="1" applyFill="1" applyBorder="1" applyAlignment="1">
      <alignment vertical="top"/>
    </xf>
    <xf numFmtId="173" fontId="10" fillId="3" borderId="56" xfId="0" applyNumberFormat="1" applyFont="1" applyFill="1" applyBorder="1" applyAlignment="1" applyProtection="1">
      <alignment vertical="center"/>
    </xf>
    <xf numFmtId="179" fontId="46" fillId="4" borderId="0" xfId="1" applyNumberFormat="1" applyFont="1" applyFill="1" applyBorder="1" applyAlignment="1" applyProtection="1">
      <alignment horizontal="right" vertical="center"/>
    </xf>
    <xf numFmtId="169" fontId="10" fillId="2" borderId="0" xfId="0" applyNumberFormat="1" applyFont="1" applyFill="1" applyBorder="1" applyAlignment="1">
      <alignment vertical="center"/>
    </xf>
    <xf numFmtId="169" fontId="46" fillId="4" borderId="0" xfId="0" applyNumberFormat="1" applyFont="1" applyFill="1" applyAlignment="1">
      <alignment vertical="center"/>
    </xf>
    <xf numFmtId="0" fontId="9" fillId="3" borderId="0" xfId="0" applyFont="1" applyFill="1" applyAlignment="1">
      <alignment vertical="center"/>
    </xf>
    <xf numFmtId="0" fontId="9" fillId="2" borderId="0" xfId="0" applyFont="1" applyFill="1" applyAlignment="1">
      <alignment vertical="center"/>
    </xf>
    <xf numFmtId="0" fontId="46" fillId="4" borderId="0" xfId="0" applyFont="1" applyFill="1" applyAlignment="1">
      <alignment vertical="center"/>
    </xf>
    <xf numFmtId="173" fontId="45" fillId="3" borderId="39" xfId="0" applyNumberFormat="1" applyFont="1" applyFill="1" applyBorder="1" applyAlignment="1" applyProtection="1">
      <alignment vertical="center"/>
    </xf>
    <xf numFmtId="173" fontId="45" fillId="3" borderId="56" xfId="0" applyNumberFormat="1" applyFont="1" applyFill="1" applyBorder="1" applyAlignment="1" applyProtection="1">
      <alignment vertical="center"/>
    </xf>
    <xf numFmtId="173" fontId="45" fillId="2" borderId="56" xfId="0" applyNumberFormat="1" applyFont="1" applyFill="1" applyBorder="1" applyAlignment="1" applyProtection="1">
      <alignment vertical="center"/>
    </xf>
    <xf numFmtId="1" fontId="10" fillId="0" borderId="0" xfId="0" applyNumberFormat="1" applyFont="1" applyFill="1" applyBorder="1" applyAlignment="1">
      <alignment horizontal="center" vertical="center"/>
    </xf>
    <xf numFmtId="173" fontId="10" fillId="0" borderId="11" xfId="0" applyNumberFormat="1" applyFont="1" applyFill="1" applyBorder="1" applyAlignment="1">
      <alignment vertical="center"/>
    </xf>
    <xf numFmtId="173" fontId="46" fillId="4" borderId="56" xfId="0" applyNumberFormat="1" applyFont="1" applyFill="1" applyBorder="1" applyAlignment="1" applyProtection="1">
      <alignment vertical="center"/>
    </xf>
    <xf numFmtId="173" fontId="45" fillId="2" borderId="39" xfId="0" applyNumberFormat="1" applyFont="1" applyFill="1" applyBorder="1" applyAlignment="1" applyProtection="1">
      <alignment vertical="center"/>
    </xf>
    <xf numFmtId="173" fontId="46" fillId="4" borderId="39" xfId="0" applyNumberFormat="1" applyFont="1" applyFill="1" applyBorder="1" applyAlignment="1" applyProtection="1">
      <alignment vertical="center"/>
    </xf>
    <xf numFmtId="179" fontId="9" fillId="3" borderId="0" xfId="1" applyNumberFormat="1" applyFont="1" applyFill="1" applyBorder="1" applyAlignment="1" applyProtection="1">
      <alignment horizontal="right" vertical="center"/>
    </xf>
    <xf numFmtId="170" fontId="9" fillId="3" borderId="0" xfId="0" applyNumberFormat="1" applyFont="1" applyFill="1" applyAlignment="1">
      <alignment vertical="center"/>
    </xf>
    <xf numFmtId="170" fontId="46" fillId="4" borderId="0" xfId="0" applyNumberFormat="1" applyFont="1" applyFill="1" applyAlignment="1">
      <alignment vertical="center"/>
    </xf>
    <xf numFmtId="170" fontId="9" fillId="2" borderId="0" xfId="0" applyNumberFormat="1" applyFont="1" applyFill="1" applyAlignment="1">
      <alignment vertical="center"/>
    </xf>
    <xf numFmtId="1" fontId="10" fillId="0" borderId="3" xfId="0" applyNumberFormat="1" applyFont="1" applyFill="1" applyBorder="1" applyAlignment="1">
      <alignment horizontal="center" vertical="center"/>
    </xf>
    <xf numFmtId="173" fontId="10" fillId="3" borderId="14" xfId="0" applyNumberFormat="1" applyFont="1" applyFill="1" applyBorder="1" applyAlignment="1" applyProtection="1">
      <alignment vertical="center"/>
    </xf>
    <xf numFmtId="173" fontId="10" fillId="2" borderId="14" xfId="0" applyNumberFormat="1" applyFont="1" applyFill="1" applyBorder="1" applyAlignment="1" applyProtection="1">
      <alignment vertical="center"/>
    </xf>
    <xf numFmtId="173" fontId="46" fillId="4" borderId="14" xfId="0" applyNumberFormat="1" applyFont="1" applyFill="1" applyBorder="1" applyAlignment="1" applyProtection="1">
      <alignment vertical="center"/>
    </xf>
    <xf numFmtId="173" fontId="45" fillId="3" borderId="14" xfId="0" applyNumberFormat="1" applyFont="1" applyFill="1" applyBorder="1" applyAlignment="1" applyProtection="1">
      <alignment vertical="center"/>
    </xf>
    <xf numFmtId="173" fontId="45" fillId="2" borderId="14" xfId="0" applyNumberFormat="1" applyFont="1" applyFill="1" applyBorder="1" applyAlignment="1" applyProtection="1">
      <alignment vertical="center"/>
    </xf>
    <xf numFmtId="173" fontId="48" fillId="0" borderId="14" xfId="0" applyNumberFormat="1" applyFont="1" applyFill="1" applyBorder="1" applyAlignment="1" applyProtection="1">
      <alignment vertical="center"/>
    </xf>
    <xf numFmtId="0" fontId="9" fillId="0" borderId="27" xfId="0" applyFont="1" applyFill="1" applyBorder="1" applyAlignment="1">
      <alignment horizontal="center" vertical="center"/>
    </xf>
    <xf numFmtId="173" fontId="10" fillId="3" borderId="45" xfId="0" applyNumberFormat="1" applyFont="1" applyFill="1" applyBorder="1" applyAlignment="1" applyProtection="1">
      <alignment vertical="center"/>
    </xf>
    <xf numFmtId="173" fontId="10" fillId="2" borderId="45" xfId="0" applyNumberFormat="1" applyFont="1" applyFill="1" applyBorder="1" applyAlignment="1" applyProtection="1">
      <alignment vertical="center"/>
    </xf>
    <xf numFmtId="0" fontId="9" fillId="3" borderId="0" xfId="0" applyFont="1" applyFill="1" applyBorder="1" applyAlignment="1">
      <alignment vertical="center"/>
    </xf>
    <xf numFmtId="169" fontId="10" fillId="0" borderId="29" xfId="0" applyNumberFormat="1" applyFont="1" applyFill="1" applyBorder="1" applyAlignment="1"/>
    <xf numFmtId="169" fontId="9" fillId="0" borderId="5" xfId="0" applyNumberFormat="1" applyFont="1" applyFill="1" applyBorder="1" applyAlignment="1" applyProtection="1">
      <alignment horizontal="right"/>
    </xf>
    <xf numFmtId="169" fontId="9" fillId="0" borderId="11" xfId="0" applyNumberFormat="1" applyFont="1" applyFill="1" applyBorder="1" applyAlignment="1">
      <alignment horizontal="center"/>
    </xf>
    <xf numFmtId="179" fontId="9" fillId="2" borderId="0" xfId="0" applyNumberFormat="1" applyFont="1" applyFill="1" applyBorder="1" applyAlignment="1" applyProtection="1">
      <alignment horizontal="right" vertical="center"/>
    </xf>
    <xf numFmtId="179" fontId="9" fillId="2" borderId="0" xfId="1" applyNumberFormat="1" applyFont="1" applyFill="1" applyBorder="1" applyAlignment="1" applyProtection="1">
      <alignment horizontal="right" vertical="center"/>
    </xf>
    <xf numFmtId="173" fontId="46" fillId="4" borderId="45" xfId="0" applyNumberFormat="1" applyFont="1" applyFill="1" applyBorder="1" applyAlignment="1" applyProtection="1">
      <alignment vertical="center"/>
    </xf>
    <xf numFmtId="173" fontId="45" fillId="2" borderId="45" xfId="0" applyNumberFormat="1" applyFont="1" applyFill="1" applyBorder="1" applyAlignment="1" applyProtection="1">
      <alignment vertical="center"/>
    </xf>
    <xf numFmtId="173" fontId="10" fillId="0" borderId="4" xfId="0" applyNumberFormat="1" applyFont="1" applyFill="1" applyBorder="1" applyAlignment="1">
      <alignment horizontal="right" vertical="center"/>
    </xf>
    <xf numFmtId="173" fontId="10" fillId="0" borderId="3" xfId="0" applyNumberFormat="1" applyFont="1" applyFill="1" applyBorder="1" applyAlignment="1">
      <alignment horizontal="right" vertical="center"/>
    </xf>
    <xf numFmtId="173" fontId="45" fillId="3" borderId="45" xfId="0" applyNumberFormat="1" applyFont="1" applyFill="1" applyBorder="1" applyAlignment="1" applyProtection="1">
      <alignment vertical="center"/>
    </xf>
    <xf numFmtId="0" fontId="9" fillId="0" borderId="27" xfId="0" applyFont="1" applyFill="1" applyBorder="1" applyAlignment="1">
      <alignment horizontal="center" vertical="center"/>
    </xf>
    <xf numFmtId="0" fontId="13" fillId="0" borderId="0" xfId="0" applyFont="1" applyFill="1" applyBorder="1" applyAlignment="1" applyProtection="1">
      <alignment horizontal="left" vertical="center"/>
    </xf>
    <xf numFmtId="0" fontId="9" fillId="2" borderId="27" xfId="0" applyFont="1" applyFill="1" applyBorder="1" applyAlignment="1">
      <alignment horizontal="center" vertical="center"/>
    </xf>
    <xf numFmtId="173" fontId="9" fillId="2" borderId="3" xfId="0" applyNumberFormat="1" applyFont="1" applyFill="1" applyBorder="1" applyAlignment="1">
      <alignment vertical="center"/>
    </xf>
    <xf numFmtId="173" fontId="9" fillId="2" borderId="0" xfId="0" applyNumberFormat="1" applyFont="1" applyFill="1" applyBorder="1" applyAlignment="1">
      <alignment vertical="center"/>
    </xf>
    <xf numFmtId="173" fontId="9" fillId="2" borderId="4" xfId="0" applyNumberFormat="1" applyFont="1" applyFill="1" applyBorder="1" applyAlignment="1">
      <alignment vertical="center"/>
    </xf>
    <xf numFmtId="173" fontId="9" fillId="2" borderId="28" xfId="0" applyNumberFormat="1" applyFont="1" applyFill="1" applyBorder="1" applyAlignment="1">
      <alignment vertical="center"/>
    </xf>
    <xf numFmtId="1" fontId="9" fillId="2" borderId="4" xfId="0" applyNumberFormat="1" applyFont="1" applyFill="1" applyBorder="1" applyAlignment="1">
      <alignment horizontal="center" vertical="center"/>
    </xf>
    <xf numFmtId="0" fontId="9" fillId="2" borderId="27" xfId="0" applyFont="1" applyFill="1" applyBorder="1" applyAlignment="1">
      <alignment wrapText="1"/>
    </xf>
    <xf numFmtId="0" fontId="9" fillId="2" borderId="4" xfId="0" applyFont="1" applyFill="1" applyBorder="1" applyAlignment="1">
      <alignment horizontal="center" vertical="center"/>
    </xf>
    <xf numFmtId="173" fontId="10" fillId="0" borderId="3" xfId="0" applyNumberFormat="1" applyFont="1" applyFill="1" applyBorder="1" applyAlignment="1"/>
    <xf numFmtId="173" fontId="10" fillId="0" borderId="0" xfId="0" applyNumberFormat="1" applyFont="1" applyFill="1" applyBorder="1" applyAlignment="1"/>
    <xf numFmtId="173" fontId="10" fillId="0" borderId="4" xfId="0" applyNumberFormat="1" applyFont="1" applyFill="1" applyBorder="1" applyAlignment="1"/>
    <xf numFmtId="0" fontId="9" fillId="0" borderId="57" xfId="0" applyFont="1" applyFill="1" applyBorder="1" applyAlignment="1">
      <alignment horizontal="center" vertical="center"/>
    </xf>
    <xf numFmtId="0" fontId="9" fillId="0" borderId="58" xfId="0" applyFont="1" applyFill="1" applyBorder="1" applyAlignment="1">
      <alignment vertical="center"/>
    </xf>
    <xf numFmtId="173" fontId="9" fillId="0" borderId="59" xfId="0" applyNumberFormat="1" applyFont="1" applyFill="1" applyBorder="1" applyAlignment="1">
      <alignment vertical="center"/>
    </xf>
    <xf numFmtId="173" fontId="9" fillId="0" borderId="60" xfId="0" applyNumberFormat="1" applyFont="1" applyFill="1" applyBorder="1" applyAlignment="1">
      <alignment vertical="center"/>
    </xf>
    <xf numFmtId="173" fontId="9" fillId="0" borderId="61" xfId="0" applyNumberFormat="1" applyFont="1" applyFill="1" applyBorder="1" applyAlignment="1">
      <alignment vertical="center"/>
    </xf>
    <xf numFmtId="173" fontId="9" fillId="0" borderId="62" xfId="0" applyNumberFormat="1" applyFont="1" applyFill="1" applyBorder="1" applyAlignment="1">
      <alignment vertical="center"/>
    </xf>
    <xf numFmtId="0" fontId="9" fillId="0" borderId="57" xfId="0" applyFont="1" applyFill="1" applyBorder="1"/>
    <xf numFmtId="0" fontId="9" fillId="0" borderId="60" xfId="0" applyFont="1" applyFill="1" applyBorder="1"/>
    <xf numFmtId="173" fontId="9" fillId="0" borderId="59" xfId="0" applyNumberFormat="1" applyFont="1" applyFill="1" applyBorder="1" applyAlignment="1"/>
    <xf numFmtId="173" fontId="9" fillId="0" borderId="60" xfId="0" applyNumberFormat="1" applyFont="1" applyFill="1" applyBorder="1" applyAlignment="1"/>
    <xf numFmtId="173" fontId="9" fillId="0" borderId="61" xfId="0" applyNumberFormat="1" applyFont="1" applyFill="1" applyBorder="1" applyAlignment="1"/>
    <xf numFmtId="173" fontId="9" fillId="0" borderId="62" xfId="0" applyNumberFormat="1" applyFont="1" applyFill="1" applyBorder="1" applyAlignment="1"/>
    <xf numFmtId="0" fontId="9" fillId="0" borderId="63" xfId="0" applyFont="1" applyFill="1" applyBorder="1" applyAlignment="1">
      <alignment horizontal="center" vertical="center"/>
    </xf>
    <xf numFmtId="0" fontId="9" fillId="0" borderId="64" xfId="0" applyFont="1" applyFill="1" applyBorder="1" applyAlignment="1">
      <alignment vertical="center"/>
    </xf>
    <xf numFmtId="173" fontId="9" fillId="0" borderId="65" xfId="0" applyNumberFormat="1" applyFont="1" applyFill="1" applyBorder="1" applyAlignment="1">
      <alignment vertical="center"/>
    </xf>
    <xf numFmtId="173" fontId="9" fillId="0" borderId="66" xfId="0" applyNumberFormat="1" applyFont="1" applyFill="1" applyBorder="1" applyAlignment="1">
      <alignment vertical="center"/>
    </xf>
    <xf numFmtId="173" fontId="9" fillId="0" borderId="64" xfId="0" applyNumberFormat="1" applyFont="1" applyFill="1" applyBorder="1" applyAlignment="1">
      <alignment vertical="center"/>
    </xf>
    <xf numFmtId="173" fontId="9" fillId="0" borderId="67" xfId="0" applyNumberFormat="1" applyFont="1" applyFill="1" applyBorder="1" applyAlignment="1">
      <alignment vertical="center"/>
    </xf>
    <xf numFmtId="0" fontId="9" fillId="0" borderId="63" xfId="0" applyFont="1" applyFill="1" applyBorder="1" applyAlignment="1">
      <alignment vertical="center"/>
    </xf>
    <xf numFmtId="1" fontId="9" fillId="0" borderId="66" xfId="0" applyNumberFormat="1" applyFont="1" applyFill="1" applyBorder="1" applyAlignment="1">
      <alignment horizontal="center" vertical="center"/>
    </xf>
    <xf numFmtId="1" fontId="9" fillId="0" borderId="64" xfId="0" applyNumberFormat="1" applyFont="1" applyFill="1" applyBorder="1" applyAlignment="1">
      <alignment horizontal="center" vertical="center"/>
    </xf>
    <xf numFmtId="0" fontId="9" fillId="0" borderId="66" xfId="0" applyFont="1" applyFill="1" applyBorder="1" applyAlignment="1">
      <alignment vertical="center"/>
    </xf>
    <xf numFmtId="180" fontId="26" fillId="0" borderId="66" xfId="0" applyNumberFormat="1" applyFont="1" applyFill="1" applyBorder="1" applyAlignment="1">
      <alignment vertical="center"/>
    </xf>
    <xf numFmtId="180" fontId="26" fillId="0" borderId="64" xfId="0" applyNumberFormat="1" applyFont="1" applyFill="1" applyBorder="1" applyAlignment="1">
      <alignment vertical="center"/>
    </xf>
    <xf numFmtId="0" fontId="52" fillId="0" borderId="0" xfId="0" applyFont="1" applyFill="1"/>
    <xf numFmtId="0" fontId="62" fillId="0" borderId="0" xfId="0" applyFont="1" applyFill="1"/>
    <xf numFmtId="0" fontId="62" fillId="0" borderId="0" xfId="0" applyFont="1" applyFill="1" applyAlignment="1"/>
    <xf numFmtId="173" fontId="57" fillId="0" borderId="11" xfId="0" applyNumberFormat="1" applyFont="1" applyFill="1" applyBorder="1"/>
    <xf numFmtId="173" fontId="62" fillId="0" borderId="0" xfId="0" applyNumberFormat="1" applyFont="1" applyFill="1" applyBorder="1"/>
    <xf numFmtId="173" fontId="62" fillId="0" borderId="4" xfId="0" applyNumberFormat="1" applyFont="1" applyFill="1" applyBorder="1"/>
    <xf numFmtId="173" fontId="62" fillId="0" borderId="3" xfId="0" applyNumberFormat="1" applyFont="1" applyFill="1" applyBorder="1"/>
    <xf numFmtId="0" fontId="62" fillId="0" borderId="0" xfId="0" applyFont="1" applyFill="1" applyAlignment="1">
      <alignment vertical="center"/>
    </xf>
    <xf numFmtId="0" fontId="62" fillId="0" borderId="0" xfId="0" applyFont="1" applyFill="1" applyBorder="1"/>
    <xf numFmtId="0" fontId="57" fillId="0" borderId="0" xfId="0" applyFont="1" applyFill="1" applyBorder="1" applyAlignment="1">
      <alignment vertical="center"/>
    </xf>
    <xf numFmtId="0" fontId="62" fillId="0" borderId="0" xfId="0" applyFont="1" applyFill="1" applyBorder="1" applyAlignment="1"/>
    <xf numFmtId="0" fontId="62" fillId="0" borderId="0" xfId="2" applyFont="1" applyFill="1"/>
    <xf numFmtId="0" fontId="57" fillId="0" borderId="0" xfId="2" applyFont="1" applyFill="1"/>
    <xf numFmtId="0" fontId="62" fillId="0" borderId="0" xfId="2" applyFont="1" applyFill="1" applyAlignment="1">
      <alignment vertical="center"/>
    </xf>
    <xf numFmtId="173" fontId="62" fillId="0" borderId="0" xfId="2" applyNumberFormat="1" applyFont="1" applyFill="1" applyBorder="1"/>
    <xf numFmtId="173" fontId="57" fillId="0" borderId="11" xfId="2" applyNumberFormat="1" applyFont="1" applyFill="1" applyBorder="1"/>
    <xf numFmtId="173" fontId="62" fillId="0" borderId="4" xfId="2" applyNumberFormat="1" applyFont="1" applyFill="1" applyBorder="1"/>
    <xf numFmtId="0" fontId="62" fillId="0" borderId="0" xfId="2" applyFont="1" applyFill="1" applyBorder="1"/>
    <xf numFmtId="0" fontId="62" fillId="0" borderId="7" xfId="2" applyFont="1" applyFill="1" applyBorder="1" applyAlignment="1" applyProtection="1">
      <alignment horizontal="center" vertical="center"/>
    </xf>
    <xf numFmtId="0" fontId="62" fillId="0" borderId="0" xfId="2" applyFont="1" applyFill="1" applyBorder="1" applyAlignment="1">
      <alignment vertical="center"/>
    </xf>
    <xf numFmtId="0" fontId="62" fillId="0" borderId="0" xfId="2" applyFont="1" applyFill="1" applyBorder="1" applyAlignment="1"/>
    <xf numFmtId="0" fontId="57" fillId="0" borderId="0" xfId="2" applyFont="1" applyFill="1" applyBorder="1" applyAlignment="1" applyProtection="1">
      <alignment horizontal="centerContinuous" vertical="center"/>
    </xf>
    <xf numFmtId="0" fontId="53" fillId="0" borderId="0" xfId="2" applyFont="1" applyFill="1" applyBorder="1" applyAlignment="1" applyProtection="1">
      <alignment horizontal="centerContinuous" vertical="center"/>
    </xf>
    <xf numFmtId="0" fontId="57" fillId="0" borderId="0" xfId="2" applyFont="1" applyFill="1" applyBorder="1" applyAlignment="1">
      <alignment vertical="center"/>
    </xf>
    <xf numFmtId="173" fontId="62" fillId="0" borderId="0" xfId="2" applyNumberFormat="1" applyFont="1" applyFill="1" applyBorder="1" applyAlignment="1"/>
    <xf numFmtId="173" fontId="62" fillId="0" borderId="4" xfId="2" applyNumberFormat="1" applyFont="1" applyFill="1" applyBorder="1" applyAlignment="1"/>
    <xf numFmtId="0" fontId="62" fillId="0" borderId="0" xfId="2" applyFont="1" applyFill="1" applyAlignment="1">
      <alignment vertical="top"/>
    </xf>
    <xf numFmtId="0" fontId="62" fillId="0" borderId="5" xfId="2" applyFont="1" applyFill="1" applyBorder="1" applyAlignment="1" applyProtection="1">
      <alignment horizontal="center" vertical="center" wrapText="1"/>
    </xf>
    <xf numFmtId="0" fontId="62" fillId="0" borderId="7" xfId="2" applyFont="1" applyFill="1" applyBorder="1" applyAlignment="1" applyProtection="1">
      <alignment horizontal="center" vertical="center" wrapText="1"/>
    </xf>
    <xf numFmtId="0" fontId="62" fillId="0" borderId="6" xfId="2" applyFont="1" applyFill="1" applyBorder="1" applyAlignment="1">
      <alignment horizontal="center" vertical="center"/>
    </xf>
    <xf numFmtId="0" fontId="57" fillId="0" borderId="8" xfId="2" applyFont="1" applyFill="1" applyBorder="1" applyAlignment="1" applyProtection="1">
      <alignment horizontal="center" vertical="center"/>
    </xf>
    <xf numFmtId="0" fontId="62" fillId="0" borderId="0" xfId="2" applyFont="1" applyFill="1" applyAlignment="1"/>
    <xf numFmtId="0" fontId="60" fillId="0" borderId="0" xfId="2" applyFont="1" applyFill="1" applyAlignment="1" applyProtection="1">
      <alignment horizontal="centerContinuous" vertical="center"/>
    </xf>
    <xf numFmtId="0" fontId="53" fillId="0" borderId="0" xfId="2" applyFont="1" applyFill="1" applyAlignment="1" applyProtection="1">
      <alignment horizontal="centerContinuous" vertical="center"/>
    </xf>
    <xf numFmtId="0" fontId="58" fillId="0" borderId="0" xfId="2" applyFont="1" applyFill="1" applyAlignment="1" applyProtection="1">
      <alignment horizontal="left" vertical="center"/>
    </xf>
    <xf numFmtId="0" fontId="54" fillId="0" borderId="0" xfId="0" applyFont="1" applyFill="1" applyAlignment="1">
      <alignment vertical="center" wrapText="1"/>
    </xf>
    <xf numFmtId="0" fontId="56" fillId="0" borderId="0" xfId="0" applyFont="1" applyFill="1"/>
    <xf numFmtId="0" fontId="56" fillId="0" borderId="0" xfId="0" applyFont="1" applyFill="1" applyAlignment="1">
      <alignment horizontal="right"/>
    </xf>
    <xf numFmtId="0" fontId="59" fillId="0" borderId="0" xfId="0" applyFont="1" applyFill="1" applyAlignment="1"/>
    <xf numFmtId="0" fontId="59" fillId="0" borderId="0" xfId="0" applyFont="1" applyFill="1" applyAlignment="1">
      <alignment vertical="center" wrapText="1"/>
    </xf>
    <xf numFmtId="0" fontId="55" fillId="0" borderId="0" xfId="0" applyFont="1" applyFill="1"/>
    <xf numFmtId="0" fontId="55" fillId="0" borderId="0" xfId="0" applyFont="1" applyFill="1" applyAlignment="1">
      <alignment wrapText="1"/>
    </xf>
    <xf numFmtId="0" fontId="55" fillId="0" borderId="0" xfId="0" applyFont="1" applyFill="1" applyAlignment="1">
      <alignment vertical="top" wrapText="1"/>
    </xf>
    <xf numFmtId="0" fontId="57" fillId="0" borderId="0" xfId="2" applyFont="1" applyFill="1" applyBorder="1" applyAlignment="1" applyProtection="1">
      <alignment horizontal="left"/>
    </xf>
    <xf numFmtId="0" fontId="57" fillId="0" borderId="10" xfId="2" applyFont="1" applyFill="1" applyBorder="1" applyAlignment="1" applyProtection="1">
      <alignment horizontal="left" vertical="center"/>
    </xf>
    <xf numFmtId="0" fontId="62" fillId="0" borderId="0" xfId="2" applyFont="1" applyAlignment="1">
      <alignment vertical="center"/>
    </xf>
    <xf numFmtId="173" fontId="62" fillId="0" borderId="0" xfId="2" applyNumberFormat="1" applyFont="1" applyAlignment="1">
      <alignment vertical="center"/>
    </xf>
    <xf numFmtId="173" fontId="62" fillId="0" borderId="0" xfId="2" applyNumberFormat="1" applyFont="1" applyFill="1" applyAlignment="1">
      <alignment vertical="center"/>
    </xf>
    <xf numFmtId="0" fontId="52" fillId="0" borderId="0" xfId="2" applyFont="1" applyAlignment="1">
      <alignment vertical="center"/>
    </xf>
    <xf numFmtId="0" fontId="62" fillId="0" borderId="4" xfId="2" applyFont="1" applyFill="1" applyBorder="1" applyAlignment="1">
      <alignment horizontal="center" vertical="center"/>
    </xf>
    <xf numFmtId="173" fontId="62" fillId="0" borderId="3" xfId="2" applyNumberFormat="1" applyFont="1" applyFill="1" applyBorder="1" applyAlignment="1">
      <alignment vertical="center"/>
    </xf>
    <xf numFmtId="173" fontId="62" fillId="0" borderId="0" xfId="2" applyNumberFormat="1" applyFont="1" applyFill="1" applyBorder="1" applyAlignment="1">
      <alignment vertical="center"/>
    </xf>
    <xf numFmtId="173" fontId="62" fillId="0" borderId="4" xfId="2" applyNumberFormat="1" applyFont="1" applyFill="1" applyBorder="1" applyAlignment="1">
      <alignment vertical="center"/>
    </xf>
    <xf numFmtId="1" fontId="62" fillId="0" borderId="4" xfId="2" applyNumberFormat="1" applyFont="1" applyFill="1" applyBorder="1" applyAlignment="1">
      <alignment horizontal="center" vertical="center"/>
    </xf>
    <xf numFmtId="173" fontId="57" fillId="0" borderId="0" xfId="2" applyNumberFormat="1" applyFont="1" applyFill="1" applyBorder="1" applyAlignment="1">
      <alignment horizontal="right" vertical="center"/>
    </xf>
    <xf numFmtId="0" fontId="62" fillId="0" borderId="3" xfId="2" applyFont="1" applyFill="1" applyBorder="1" applyAlignment="1">
      <alignment horizontal="center" vertical="center"/>
    </xf>
    <xf numFmtId="173" fontId="57" fillId="0" borderId="7" xfId="2" applyNumberFormat="1" applyFont="1" applyFill="1" applyBorder="1" applyAlignment="1">
      <alignment vertical="center"/>
    </xf>
    <xf numFmtId="173" fontId="57" fillId="0" borderId="6" xfId="2" applyNumberFormat="1" applyFont="1" applyFill="1" applyBorder="1" applyAlignment="1">
      <alignment vertical="center"/>
    </xf>
    <xf numFmtId="173" fontId="57" fillId="0" borderId="8" xfId="2" applyNumberFormat="1" applyFont="1" applyFill="1" applyBorder="1" applyAlignment="1">
      <alignment vertical="center"/>
    </xf>
    <xf numFmtId="1" fontId="62" fillId="0" borderId="2" xfId="2" applyNumberFormat="1" applyFont="1" applyFill="1" applyBorder="1" applyAlignment="1">
      <alignment horizontal="center" vertical="center"/>
    </xf>
    <xf numFmtId="173" fontId="62" fillId="0" borderId="1" xfId="2" applyNumberFormat="1" applyFont="1" applyFill="1" applyBorder="1" applyAlignment="1">
      <alignment vertical="center"/>
    </xf>
    <xf numFmtId="173" fontId="62" fillId="0" borderId="10" xfId="2" applyNumberFormat="1" applyFont="1" applyFill="1" applyBorder="1" applyAlignment="1">
      <alignment vertical="center"/>
    </xf>
    <xf numFmtId="173" fontId="62" fillId="0" borderId="2" xfId="2" applyNumberFormat="1" applyFont="1" applyFill="1" applyBorder="1" applyAlignment="1">
      <alignment vertical="center"/>
    </xf>
    <xf numFmtId="1" fontId="62" fillId="0" borderId="3" xfId="2" applyNumberFormat="1" applyFont="1" applyFill="1" applyBorder="1" applyAlignment="1">
      <alignment horizontal="center" vertical="top"/>
    </xf>
    <xf numFmtId="173" fontId="62" fillId="0" borderId="3" xfId="2" applyNumberFormat="1" applyFont="1" applyFill="1" applyBorder="1" applyAlignment="1">
      <alignment vertical="top"/>
    </xf>
    <xf numFmtId="173" fontId="62" fillId="0" borderId="0" xfId="2" applyNumberFormat="1" applyFont="1" applyFill="1" applyBorder="1" applyAlignment="1">
      <alignment vertical="top"/>
    </xf>
    <xf numFmtId="173" fontId="62" fillId="0" borderId="4" xfId="2" applyNumberFormat="1" applyFont="1" applyFill="1" applyBorder="1" applyAlignment="1">
      <alignment vertical="top"/>
    </xf>
    <xf numFmtId="1" fontId="62" fillId="0" borderId="11" xfId="2" applyNumberFormat="1" applyFont="1" applyFill="1" applyBorder="1" applyAlignment="1">
      <alignment horizontal="center" vertical="top"/>
    </xf>
    <xf numFmtId="1" fontId="57" fillId="0" borderId="5" xfId="2" applyNumberFormat="1" applyFont="1" applyFill="1" applyBorder="1" applyAlignment="1">
      <alignment horizontal="center" vertical="top"/>
    </xf>
    <xf numFmtId="1" fontId="62" fillId="0" borderId="0" xfId="2" applyNumberFormat="1" applyFont="1" applyFill="1" applyBorder="1" applyAlignment="1">
      <alignment horizontal="center" vertical="center"/>
    </xf>
    <xf numFmtId="173" fontId="62" fillId="0" borderId="11" xfId="2" applyNumberFormat="1" applyFont="1" applyFill="1" applyBorder="1" applyAlignment="1">
      <alignment vertical="center"/>
    </xf>
    <xf numFmtId="173" fontId="62" fillId="0" borderId="0" xfId="2" applyNumberFormat="1" applyFont="1" applyFill="1" applyBorder="1" applyAlignment="1">
      <alignment horizontal="right" vertical="center"/>
    </xf>
    <xf numFmtId="173" fontId="62" fillId="0" borderId="3" xfId="2" applyNumberFormat="1" applyFont="1" applyFill="1" applyBorder="1" applyAlignment="1"/>
    <xf numFmtId="173" fontId="65" fillId="0" borderId="3" xfId="2" applyNumberFormat="1" applyFont="1" applyFill="1" applyBorder="1" applyAlignment="1"/>
    <xf numFmtId="173" fontId="65" fillId="0" borderId="0" xfId="2" applyNumberFormat="1" applyFont="1" applyFill="1" applyBorder="1" applyAlignment="1"/>
    <xf numFmtId="173" fontId="65" fillId="0" borderId="4" xfId="2" applyNumberFormat="1" applyFont="1" applyFill="1" applyBorder="1" applyAlignment="1"/>
    <xf numFmtId="173" fontId="65" fillId="0" borderId="0" xfId="2" applyNumberFormat="1" applyFont="1" applyFill="1" applyBorder="1" applyAlignment="1">
      <alignment horizontal="right" vertical="center"/>
    </xf>
    <xf numFmtId="173" fontId="57" fillId="0" borderId="3" xfId="2" applyNumberFormat="1" applyFont="1" applyFill="1" applyBorder="1" applyAlignment="1">
      <alignment horizontal="right" vertical="center"/>
    </xf>
    <xf numFmtId="173" fontId="57" fillId="0" borderId="4" xfId="2" applyNumberFormat="1" applyFont="1" applyFill="1" applyBorder="1" applyAlignment="1">
      <alignment horizontal="right" vertical="center"/>
    </xf>
    <xf numFmtId="173" fontId="62" fillId="0" borderId="3" xfId="2" applyNumberFormat="1" applyFont="1" applyFill="1" applyBorder="1" applyAlignment="1">
      <alignment horizontal="right" vertical="center"/>
    </xf>
    <xf numFmtId="173" fontId="62" fillId="0" borderId="4" xfId="2" applyNumberFormat="1" applyFont="1" applyFill="1" applyBorder="1" applyAlignment="1">
      <alignment horizontal="right" vertical="center"/>
    </xf>
    <xf numFmtId="1" fontId="62" fillId="0" borderId="3" xfId="2" applyNumberFormat="1" applyFont="1" applyFill="1" applyBorder="1" applyAlignment="1">
      <alignment horizontal="center" vertical="center"/>
    </xf>
    <xf numFmtId="0" fontId="62" fillId="0" borderId="0" xfId="2" applyFont="1" applyFill="1" applyBorder="1" applyAlignment="1">
      <alignment horizontal="center" vertical="center"/>
    </xf>
    <xf numFmtId="0" fontId="67" fillId="0" borderId="0" xfId="2" applyFont="1" applyFill="1" applyAlignment="1">
      <alignment vertical="center"/>
    </xf>
    <xf numFmtId="173" fontId="67" fillId="0" borderId="0" xfId="2" applyNumberFormat="1" applyFont="1" applyFill="1" applyAlignment="1">
      <alignment vertical="center"/>
    </xf>
    <xf numFmtId="0" fontId="67" fillId="0" borderId="0" xfId="2" applyFont="1" applyFill="1" applyBorder="1" applyAlignment="1" applyProtection="1">
      <alignment horizontal="left"/>
    </xf>
    <xf numFmtId="0" fontId="61" fillId="0" borderId="0" xfId="2" applyFont="1" applyFill="1" applyBorder="1" applyAlignment="1">
      <alignment horizontal="center" vertical="center"/>
    </xf>
    <xf numFmtId="173" fontId="62" fillId="0" borderId="0" xfId="2" applyNumberFormat="1" applyFont="1" applyFill="1" applyAlignment="1">
      <alignment horizontal="center" vertical="center"/>
    </xf>
    <xf numFmtId="0" fontId="61" fillId="0" borderId="0" xfId="2" applyFont="1" applyBorder="1" applyAlignment="1">
      <alignment horizontal="center" vertical="center"/>
    </xf>
    <xf numFmtId="0" fontId="61" fillId="0" borderId="0" xfId="2" applyFont="1" applyAlignment="1">
      <alignment horizontal="center" vertical="center"/>
    </xf>
    <xf numFmtId="1" fontId="57" fillId="0" borderId="8" xfId="2" applyNumberFormat="1" applyFont="1" applyFill="1" applyBorder="1" applyAlignment="1">
      <alignment horizontal="center" vertical="center"/>
    </xf>
    <xf numFmtId="1" fontId="57" fillId="0" borderId="6" xfId="2" applyNumberFormat="1" applyFont="1" applyFill="1" applyBorder="1" applyAlignment="1">
      <alignment horizontal="center" vertical="center"/>
    </xf>
    <xf numFmtId="173" fontId="57" fillId="0" borderId="5" xfId="2" applyNumberFormat="1" applyFont="1" applyFill="1" applyBorder="1" applyAlignment="1">
      <alignment vertical="center"/>
    </xf>
    <xf numFmtId="173" fontId="66" fillId="0" borderId="7" xfId="2" applyNumberFormat="1" applyFont="1" applyFill="1" applyBorder="1" applyAlignment="1"/>
    <xf numFmtId="173" fontId="66" fillId="0" borderId="6" xfId="2" applyNumberFormat="1" applyFont="1" applyFill="1" applyBorder="1" applyAlignment="1"/>
    <xf numFmtId="173" fontId="66" fillId="0" borderId="8" xfId="2" applyNumberFormat="1" applyFont="1" applyFill="1" applyBorder="1" applyAlignment="1"/>
    <xf numFmtId="173" fontId="66" fillId="0" borderId="6" xfId="2" applyNumberFormat="1" applyFont="1" applyFill="1" applyBorder="1" applyAlignment="1">
      <alignment horizontal="right" vertical="center"/>
    </xf>
    <xf numFmtId="0" fontId="57" fillId="0" borderId="27" xfId="2" applyFont="1" applyFill="1" applyBorder="1" applyAlignment="1">
      <alignment horizontal="left" vertical="center"/>
    </xf>
    <xf numFmtId="0" fontId="57" fillId="0" borderId="27" xfId="2" applyFont="1" applyFill="1" applyBorder="1" applyAlignment="1">
      <alignment horizontal="left" vertical="top" wrapText="1"/>
    </xf>
    <xf numFmtId="0" fontId="57" fillId="0" borderId="27" xfId="2" applyFont="1" applyFill="1" applyBorder="1" applyAlignment="1">
      <alignment horizontal="left" vertical="center" wrapText="1"/>
    </xf>
    <xf numFmtId="1" fontId="57" fillId="0" borderId="7" xfId="2" applyNumberFormat="1" applyFont="1" applyFill="1" applyBorder="1" applyAlignment="1">
      <alignment horizontal="center" vertical="center"/>
    </xf>
    <xf numFmtId="0" fontId="57" fillId="0" borderId="11" xfId="2" applyFont="1" applyFill="1" applyBorder="1" applyAlignment="1" applyProtection="1">
      <alignment horizontal="left"/>
    </xf>
    <xf numFmtId="0" fontId="61" fillId="0" borderId="0" xfId="0" applyFont="1" applyFill="1" applyBorder="1" applyAlignment="1" applyProtection="1">
      <alignment horizontal="center" vertical="center"/>
    </xf>
    <xf numFmtId="0" fontId="59" fillId="0" borderId="0" xfId="0" applyFont="1" applyFill="1" applyBorder="1" applyAlignment="1">
      <alignment horizontal="center" vertical="center"/>
    </xf>
    <xf numFmtId="170" fontId="59" fillId="0" borderId="0" xfId="0" applyNumberFormat="1" applyFont="1" applyFill="1" applyBorder="1" applyAlignment="1">
      <alignment horizontal="center" vertical="center"/>
    </xf>
    <xf numFmtId="0" fontId="61" fillId="0" borderId="0" xfId="0" quotePrefix="1" applyFont="1" applyFill="1" applyAlignment="1">
      <alignment horizontal="center" vertical="center"/>
    </xf>
    <xf numFmtId="170" fontId="61" fillId="0" borderId="0" xfId="0" quotePrefix="1" applyNumberFormat="1" applyFont="1" applyFill="1" applyBorder="1" applyAlignment="1">
      <alignment horizontal="right" vertical="center"/>
    </xf>
    <xf numFmtId="173" fontId="62" fillId="0" borderId="11" xfId="0" applyNumberFormat="1" applyFont="1" applyFill="1" applyBorder="1"/>
    <xf numFmtId="0" fontId="52" fillId="0" borderId="0" xfId="0" applyFont="1" applyFill="1" applyAlignment="1">
      <alignment vertical="top"/>
    </xf>
    <xf numFmtId="173" fontId="62" fillId="0" borderId="4" xfId="0" applyNumberFormat="1" applyFont="1" applyFill="1" applyBorder="1" applyAlignment="1">
      <alignment horizontal="right"/>
    </xf>
    <xf numFmtId="173" fontId="57" fillId="0" borderId="11" xfId="0" applyNumberFormat="1" applyFont="1" applyFill="1" applyBorder="1" applyAlignment="1">
      <alignment horizontal="right"/>
    </xf>
    <xf numFmtId="173" fontId="62" fillId="0" borderId="0" xfId="0" applyNumberFormat="1" applyFont="1" applyFill="1" applyBorder="1" applyAlignment="1">
      <alignment horizontal="right"/>
    </xf>
    <xf numFmtId="0" fontId="52" fillId="0" borderId="0" xfId="0" applyFont="1" applyFill="1" applyAlignment="1">
      <alignment vertical="center"/>
    </xf>
    <xf numFmtId="171" fontId="57" fillId="0" borderId="0" xfId="0" applyNumberFormat="1" applyFont="1" applyFill="1" applyBorder="1" applyAlignment="1">
      <alignment horizontal="right" vertical="center"/>
    </xf>
    <xf numFmtId="168" fontId="52" fillId="0" borderId="0" xfId="0" applyNumberFormat="1" applyFont="1" applyFill="1"/>
    <xf numFmtId="168" fontId="52" fillId="0" borderId="0" xfId="0" applyNumberFormat="1" applyFont="1" applyFill="1" applyBorder="1"/>
    <xf numFmtId="171" fontId="62" fillId="0" borderId="0" xfId="0" applyNumberFormat="1" applyFont="1" applyFill="1" applyBorder="1" applyAlignment="1">
      <alignment horizontal="right"/>
    </xf>
    <xf numFmtId="168" fontId="53" fillId="0" borderId="0" xfId="0" applyNumberFormat="1" applyFont="1" applyFill="1"/>
    <xf numFmtId="176" fontId="62" fillId="0" borderId="11" xfId="0" applyNumberFormat="1" applyFont="1" applyFill="1" applyBorder="1" applyAlignment="1"/>
    <xf numFmtId="176" fontId="62" fillId="0" borderId="4" xfId="0" applyNumberFormat="1" applyFont="1" applyFill="1" applyBorder="1" applyAlignment="1"/>
    <xf numFmtId="176" fontId="62" fillId="0" borderId="0" xfId="0" applyNumberFormat="1" applyFont="1" applyFill="1" applyBorder="1" applyAlignment="1"/>
    <xf numFmtId="176" fontId="62" fillId="0" borderId="0" xfId="0" applyNumberFormat="1" applyFont="1" applyFill="1"/>
    <xf numFmtId="0" fontId="55" fillId="0" borderId="0" xfId="0" applyFont="1" applyFill="1" applyBorder="1" applyAlignment="1" applyProtection="1">
      <alignment horizontal="left" vertical="center"/>
    </xf>
    <xf numFmtId="0" fontId="55" fillId="0" borderId="0" xfId="0" quotePrefix="1" applyFont="1" applyFill="1" applyBorder="1" applyAlignment="1">
      <alignment horizontal="center" vertical="center"/>
    </xf>
    <xf numFmtId="170" fontId="55" fillId="0" borderId="0" xfId="0" quotePrefix="1" applyNumberFormat="1" applyFont="1" applyFill="1" applyBorder="1" applyAlignment="1">
      <alignment horizontal="right" vertical="center"/>
    </xf>
    <xf numFmtId="170" fontId="62" fillId="0" borderId="3" xfId="0" applyNumberFormat="1" applyFont="1" applyFill="1" applyBorder="1" applyAlignment="1" applyProtection="1">
      <alignment horizontal="center" vertical="center"/>
    </xf>
    <xf numFmtId="176" fontId="55" fillId="0" borderId="0" xfId="0" applyNumberFormat="1" applyFont="1" applyFill="1" applyBorder="1" applyAlignment="1" applyProtection="1">
      <alignment horizontal="right"/>
    </xf>
    <xf numFmtId="170" fontId="62" fillId="0" borderId="3" xfId="0" applyNumberFormat="1" applyFont="1" applyFill="1" applyBorder="1" applyAlignment="1" applyProtection="1">
      <alignment horizontal="center"/>
    </xf>
    <xf numFmtId="0" fontId="55" fillId="0" borderId="0" xfId="0" applyFont="1" applyFill="1" applyBorder="1" applyAlignment="1"/>
    <xf numFmtId="0" fontId="58" fillId="0" borderId="0" xfId="0" applyFont="1" applyFill="1" applyBorder="1" applyAlignment="1"/>
    <xf numFmtId="169" fontId="55" fillId="0" borderId="0" xfId="0" applyNumberFormat="1" applyFont="1" applyFill="1" applyBorder="1" applyAlignment="1"/>
    <xf numFmtId="0" fontId="57" fillId="0" borderId="0" xfId="0" applyFont="1" applyFill="1" applyBorder="1" applyAlignment="1"/>
    <xf numFmtId="169" fontId="55" fillId="0" borderId="0" xfId="0" applyNumberFormat="1" applyFont="1" applyFill="1" applyBorder="1" applyAlignment="1">
      <alignment horizontal="center"/>
    </xf>
    <xf numFmtId="169" fontId="55" fillId="0" borderId="0" xfId="0" applyNumberFormat="1" applyFont="1" applyFill="1" applyBorder="1" applyAlignment="1" applyProtection="1">
      <alignment horizontal="center"/>
    </xf>
    <xf numFmtId="0" fontId="55" fillId="0" borderId="0" xfId="0" applyFont="1" applyFill="1" applyBorder="1" applyAlignment="1">
      <alignment horizontal="center" vertical="center"/>
    </xf>
    <xf numFmtId="0" fontId="58" fillId="0" borderId="0" xfId="0" applyFont="1" applyFill="1" applyBorder="1" applyAlignment="1">
      <alignment horizontal="center" vertical="center"/>
    </xf>
    <xf numFmtId="170" fontId="58" fillId="0" borderId="0" xfId="0" applyNumberFormat="1" applyFont="1" applyFill="1" applyBorder="1" applyAlignment="1">
      <alignment horizontal="center" vertical="center"/>
    </xf>
    <xf numFmtId="0" fontId="62" fillId="0" borderId="4" xfId="2" applyFont="1" applyFill="1" applyBorder="1" applyAlignment="1" applyProtection="1">
      <alignment horizontal="left" vertical="center"/>
    </xf>
    <xf numFmtId="0" fontId="62" fillId="0" borderId="0" xfId="2" applyFont="1" applyFill="1" applyBorder="1" applyAlignment="1" applyProtection="1">
      <alignment horizontal="left" vertical="center"/>
    </xf>
    <xf numFmtId="0" fontId="57" fillId="0" borderId="0" xfId="2" applyFont="1" applyFill="1" applyBorder="1" applyAlignment="1" applyProtection="1">
      <alignment horizontal="center" vertical="center"/>
    </xf>
    <xf numFmtId="0" fontId="57" fillId="0" borderId="0" xfId="2" applyFont="1" applyFill="1" applyBorder="1" applyAlignment="1" applyProtection="1">
      <alignment horizontal="left" vertical="center"/>
    </xf>
    <xf numFmtId="0" fontId="62" fillId="0" borderId="8" xfId="2" applyFont="1" applyFill="1" applyBorder="1" applyAlignment="1" applyProtection="1">
      <alignment horizontal="left" vertical="center"/>
    </xf>
    <xf numFmtId="170" fontId="57" fillId="0" borderId="3" xfId="2" applyNumberFormat="1" applyFont="1" applyFill="1" applyBorder="1" applyAlignment="1" applyProtection="1">
      <alignment vertical="center"/>
    </xf>
    <xf numFmtId="170" fontId="62" fillId="0" borderId="11" xfId="2" applyNumberFormat="1" applyFont="1" applyFill="1" applyBorder="1" applyAlignment="1" applyProtection="1">
      <alignment vertical="center"/>
    </xf>
    <xf numFmtId="170" fontId="62" fillId="0" borderId="0" xfId="2" applyNumberFormat="1" applyFont="1" applyFill="1" applyBorder="1" applyAlignment="1" applyProtection="1">
      <alignment vertical="center"/>
    </xf>
    <xf numFmtId="170" fontId="62" fillId="0" borderId="3" xfId="2" applyNumberFormat="1" applyFont="1" applyFill="1" applyBorder="1" applyAlignment="1" applyProtection="1">
      <alignment vertical="center"/>
    </xf>
    <xf numFmtId="170" fontId="57" fillId="0" borderId="11" xfId="0" applyNumberFormat="1" applyFont="1" applyFill="1" applyBorder="1" applyAlignment="1" applyProtection="1">
      <alignment vertical="center"/>
    </xf>
    <xf numFmtId="170" fontId="62" fillId="0" borderId="11" xfId="0" applyNumberFormat="1" applyFont="1" applyFill="1" applyBorder="1" applyAlignment="1" applyProtection="1">
      <alignment vertical="center"/>
    </xf>
    <xf numFmtId="170" fontId="62" fillId="0" borderId="4" xfId="0" applyNumberFormat="1" applyFont="1" applyFill="1" applyBorder="1" applyAlignment="1" applyProtection="1">
      <alignment vertical="center"/>
    </xf>
    <xf numFmtId="170" fontId="62" fillId="0" borderId="0" xfId="0" applyNumberFormat="1" applyFont="1" applyFill="1" applyBorder="1" applyAlignment="1" applyProtection="1">
      <alignment vertical="center"/>
    </xf>
    <xf numFmtId="170" fontId="62" fillId="0" borderId="3" xfId="0" applyNumberFormat="1" applyFont="1" applyFill="1" applyBorder="1" applyAlignment="1" applyProtection="1">
      <alignment vertical="center"/>
    </xf>
    <xf numFmtId="170" fontId="57" fillId="0" borderId="7" xfId="2" applyNumberFormat="1" applyFont="1" applyFill="1" applyBorder="1" applyAlignment="1" applyProtection="1">
      <alignment vertical="center"/>
    </xf>
    <xf numFmtId="170" fontId="62" fillId="0" borderId="5" xfId="2" applyNumberFormat="1" applyFont="1" applyFill="1" applyBorder="1" applyAlignment="1" applyProtection="1">
      <alignment vertical="center"/>
    </xf>
    <xf numFmtId="170" fontId="62" fillId="0" borderId="6" xfId="2" applyNumberFormat="1" applyFont="1" applyFill="1" applyBorder="1" applyAlignment="1" applyProtection="1">
      <alignment vertical="center"/>
    </xf>
    <xf numFmtId="170" fontId="62" fillId="0" borderId="7" xfId="2" applyNumberFormat="1" applyFont="1" applyFill="1" applyBorder="1" applyAlignment="1" applyProtection="1">
      <alignment vertical="center"/>
    </xf>
    <xf numFmtId="170" fontId="57" fillId="0" borderId="5" xfId="0" applyNumberFormat="1" applyFont="1" applyFill="1" applyBorder="1" applyAlignment="1" applyProtection="1">
      <alignment vertical="center"/>
    </xf>
    <xf numFmtId="170" fontId="62" fillId="0" borderId="5" xfId="0" applyNumberFormat="1" applyFont="1" applyFill="1" applyBorder="1" applyAlignment="1" applyProtection="1">
      <alignment vertical="center"/>
    </xf>
    <xf numFmtId="170" fontId="62" fillId="0" borderId="8" xfId="0" applyNumberFormat="1" applyFont="1" applyFill="1" applyBorder="1" applyAlignment="1" applyProtection="1">
      <alignment vertical="center"/>
    </xf>
    <xf numFmtId="170" fontId="57" fillId="0" borderId="0" xfId="2" applyNumberFormat="1" applyFont="1" applyFill="1" applyBorder="1" applyAlignment="1" applyProtection="1">
      <alignment vertical="center"/>
    </xf>
    <xf numFmtId="170" fontId="57" fillId="0" borderId="0" xfId="0" applyNumberFormat="1" applyFont="1" applyFill="1" applyBorder="1" applyAlignment="1" applyProtection="1">
      <alignment vertical="center"/>
    </xf>
    <xf numFmtId="0" fontId="62" fillId="0" borderId="0" xfId="2" quotePrefix="1" applyFont="1" applyFill="1" applyAlignment="1">
      <alignment vertical="center"/>
    </xf>
    <xf numFmtId="0" fontId="68" fillId="0" borderId="0" xfId="2" applyFont="1" applyFill="1" applyAlignment="1">
      <alignment vertical="center"/>
    </xf>
    <xf numFmtId="0" fontId="62" fillId="0" borderId="0" xfId="2" applyFont="1" applyFill="1" applyAlignment="1">
      <alignment horizontal="right" vertical="center"/>
    </xf>
    <xf numFmtId="190" fontId="57" fillId="0" borderId="0" xfId="2" applyNumberFormat="1" applyFont="1" applyFill="1" applyBorder="1" applyAlignment="1">
      <alignment vertical="center" wrapText="1"/>
    </xf>
    <xf numFmtId="178" fontId="62" fillId="0" borderId="0" xfId="2" applyNumberFormat="1" applyFont="1" applyFill="1" applyBorder="1" applyAlignment="1">
      <alignment vertical="center"/>
    </xf>
    <xf numFmtId="170" fontId="57" fillId="0" borderId="23" xfId="2" applyNumberFormat="1" applyFont="1" applyFill="1" applyBorder="1" applyAlignment="1" applyProtection="1">
      <alignment vertical="center"/>
    </xf>
    <xf numFmtId="170" fontId="62" fillId="0" borderId="69" xfId="2" applyNumberFormat="1" applyFont="1" applyFill="1" applyBorder="1" applyAlignment="1" applyProtection="1">
      <alignment vertical="center"/>
    </xf>
    <xf numFmtId="170" fontId="62" fillId="0" borderId="13" xfId="2" applyNumberFormat="1" applyFont="1" applyFill="1" applyBorder="1" applyAlignment="1" applyProtection="1">
      <alignment vertical="center"/>
    </xf>
    <xf numFmtId="170" fontId="62" fillId="0" borderId="23" xfId="2" applyNumberFormat="1" applyFont="1" applyFill="1" applyBorder="1" applyAlignment="1" applyProtection="1">
      <alignment vertical="center"/>
    </xf>
    <xf numFmtId="170" fontId="57" fillId="0" borderId="69" xfId="0" applyNumberFormat="1" applyFont="1" applyFill="1" applyBorder="1" applyAlignment="1" applyProtection="1">
      <alignment vertical="center"/>
    </xf>
    <xf numFmtId="170" fontId="62" fillId="0" borderId="69" xfId="0" applyNumberFormat="1" applyFont="1" applyFill="1" applyBorder="1" applyAlignment="1" applyProtection="1">
      <alignment vertical="center"/>
    </xf>
    <xf numFmtId="170" fontId="62" fillId="0" borderId="68" xfId="0" applyNumberFormat="1" applyFont="1" applyFill="1" applyBorder="1" applyAlignment="1" applyProtection="1">
      <alignment vertical="center"/>
    </xf>
    <xf numFmtId="0" fontId="57" fillId="0" borderId="1" xfId="2" applyFont="1" applyFill="1" applyBorder="1" applyAlignment="1" applyProtection="1">
      <alignment horizontal="left"/>
    </xf>
    <xf numFmtId="0" fontId="57" fillId="0" borderId="3" xfId="2" applyFont="1" applyFill="1" applyBorder="1" applyAlignment="1" applyProtection="1">
      <alignment horizontal="left"/>
    </xf>
    <xf numFmtId="0" fontId="62" fillId="0" borderId="4" xfId="2" applyFont="1" applyFill="1" applyBorder="1" applyAlignment="1" applyProtection="1">
      <alignment horizontal="left" vertical="center" wrapText="1"/>
    </xf>
    <xf numFmtId="0" fontId="61" fillId="0" borderId="0" xfId="0" applyFont="1"/>
    <xf numFmtId="173" fontId="57" fillId="0" borderId="9" xfId="0" applyNumberFormat="1" applyFont="1" applyFill="1" applyBorder="1"/>
    <xf numFmtId="173" fontId="62" fillId="0" borderId="10" xfId="0" applyNumberFormat="1" applyFont="1" applyFill="1" applyBorder="1"/>
    <xf numFmtId="173" fontId="62" fillId="0" borderId="2" xfId="0" applyNumberFormat="1" applyFont="1" applyFill="1" applyBorder="1"/>
    <xf numFmtId="173" fontId="62" fillId="0" borderId="1" xfId="0" applyNumberFormat="1" applyFont="1" applyFill="1" applyBorder="1"/>
    <xf numFmtId="169" fontId="62" fillId="0" borderId="0" xfId="0" applyNumberFormat="1" applyFont="1" applyFill="1" applyAlignment="1">
      <alignment vertical="center"/>
    </xf>
    <xf numFmtId="169" fontId="62" fillId="0" borderId="0" xfId="0" applyNumberFormat="1" applyFont="1" applyFill="1" applyBorder="1" applyAlignment="1" applyProtection="1"/>
    <xf numFmtId="169" fontId="53" fillId="0" borderId="0" xfId="0" applyNumberFormat="1" applyFont="1" applyFill="1" applyBorder="1" applyAlignment="1" applyProtection="1">
      <alignment vertical="center"/>
    </xf>
    <xf numFmtId="169" fontId="62" fillId="0" borderId="0" xfId="0" applyNumberFormat="1" applyFont="1" applyFill="1" applyBorder="1" applyAlignment="1">
      <alignment vertical="center"/>
    </xf>
    <xf numFmtId="169" fontId="62" fillId="0" borderId="0" xfId="0" applyNumberFormat="1" applyFont="1" applyFill="1" applyAlignment="1">
      <alignment horizontal="center" vertical="center"/>
    </xf>
    <xf numFmtId="173" fontId="62" fillId="0" borderId="1" xfId="0" quotePrefix="1" applyNumberFormat="1" applyFont="1" applyFill="1" applyBorder="1"/>
    <xf numFmtId="173" fontId="62" fillId="0" borderId="4" xfId="0" quotePrefix="1" applyNumberFormat="1" applyFont="1" applyFill="1" applyBorder="1"/>
    <xf numFmtId="0" fontId="62" fillId="0" borderId="0" xfId="2" applyFont="1" applyFill="1" applyBorder="1" applyAlignment="1" applyProtection="1">
      <alignment horizontal="left"/>
    </xf>
    <xf numFmtId="0" fontId="57" fillId="0" borderId="3" xfId="0" applyFont="1" applyFill="1" applyBorder="1" applyAlignment="1" applyProtection="1">
      <alignment horizontal="left" vertical="center"/>
    </xf>
    <xf numFmtId="179" fontId="57" fillId="0" borderId="3" xfId="0" applyNumberFormat="1" applyFont="1" applyFill="1" applyBorder="1" applyAlignment="1" applyProtection="1">
      <alignment horizontal="right" vertical="center"/>
    </xf>
    <xf numFmtId="179" fontId="57" fillId="0" borderId="11" xfId="0" applyNumberFormat="1" applyFont="1" applyFill="1" applyBorder="1" applyAlignment="1" applyProtection="1">
      <alignment horizontal="right" vertical="center"/>
    </xf>
    <xf numFmtId="179" fontId="57" fillId="0" borderId="4" xfId="0" applyNumberFormat="1" applyFont="1" applyFill="1" applyBorder="1" applyAlignment="1" applyProtection="1">
      <alignment horizontal="right" vertical="center"/>
    </xf>
    <xf numFmtId="0" fontId="62" fillId="0" borderId="3" xfId="0" applyFont="1" applyFill="1" applyBorder="1" applyAlignment="1" applyProtection="1">
      <alignment horizontal="left" vertical="center"/>
    </xf>
    <xf numFmtId="179" fontId="62" fillId="0" borderId="3" xfId="0" applyNumberFormat="1" applyFont="1" applyFill="1" applyBorder="1" applyAlignment="1">
      <alignment horizontal="right" vertical="center"/>
    </xf>
    <xf numFmtId="179" fontId="62" fillId="0" borderId="0" xfId="0" applyNumberFormat="1" applyFont="1" applyFill="1" applyBorder="1" applyAlignment="1" applyProtection="1">
      <alignment horizontal="right" vertical="center"/>
    </xf>
    <xf numFmtId="179" fontId="62" fillId="0" borderId="4" xfId="0" applyNumberFormat="1" applyFont="1" applyFill="1" applyBorder="1" applyAlignment="1" applyProtection="1">
      <alignment horizontal="right" vertical="center"/>
    </xf>
    <xf numFmtId="179" fontId="62" fillId="0" borderId="4" xfId="0" applyNumberFormat="1" applyFont="1" applyFill="1" applyBorder="1" applyAlignment="1">
      <alignment horizontal="right" vertical="center"/>
    </xf>
    <xf numFmtId="179" fontId="62" fillId="0" borderId="11" xfId="0" applyNumberFormat="1" applyFont="1" applyFill="1" applyBorder="1" applyAlignment="1" applyProtection="1">
      <alignment horizontal="right"/>
    </xf>
    <xf numFmtId="179" fontId="62" fillId="0" borderId="4" xfId="0" applyNumberFormat="1" applyFont="1" applyFill="1" applyBorder="1" applyAlignment="1" applyProtection="1">
      <alignment horizontal="right"/>
    </xf>
    <xf numFmtId="179" fontId="62" fillId="0" borderId="0" xfId="0" applyNumberFormat="1" applyFont="1" applyFill="1" applyBorder="1" applyAlignment="1">
      <alignment horizontal="right" vertical="center"/>
    </xf>
    <xf numFmtId="0" fontId="62" fillId="0" borderId="3" xfId="0" applyFont="1" applyFill="1" applyBorder="1" applyAlignment="1">
      <alignment vertical="center"/>
    </xf>
    <xf numFmtId="179" fontId="57" fillId="0" borderId="0" xfId="0" applyNumberFormat="1" applyFont="1" applyFill="1" applyBorder="1" applyAlignment="1">
      <alignment vertical="center"/>
    </xf>
    <xf numFmtId="179" fontId="57" fillId="0" borderId="4" xfId="0" applyNumberFormat="1" applyFont="1" applyFill="1" applyBorder="1" applyAlignment="1">
      <alignment vertical="center"/>
    </xf>
    <xf numFmtId="0" fontId="57" fillId="0" borderId="3" xfId="0" applyFont="1" applyFill="1" applyBorder="1" applyAlignment="1" applyProtection="1">
      <alignment horizontal="left"/>
    </xf>
    <xf numFmtId="0" fontId="62" fillId="0" borderId="4" xfId="0" applyFont="1" applyFill="1" applyBorder="1" applyAlignment="1">
      <alignment vertical="center"/>
    </xf>
    <xf numFmtId="173" fontId="57" fillId="0" borderId="0" xfId="2" applyNumberFormat="1" applyFont="1" applyFill="1" applyBorder="1"/>
    <xf numFmtId="0" fontId="61" fillId="0" borderId="0" xfId="0" applyFont="1" applyBorder="1"/>
    <xf numFmtId="0" fontId="62" fillId="0" borderId="0" xfId="0" applyFont="1" applyFill="1" applyBorder="1" applyAlignment="1" applyProtection="1">
      <alignment horizontal="left"/>
    </xf>
    <xf numFmtId="0" fontId="59" fillId="0" borderId="0" xfId="2" applyFont="1" applyFill="1" applyAlignment="1" applyProtection="1">
      <alignment horizontal="centerContinuous" vertical="center"/>
    </xf>
    <xf numFmtId="0" fontId="58" fillId="0" borderId="0" xfId="2" applyFont="1" applyFill="1" applyAlignment="1" applyProtection="1">
      <alignment horizontal="centerContinuous" vertical="center"/>
    </xf>
    <xf numFmtId="0" fontId="58" fillId="0" borderId="0" xfId="2" applyFont="1" applyFill="1" applyBorder="1" applyAlignment="1" applyProtection="1">
      <alignment horizontal="centerContinuous" vertical="center"/>
    </xf>
    <xf numFmtId="0" fontId="60" fillId="0" borderId="0" xfId="2" applyFont="1" applyFill="1" applyAlignment="1" applyProtection="1">
      <alignment vertical="center"/>
    </xf>
    <xf numFmtId="0" fontId="57" fillId="0" borderId="73" xfId="2" applyFont="1" applyFill="1" applyBorder="1" applyAlignment="1" applyProtection="1">
      <alignment horizontal="left"/>
    </xf>
    <xf numFmtId="0" fontId="57" fillId="0" borderId="70" xfId="2" applyFont="1" applyFill="1" applyBorder="1" applyAlignment="1" applyProtection="1">
      <alignment horizontal="left" vertical="center"/>
    </xf>
    <xf numFmtId="0" fontId="62" fillId="0" borderId="0" xfId="0" applyFont="1"/>
    <xf numFmtId="173" fontId="57" fillId="0" borderId="9" xfId="2" applyNumberFormat="1" applyFont="1" applyFill="1" applyBorder="1"/>
    <xf numFmtId="173" fontId="62" fillId="0" borderId="10" xfId="2" applyNumberFormat="1" applyFont="1" applyFill="1" applyBorder="1"/>
    <xf numFmtId="173" fontId="62" fillId="0" borderId="2" xfId="2" applyNumberFormat="1" applyFont="1" applyFill="1" applyBorder="1"/>
    <xf numFmtId="173" fontId="62" fillId="0" borderId="72" xfId="2" applyNumberFormat="1" applyFont="1" applyFill="1" applyBorder="1"/>
    <xf numFmtId="0" fontId="57" fillId="0" borderId="73" xfId="2" applyFont="1" applyFill="1" applyBorder="1" applyAlignment="1" applyProtection="1">
      <alignment horizontal="left" vertical="center"/>
    </xf>
    <xf numFmtId="169" fontId="57" fillId="0" borderId="3" xfId="0" applyNumberFormat="1" applyFont="1" applyFill="1" applyBorder="1" applyAlignment="1" applyProtection="1">
      <alignment horizontal="left" vertical="center"/>
    </xf>
    <xf numFmtId="169" fontId="57" fillId="0" borderId="11" xfId="0" applyNumberFormat="1" applyFont="1" applyFill="1" applyBorder="1" applyAlignment="1" applyProtection="1">
      <alignment horizontal="right"/>
    </xf>
    <xf numFmtId="169" fontId="57" fillId="0" borderId="0" xfId="0" applyNumberFormat="1" applyFont="1" applyFill="1" applyBorder="1" applyAlignment="1" applyProtection="1">
      <alignment horizontal="right"/>
    </xf>
    <xf numFmtId="169" fontId="57" fillId="0" borderId="4" xfId="0" applyNumberFormat="1" applyFont="1" applyFill="1" applyBorder="1" applyAlignment="1" applyProtection="1">
      <alignment horizontal="right"/>
    </xf>
    <xf numFmtId="169" fontId="57" fillId="0" borderId="74" xfId="0" applyNumberFormat="1" applyFont="1" applyFill="1" applyBorder="1" applyAlignment="1" applyProtection="1">
      <alignment horizontal="right"/>
    </xf>
    <xf numFmtId="169" fontId="69" fillId="0" borderId="3" xfId="0" quotePrefix="1" applyNumberFormat="1" applyFont="1" applyFill="1" applyBorder="1" applyAlignment="1">
      <alignment wrapText="1"/>
    </xf>
    <xf numFmtId="169" fontId="57" fillId="0" borderId="11" xfId="0" applyNumberFormat="1" applyFont="1" applyFill="1" applyBorder="1" applyAlignment="1" applyProtection="1"/>
    <xf numFmtId="169" fontId="62" fillId="0" borderId="4" xfId="0" applyNumberFormat="1" applyFont="1" applyFill="1" applyBorder="1" applyAlignment="1" applyProtection="1"/>
    <xf numFmtId="169" fontId="69" fillId="0" borderId="3" xfId="0" quotePrefix="1" applyNumberFormat="1" applyFont="1" applyFill="1" applyBorder="1" applyAlignment="1">
      <alignment horizontal="left" wrapText="1"/>
    </xf>
    <xf numFmtId="169" fontId="69" fillId="0" borderId="7" xfId="0" quotePrefix="1" applyNumberFormat="1" applyFont="1" applyFill="1" applyBorder="1" applyAlignment="1">
      <alignment wrapText="1"/>
    </xf>
    <xf numFmtId="169" fontId="57" fillId="0" borderId="5" xfId="0" applyNumberFormat="1" applyFont="1" applyFill="1" applyBorder="1" applyAlignment="1" applyProtection="1"/>
    <xf numFmtId="169" fontId="62" fillId="0" borderId="6" xfId="0" applyNumberFormat="1" applyFont="1" applyFill="1" applyBorder="1" applyAlignment="1" applyProtection="1"/>
    <xf numFmtId="169" fontId="62" fillId="0" borderId="8" xfId="0" applyNumberFormat="1" applyFont="1" applyFill="1" applyBorder="1" applyAlignment="1" applyProtection="1"/>
    <xf numFmtId="169" fontId="62" fillId="0" borderId="11" xfId="0" applyNumberFormat="1" applyFont="1" applyFill="1" applyBorder="1" applyAlignment="1" applyProtection="1"/>
    <xf numFmtId="169" fontId="57" fillId="0" borderId="3" xfId="0" applyNumberFormat="1" applyFont="1" applyFill="1" applyBorder="1" applyAlignment="1" applyProtection="1"/>
    <xf numFmtId="169" fontId="69" fillId="0" borderId="3" xfId="0" quotePrefix="1" applyNumberFormat="1" applyFont="1" applyFill="1" applyBorder="1" applyAlignment="1">
      <alignment vertical="center" wrapText="1"/>
    </xf>
    <xf numFmtId="169" fontId="69" fillId="0" borderId="7" xfId="0" quotePrefix="1" applyNumberFormat="1" applyFont="1" applyFill="1" applyBorder="1" applyAlignment="1">
      <alignment vertical="center" wrapText="1"/>
    </xf>
    <xf numFmtId="169" fontId="57" fillId="0" borderId="7" xfId="0" applyNumberFormat="1" applyFont="1" applyFill="1" applyBorder="1" applyAlignment="1" applyProtection="1"/>
    <xf numFmtId="169" fontId="62" fillId="0" borderId="5" xfId="0" applyNumberFormat="1" applyFont="1" applyFill="1" applyBorder="1" applyAlignment="1" applyProtection="1"/>
    <xf numFmtId="169" fontId="58" fillId="0" borderId="3" xfId="0" applyNumberFormat="1" applyFont="1" applyFill="1" applyBorder="1" applyAlignment="1" applyProtection="1">
      <alignment horizontal="left" vertical="center"/>
    </xf>
    <xf numFmtId="169" fontId="55" fillId="0" borderId="3" xfId="0" applyNumberFormat="1" applyFont="1" applyFill="1" applyBorder="1" applyAlignment="1" applyProtection="1">
      <alignment horizontal="left" vertical="center"/>
    </xf>
    <xf numFmtId="169" fontId="55" fillId="0" borderId="7" xfId="0" applyNumberFormat="1" applyFont="1" applyFill="1" applyBorder="1" applyAlignment="1" applyProtection="1">
      <alignment horizontal="left" vertical="center"/>
    </xf>
    <xf numFmtId="169" fontId="57" fillId="0" borderId="11" xfId="0" applyNumberFormat="1" applyFont="1" applyFill="1" applyBorder="1" applyAlignment="1" applyProtection="1">
      <alignment horizontal="left" vertical="center"/>
    </xf>
    <xf numFmtId="169" fontId="69" fillId="0" borderId="11" xfId="0" quotePrefix="1" applyNumberFormat="1" applyFont="1" applyFill="1" applyBorder="1" applyAlignment="1">
      <alignment wrapText="1"/>
    </xf>
    <xf numFmtId="169" fontId="69" fillId="0" borderId="11" xfId="0" quotePrefix="1" applyNumberFormat="1" applyFont="1" applyFill="1" applyBorder="1" applyAlignment="1">
      <alignment horizontal="left" wrapText="1"/>
    </xf>
    <xf numFmtId="169" fontId="69" fillId="0" borderId="5" xfId="0" quotePrefix="1" applyNumberFormat="1" applyFont="1" applyFill="1" applyBorder="1" applyAlignment="1">
      <alignment wrapText="1"/>
    </xf>
    <xf numFmtId="169" fontId="69" fillId="0" borderId="11" xfId="0" quotePrefix="1" applyNumberFormat="1" applyFont="1" applyFill="1" applyBorder="1" applyAlignment="1">
      <alignment vertical="center" wrapText="1"/>
    </xf>
    <xf numFmtId="169" fontId="69" fillId="0" borderId="5" xfId="0" quotePrefix="1" applyNumberFormat="1" applyFont="1" applyFill="1" applyBorder="1" applyAlignment="1">
      <alignment vertical="center" wrapText="1"/>
    </xf>
    <xf numFmtId="169" fontId="62" fillId="0" borderId="3" xfId="0" applyNumberFormat="1" applyFont="1" applyFill="1" applyBorder="1" applyAlignment="1" applyProtection="1">
      <alignment horizontal="left" vertical="center"/>
    </xf>
    <xf numFmtId="169" fontId="57" fillId="0" borderId="0" xfId="0" applyNumberFormat="1" applyFont="1" applyFill="1" applyBorder="1" applyAlignment="1" applyProtection="1"/>
    <xf numFmtId="169" fontId="57" fillId="0" borderId="6" xfId="0" applyNumberFormat="1" applyFont="1" applyFill="1" applyBorder="1" applyAlignment="1" applyProtection="1"/>
    <xf numFmtId="169" fontId="57" fillId="0" borderId="1" xfId="0" applyNumberFormat="1" applyFont="1" applyFill="1" applyBorder="1" applyAlignment="1" applyProtection="1">
      <alignment horizontal="left" vertical="center"/>
    </xf>
    <xf numFmtId="169" fontId="57" fillId="0" borderId="9" xfId="0" applyNumberFormat="1" applyFont="1" applyFill="1" applyBorder="1" applyAlignment="1" applyProtection="1">
      <alignment horizontal="right"/>
    </xf>
    <xf numFmtId="169" fontId="57" fillId="0" borderId="10" xfId="0" applyNumberFormat="1" applyFont="1" applyFill="1" applyBorder="1" applyAlignment="1" applyProtection="1">
      <alignment horizontal="right"/>
    </xf>
    <xf numFmtId="169" fontId="57" fillId="0" borderId="2" xfId="0" applyNumberFormat="1" applyFont="1" applyFill="1" applyBorder="1" applyAlignment="1" applyProtection="1">
      <alignment horizontal="right"/>
    </xf>
    <xf numFmtId="0" fontId="58" fillId="0" borderId="0" xfId="2" applyFont="1" applyFill="1" applyAlignment="1" applyProtection="1">
      <alignment vertical="center"/>
    </xf>
    <xf numFmtId="0" fontId="57" fillId="0" borderId="4" xfId="2" applyFont="1" applyFill="1" applyBorder="1" applyAlignment="1">
      <alignment horizontal="left" vertical="center"/>
    </xf>
    <xf numFmtId="0" fontId="53" fillId="0" borderId="4" xfId="2" applyFont="1" applyFill="1" applyBorder="1" applyAlignment="1">
      <alignment vertical="top"/>
    </xf>
    <xf numFmtId="0" fontId="57" fillId="0" borderId="2" xfId="2" applyFont="1" applyFill="1" applyBorder="1" applyAlignment="1">
      <alignment horizontal="left" vertical="center" wrapText="1"/>
    </xf>
    <xf numFmtId="0" fontId="57" fillId="0" borderId="4" xfId="2" applyFont="1" applyFill="1" applyBorder="1" applyAlignment="1">
      <alignment horizontal="center" wrapText="1"/>
    </xf>
    <xf numFmtId="0" fontId="62" fillId="0" borderId="4" xfId="2" applyFont="1" applyFill="1" applyBorder="1" applyAlignment="1">
      <alignment horizontal="center" wrapText="1"/>
    </xf>
    <xf numFmtId="0" fontId="62" fillId="0" borderId="4" xfId="2" applyFont="1" applyFill="1" applyBorder="1" applyAlignment="1">
      <alignment vertical="center"/>
    </xf>
    <xf numFmtId="0" fontId="62" fillId="0" borderId="8" xfId="2" applyFont="1" applyFill="1" applyBorder="1" applyAlignment="1">
      <alignment horizontal="center" vertical="center"/>
    </xf>
    <xf numFmtId="0" fontId="57" fillId="0" borderId="4" xfId="2" applyFont="1" applyFill="1" applyBorder="1" applyAlignment="1">
      <alignment horizontal="center" vertical="center"/>
    </xf>
    <xf numFmtId="0" fontId="62" fillId="0" borderId="8" xfId="2" applyFont="1" applyFill="1" applyBorder="1" applyAlignment="1">
      <alignment vertical="center"/>
    </xf>
    <xf numFmtId="3" fontId="62" fillId="0" borderId="4" xfId="2" applyNumberFormat="1" applyFont="1" applyFill="1" applyBorder="1" applyAlignment="1">
      <alignment vertical="center"/>
    </xf>
    <xf numFmtId="0" fontId="57" fillId="0" borderId="4" xfId="2" applyFont="1" applyFill="1" applyBorder="1" applyAlignment="1">
      <alignment horizontal="left" vertical="top" wrapText="1"/>
    </xf>
    <xf numFmtId="0" fontId="57" fillId="0" borderId="4" xfId="2" applyFont="1" applyFill="1" applyBorder="1" applyAlignment="1">
      <alignment vertical="center"/>
    </xf>
    <xf numFmtId="0" fontId="62" fillId="0" borderId="4" xfId="2" applyFont="1" applyFill="1" applyBorder="1" applyAlignment="1">
      <alignment horizontal="center" vertical="top"/>
    </xf>
    <xf numFmtId="0" fontId="62" fillId="0" borderId="8" xfId="2" applyFont="1" applyFill="1" applyBorder="1" applyAlignment="1">
      <alignment horizontal="center" vertical="top"/>
    </xf>
    <xf numFmtId="0" fontId="62" fillId="0" borderId="3" xfId="2" applyFont="1" applyFill="1" applyBorder="1" applyAlignment="1">
      <alignment vertical="center"/>
    </xf>
    <xf numFmtId="0" fontId="62" fillId="0" borderId="7" xfId="2" applyFont="1" applyFill="1" applyBorder="1" applyAlignment="1">
      <alignment vertical="center"/>
    </xf>
    <xf numFmtId="0" fontId="57" fillId="0" borderId="3" xfId="2" applyFont="1" applyFill="1" applyBorder="1" applyAlignment="1">
      <alignment horizontal="left" vertical="center" wrapText="1"/>
    </xf>
    <xf numFmtId="0" fontId="57" fillId="0" borderId="3" xfId="2" applyFont="1" applyFill="1" applyBorder="1" applyAlignment="1">
      <alignment horizontal="center" wrapText="1"/>
    </xf>
    <xf numFmtId="0" fontId="57" fillId="0" borderId="7" xfId="2" applyFont="1" applyFill="1" applyBorder="1" applyAlignment="1">
      <alignment horizontal="center" wrapText="1"/>
    </xf>
    <xf numFmtId="0" fontId="62" fillId="0" borderId="3" xfId="2" applyFont="1" applyFill="1" applyBorder="1"/>
    <xf numFmtId="0" fontId="62" fillId="0" borderId="7" xfId="2" applyFont="1" applyFill="1" applyBorder="1"/>
    <xf numFmtId="0" fontId="57" fillId="0" borderId="4" xfId="2" applyFont="1" applyFill="1" applyBorder="1" applyAlignment="1">
      <alignment horizontal="right" vertical="center"/>
    </xf>
    <xf numFmtId="0" fontId="57" fillId="0" borderId="2" xfId="2" applyFont="1" applyFill="1" applyBorder="1" applyAlignment="1">
      <alignment horizontal="right" vertical="center"/>
    </xf>
    <xf numFmtId="0" fontId="52" fillId="0" borderId="0" xfId="2" applyFont="1" applyBorder="1" applyAlignment="1">
      <alignment horizontal="centerContinuous" vertical="center"/>
    </xf>
    <xf numFmtId="0" fontId="53" fillId="0" borderId="0" xfId="2" applyFont="1" applyBorder="1" applyAlignment="1">
      <alignment horizontal="centerContinuous" vertical="center"/>
    </xf>
    <xf numFmtId="0" fontId="62" fillId="0" borderId="4" xfId="0" applyFont="1" applyFill="1" applyBorder="1" applyAlignment="1" applyProtection="1">
      <alignment horizontal="right"/>
    </xf>
    <xf numFmtId="0" fontId="62" fillId="0" borderId="4" xfId="0" applyFont="1" applyFill="1" applyBorder="1" applyAlignment="1">
      <alignment horizontal="right"/>
    </xf>
    <xf numFmtId="0" fontId="62" fillId="0" borderId="4" xfId="0" applyFont="1" applyFill="1" applyBorder="1" applyAlignment="1" applyProtection="1">
      <alignment horizontal="right" vertical="center"/>
    </xf>
    <xf numFmtId="0" fontId="53" fillId="0" borderId="0" xfId="0" applyFont="1" applyFill="1" applyAlignment="1">
      <alignment horizontal="centerContinuous"/>
    </xf>
    <xf numFmtId="0" fontId="53" fillId="0" borderId="0" xfId="0" applyFont="1" applyFill="1" applyAlignment="1">
      <alignment horizontal="centerContinuous" wrapText="1"/>
    </xf>
    <xf numFmtId="0" fontId="53" fillId="0" borderId="0" xfId="0" applyFont="1" applyFill="1" applyAlignment="1" applyProtection="1">
      <alignment horizontal="centerContinuous"/>
    </xf>
    <xf numFmtId="14" fontId="58" fillId="0" borderId="0" xfId="2" applyNumberFormat="1" applyFont="1" applyFill="1" applyAlignment="1" applyProtection="1">
      <alignment horizontal="centerContinuous" vertical="center"/>
    </xf>
    <xf numFmtId="0" fontId="58" fillId="0" borderId="23" xfId="0" applyFont="1" applyFill="1" applyBorder="1" applyAlignment="1" applyProtection="1">
      <alignment vertical="center"/>
    </xf>
    <xf numFmtId="0" fontId="58" fillId="0" borderId="23" xfId="0" applyFont="1" applyFill="1" applyBorder="1" applyAlignment="1" applyProtection="1">
      <alignment horizontal="center" vertical="center"/>
    </xf>
    <xf numFmtId="49" fontId="58" fillId="0" borderId="23" xfId="0" applyNumberFormat="1" applyFont="1" applyFill="1" applyBorder="1" applyAlignment="1" applyProtection="1">
      <alignment vertical="center"/>
    </xf>
    <xf numFmtId="170" fontId="57" fillId="0" borderId="23" xfId="0" applyNumberFormat="1" applyFont="1" applyFill="1" applyBorder="1" applyAlignment="1" applyProtection="1">
      <alignment horizontal="center"/>
    </xf>
    <xf numFmtId="0" fontId="58" fillId="0" borderId="23" xfId="0" applyFont="1" applyFill="1" applyBorder="1" applyAlignment="1" applyProtection="1"/>
    <xf numFmtId="0" fontId="71" fillId="0" borderId="73" xfId="2" applyFont="1" applyFill="1" applyBorder="1" applyAlignment="1" applyProtection="1">
      <alignment horizontal="left"/>
    </xf>
    <xf numFmtId="0" fontId="71" fillId="0" borderId="73" xfId="2" applyFont="1" applyFill="1" applyBorder="1" applyAlignment="1" applyProtection="1">
      <alignment horizontal="left" vertical="center"/>
    </xf>
    <xf numFmtId="0" fontId="71" fillId="0" borderId="76" xfId="2" applyFont="1" applyFill="1" applyBorder="1" applyAlignment="1" applyProtection="1">
      <alignment horizontal="left" vertical="center"/>
    </xf>
    <xf numFmtId="0" fontId="71" fillId="0" borderId="27" xfId="2" applyFont="1" applyFill="1" applyBorder="1" applyAlignment="1">
      <alignment horizontal="left" vertical="center"/>
    </xf>
    <xf numFmtId="0" fontId="71" fillId="0" borderId="27" xfId="2" applyFont="1" applyFill="1" applyBorder="1" applyAlignment="1">
      <alignment horizontal="left" vertical="center" wrapText="1"/>
    </xf>
    <xf numFmtId="0" fontId="71" fillId="0" borderId="37" xfId="2" applyFont="1" applyFill="1" applyBorder="1" applyAlignment="1">
      <alignment horizontal="left" vertical="center"/>
    </xf>
    <xf numFmtId="0" fontId="71" fillId="0" borderId="27" xfId="2" applyFont="1" applyFill="1" applyBorder="1" applyAlignment="1">
      <alignment horizontal="left" vertical="top" wrapText="1"/>
    </xf>
    <xf numFmtId="0" fontId="71" fillId="0" borderId="37" xfId="2" applyFont="1" applyFill="1" applyBorder="1" applyAlignment="1">
      <alignment horizontal="left" vertical="center" wrapText="1"/>
    </xf>
    <xf numFmtId="0" fontId="71" fillId="0" borderId="27" xfId="2" applyFont="1" applyFill="1" applyBorder="1" applyAlignment="1">
      <alignment horizontal="center" vertical="center"/>
    </xf>
    <xf numFmtId="0" fontId="71" fillId="0" borderId="37" xfId="2" applyFont="1" applyFill="1" applyBorder="1" applyAlignment="1">
      <alignment horizontal="center" vertical="center"/>
    </xf>
    <xf numFmtId="0" fontId="59" fillId="0" borderId="0" xfId="0" applyFont="1" applyFill="1" applyAlignment="1">
      <alignment horizontal="centerContinuous" vertical="center"/>
    </xf>
    <xf numFmtId="0" fontId="53" fillId="0" borderId="0" xfId="0" applyFont="1" applyFill="1" applyAlignment="1">
      <alignment horizontal="centerContinuous" vertical="center"/>
    </xf>
    <xf numFmtId="0" fontId="57" fillId="0" borderId="7" xfId="2" applyFont="1" applyFill="1" applyBorder="1" applyAlignment="1" applyProtection="1">
      <alignment horizontal="left"/>
    </xf>
    <xf numFmtId="173" fontId="62" fillId="0" borderId="0" xfId="0" applyNumberFormat="1" applyFont="1" applyFill="1" applyBorder="1" applyAlignment="1"/>
    <xf numFmtId="173" fontId="57" fillId="0" borderId="2" xfId="0" quotePrefix="1" applyNumberFormat="1" applyFont="1" applyFill="1" applyBorder="1" applyAlignment="1" applyProtection="1">
      <alignment vertical="center"/>
    </xf>
    <xf numFmtId="173" fontId="57" fillId="0" borderId="10" xfId="0" quotePrefix="1" applyNumberFormat="1" applyFont="1" applyFill="1" applyBorder="1" applyAlignment="1" applyProtection="1">
      <alignment vertical="center"/>
    </xf>
    <xf numFmtId="0" fontId="57" fillId="0" borderId="1" xfId="2" applyFont="1" applyFill="1" applyBorder="1" applyAlignment="1" applyProtection="1">
      <alignment horizontal="right"/>
    </xf>
    <xf numFmtId="0" fontId="57" fillId="0" borderId="3" xfId="2" applyFont="1" applyFill="1" applyBorder="1" applyAlignment="1" applyProtection="1">
      <alignment horizontal="right"/>
    </xf>
    <xf numFmtId="0" fontId="57" fillId="0" borderId="7" xfId="2" applyFont="1" applyFill="1" applyBorder="1" applyAlignment="1" applyProtection="1">
      <alignment horizontal="right"/>
    </xf>
    <xf numFmtId="173" fontId="57" fillId="0" borderId="11" xfId="2" applyNumberFormat="1" applyFont="1" applyFill="1" applyBorder="1" applyAlignment="1">
      <alignment horizontal="right" vertical="center"/>
    </xf>
    <xf numFmtId="173" fontId="62" fillId="0" borderId="9" xfId="2" applyNumberFormat="1" applyFont="1" applyFill="1" applyBorder="1" applyAlignment="1">
      <alignment vertical="center"/>
    </xf>
    <xf numFmtId="0" fontId="55" fillId="0" borderId="3" xfId="0" applyFont="1" applyFill="1" applyBorder="1" applyAlignment="1" applyProtection="1">
      <alignment horizontal="left" indent="2"/>
    </xf>
    <xf numFmtId="0" fontId="57" fillId="0" borderId="7" xfId="2" applyFont="1" applyFill="1" applyBorder="1" applyAlignment="1" applyProtection="1">
      <alignment horizontal="center" vertical="center"/>
    </xf>
    <xf numFmtId="0" fontId="62" fillId="0" borderId="7" xfId="2" applyFont="1" applyFill="1" applyBorder="1" applyAlignment="1">
      <alignment horizontal="center" vertical="center"/>
    </xf>
    <xf numFmtId="0" fontId="62" fillId="0" borderId="8" xfId="2" applyFont="1" applyFill="1" applyBorder="1" applyAlignment="1" applyProtection="1">
      <alignment horizontal="center" vertical="center"/>
    </xf>
    <xf numFmtId="0" fontId="57" fillId="0" borderId="9" xfId="2" applyFont="1" applyFill="1" applyBorder="1" applyAlignment="1" applyProtection="1">
      <alignment horizontal="left" vertical="center"/>
    </xf>
    <xf numFmtId="0" fontId="57" fillId="0" borderId="1" xfId="2" applyFont="1" applyFill="1" applyBorder="1" applyAlignment="1" applyProtection="1">
      <alignment horizontal="left" vertical="center"/>
    </xf>
    <xf numFmtId="0" fontId="71" fillId="0" borderId="0" xfId="2" applyFont="1" applyFill="1" applyBorder="1" applyAlignment="1" applyProtection="1">
      <alignment horizontal="left"/>
    </xf>
    <xf numFmtId="0" fontId="71" fillId="0" borderId="0" xfId="2" applyFont="1" applyFill="1" applyBorder="1" applyAlignment="1" applyProtection="1">
      <alignment horizontal="left" vertical="center"/>
    </xf>
    <xf numFmtId="0" fontId="62" fillId="0" borderId="8" xfId="2" applyFont="1" applyFill="1" applyBorder="1" applyAlignment="1" applyProtection="1">
      <alignment horizontal="center" vertical="center" wrapText="1"/>
    </xf>
    <xf numFmtId="0" fontId="62" fillId="0" borderId="75" xfId="2" applyFont="1" applyFill="1" applyBorder="1" applyAlignment="1" applyProtection="1">
      <alignment horizontal="center" vertical="center" wrapText="1"/>
    </xf>
    <xf numFmtId="0" fontId="71" fillId="0" borderId="4" xfId="2" applyFont="1" applyFill="1" applyBorder="1" applyAlignment="1" applyProtection="1">
      <alignment horizontal="left" vertical="center"/>
    </xf>
    <xf numFmtId="173" fontId="62" fillId="0" borderId="9" xfId="0" quotePrefix="1" applyNumberFormat="1" applyFont="1" applyFill="1" applyBorder="1"/>
    <xf numFmtId="173" fontId="62" fillId="0" borderId="0" xfId="0" quotePrefix="1" applyNumberFormat="1" applyFont="1" applyFill="1" applyBorder="1"/>
    <xf numFmtId="193" fontId="57" fillId="0" borderId="70" xfId="6" applyNumberFormat="1" applyFont="1" applyFill="1" applyBorder="1" applyAlignment="1">
      <alignment horizontal="left" vertical="center"/>
    </xf>
    <xf numFmtId="179" fontId="62" fillId="0" borderId="11" xfId="0" applyNumberFormat="1" applyFont="1" applyFill="1" applyBorder="1" applyAlignment="1">
      <alignment horizontal="right" vertical="center"/>
    </xf>
    <xf numFmtId="179" fontId="62" fillId="0" borderId="0" xfId="0" applyNumberFormat="1" applyFont="1" applyFill="1" applyBorder="1" applyAlignment="1" applyProtection="1">
      <alignment horizontal="right"/>
    </xf>
    <xf numFmtId="0" fontId="60" fillId="0" borderId="0" xfId="2" applyNumberFormat="1" applyFont="1" applyFill="1" applyAlignment="1" applyProtection="1">
      <alignment vertical="center"/>
    </xf>
    <xf numFmtId="0" fontId="59" fillId="0" borderId="0" xfId="2" applyNumberFormat="1" applyFont="1" applyFill="1" applyAlignment="1" applyProtection="1">
      <alignment horizontal="centerContinuous" vertical="center"/>
    </xf>
    <xf numFmtId="0" fontId="60" fillId="0" borderId="0" xfId="2" applyNumberFormat="1" applyFont="1" applyFill="1" applyAlignment="1" applyProtection="1">
      <alignment horizontal="centerContinuous" vertical="center"/>
    </xf>
    <xf numFmtId="0" fontId="58" fillId="0" borderId="0" xfId="2" applyNumberFormat="1" applyFont="1" applyFill="1" applyAlignment="1" applyProtection="1">
      <alignment horizontal="centerContinuous" vertical="center"/>
    </xf>
    <xf numFmtId="0" fontId="53" fillId="0" borderId="0" xfId="2" applyNumberFormat="1" applyFont="1" applyFill="1" applyAlignment="1" applyProtection="1">
      <alignment horizontal="centerContinuous" vertical="center"/>
    </xf>
    <xf numFmtId="0" fontId="71" fillId="0" borderId="4" xfId="2" applyFont="1" applyFill="1" applyBorder="1" applyAlignment="1" applyProtection="1">
      <alignment horizontal="left"/>
    </xf>
    <xf numFmtId="179" fontId="57" fillId="0" borderId="0" xfId="0" applyNumberFormat="1" applyFont="1" applyFill="1" applyBorder="1" applyAlignment="1" applyProtection="1">
      <alignment horizontal="right" vertical="center"/>
    </xf>
    <xf numFmtId="0" fontId="57" fillId="0" borderId="71" xfId="2" applyFont="1" applyFill="1" applyBorder="1" applyAlignment="1" applyProtection="1">
      <alignment horizontal="left" vertical="center"/>
    </xf>
    <xf numFmtId="0" fontId="57" fillId="0" borderId="2" xfId="2" applyFont="1" applyFill="1" applyBorder="1" applyAlignment="1" applyProtection="1">
      <alignment horizontal="left" vertical="center"/>
    </xf>
    <xf numFmtId="0" fontId="57" fillId="0" borderId="6" xfId="2" applyFont="1" applyFill="1" applyBorder="1" applyAlignment="1" applyProtection="1">
      <alignment horizontal="center" vertical="center"/>
    </xf>
    <xf numFmtId="0" fontId="71" fillId="0" borderId="4" xfId="2" applyFont="1" applyFill="1" applyBorder="1" applyAlignment="1">
      <alignment horizontal="left" vertical="center"/>
    </xf>
    <xf numFmtId="0" fontId="71" fillId="0" borderId="4" xfId="2" applyFont="1" applyFill="1" applyBorder="1" applyAlignment="1">
      <alignment horizontal="left" vertical="center" wrapText="1"/>
    </xf>
    <xf numFmtId="0" fontId="57" fillId="0" borderId="2" xfId="2" applyFont="1" applyFill="1" applyBorder="1" applyAlignment="1">
      <alignment horizontal="left" vertical="center"/>
    </xf>
    <xf numFmtId="0" fontId="71" fillId="0" borderId="8" xfId="2" applyFont="1" applyFill="1" applyBorder="1" applyAlignment="1">
      <alignment horizontal="left" vertical="center"/>
    </xf>
    <xf numFmtId="173" fontId="57" fillId="0" borderId="10" xfId="2" applyNumberFormat="1" applyFont="1" applyFill="1" applyBorder="1" applyAlignment="1">
      <alignment horizontal="right" vertical="center"/>
    </xf>
    <xf numFmtId="0" fontId="57" fillId="0" borderId="8" xfId="2" applyFont="1" applyBorder="1" applyAlignment="1">
      <alignment horizontal="center" vertical="center"/>
    </xf>
    <xf numFmtId="0" fontId="57" fillId="0" borderId="7" xfId="2" applyFont="1" applyBorder="1" applyAlignment="1">
      <alignment horizontal="center" vertical="center"/>
    </xf>
    <xf numFmtId="0" fontId="57" fillId="0" borderId="7" xfId="2" applyFont="1" applyBorder="1" applyAlignment="1">
      <alignment horizontal="center" vertical="center" wrapText="1"/>
    </xf>
    <xf numFmtId="173" fontId="62" fillId="0" borderId="5" xfId="2" applyNumberFormat="1" applyFont="1" applyBorder="1" applyAlignment="1">
      <alignment horizontal="center" vertical="center"/>
    </xf>
    <xf numFmtId="173" fontId="62" fillId="0" borderId="5" xfId="2" applyNumberFormat="1" applyFont="1" applyBorder="1" applyAlignment="1">
      <alignment horizontal="center" vertical="center" wrapText="1"/>
    </xf>
    <xf numFmtId="173" fontId="62" fillId="0" borderId="7" xfId="2" applyNumberFormat="1" applyFont="1" applyBorder="1" applyAlignment="1">
      <alignment horizontal="center" vertical="center" wrapText="1"/>
    </xf>
    <xf numFmtId="173" fontId="62" fillId="0" borderId="7" xfId="2" applyNumberFormat="1" applyFont="1" applyFill="1" applyBorder="1" applyAlignment="1">
      <alignment horizontal="center" vertical="center" wrapText="1"/>
    </xf>
    <xf numFmtId="173" fontId="62" fillId="0" borderId="5" xfId="2" applyNumberFormat="1" applyFont="1" applyFill="1" applyBorder="1" applyAlignment="1">
      <alignment horizontal="center" vertical="center" wrapText="1"/>
    </xf>
    <xf numFmtId="0" fontId="62" fillId="0" borderId="10" xfId="2" applyFont="1" applyFill="1" applyBorder="1" applyAlignment="1">
      <alignment vertical="center"/>
    </xf>
    <xf numFmtId="0" fontId="59" fillId="0" borderId="0" xfId="2" applyFont="1" applyBorder="1" applyAlignment="1">
      <alignment horizontal="centerContinuous" vertical="center"/>
    </xf>
    <xf numFmtId="0" fontId="62" fillId="0" borderId="0" xfId="2" applyFont="1" applyFill="1" applyBorder="1" applyAlignment="1">
      <alignment horizontal="left" vertical="center" indent="5"/>
    </xf>
    <xf numFmtId="0" fontId="62" fillId="0" borderId="8" xfId="0" applyFont="1" applyFill="1" applyBorder="1" applyAlignment="1" applyProtection="1">
      <alignment horizontal="center" vertical="center"/>
    </xf>
    <xf numFmtId="0" fontId="62" fillId="0" borderId="5" xfId="0" applyFont="1" applyFill="1" applyBorder="1" applyAlignment="1" applyProtection="1">
      <alignment horizontal="center" vertical="center" wrapText="1"/>
    </xf>
    <xf numFmtId="0" fontId="62" fillId="0" borderId="7" xfId="0" applyFont="1" applyFill="1" applyBorder="1" applyAlignment="1" applyProtection="1">
      <alignment horizontal="center" vertical="center" wrapText="1"/>
    </xf>
    <xf numFmtId="0" fontId="62" fillId="0" borderId="7" xfId="0" applyFont="1" applyFill="1" applyBorder="1" applyAlignment="1" applyProtection="1">
      <alignment horizontal="center" vertical="center"/>
    </xf>
    <xf numFmtId="0" fontId="62" fillId="0" borderId="2" xfId="0" applyFont="1" applyFill="1" applyBorder="1" applyAlignment="1" applyProtection="1">
      <alignment horizontal="left"/>
    </xf>
    <xf numFmtId="0" fontId="62" fillId="0" borderId="4" xfId="0" applyFont="1" applyFill="1" applyBorder="1" applyAlignment="1" applyProtection="1">
      <alignment horizontal="left"/>
    </xf>
    <xf numFmtId="0" fontId="62" fillId="0" borderId="4" xfId="0" applyFont="1" applyFill="1" applyBorder="1"/>
    <xf numFmtId="0" fontId="62" fillId="0" borderId="4" xfId="0" applyFont="1" applyFill="1" applyBorder="1" applyAlignment="1" applyProtection="1">
      <alignment horizontal="left" vertical="center"/>
    </xf>
    <xf numFmtId="0" fontId="57" fillId="0" borderId="2" xfId="0" applyFont="1" applyFill="1" applyBorder="1" applyAlignment="1" applyProtection="1">
      <alignment vertical="center"/>
    </xf>
    <xf numFmtId="0" fontId="62" fillId="0" borderId="0" xfId="0" applyFont="1" applyFill="1" applyBorder="1" applyAlignment="1" applyProtection="1">
      <alignment horizontal="center" vertical="center"/>
    </xf>
    <xf numFmtId="0" fontId="57" fillId="0" borderId="7" xfId="0" applyFont="1" applyFill="1" applyBorder="1" applyAlignment="1" applyProtection="1">
      <alignment horizontal="center" vertical="center"/>
    </xf>
    <xf numFmtId="0" fontId="71" fillId="0" borderId="8" xfId="2" applyFont="1" applyFill="1" applyBorder="1" applyAlignment="1" applyProtection="1">
      <alignment horizontal="left"/>
    </xf>
    <xf numFmtId="0" fontId="57" fillId="0" borderId="4" xfId="2" applyFont="1" applyFill="1" applyBorder="1" applyAlignment="1" applyProtection="1">
      <alignment horizontal="left"/>
    </xf>
    <xf numFmtId="0" fontId="58" fillId="0" borderId="8" xfId="2" applyFont="1" applyFill="1" applyBorder="1" applyAlignment="1" applyProtection="1">
      <alignment horizontal="center" vertical="center"/>
    </xf>
    <xf numFmtId="0" fontId="57" fillId="0" borderId="7" xfId="2" applyFont="1" applyFill="1" applyBorder="1" applyAlignment="1" applyProtection="1">
      <alignment horizontal="center" vertical="center" wrapText="1"/>
    </xf>
    <xf numFmtId="0" fontId="58" fillId="0" borderId="2" xfId="2" applyFont="1" applyFill="1" applyBorder="1" applyAlignment="1" applyProtection="1">
      <alignment vertical="center"/>
    </xf>
    <xf numFmtId="170" fontId="57" fillId="0" borderId="1" xfId="2" applyNumberFormat="1" applyFont="1" applyFill="1" applyBorder="1" applyAlignment="1" applyProtection="1">
      <alignment vertical="center"/>
    </xf>
    <xf numFmtId="0" fontId="73" fillId="0" borderId="0" xfId="7" applyFill="1" applyAlignment="1">
      <alignment horizontal="left"/>
    </xf>
    <xf numFmtId="0" fontId="73" fillId="0" borderId="0" xfId="7"/>
    <xf numFmtId="0" fontId="73" fillId="0" borderId="0" xfId="7" applyFill="1"/>
    <xf numFmtId="0" fontId="53" fillId="0" borderId="3" xfId="2" applyFont="1" applyFill="1" applyBorder="1" applyAlignment="1">
      <alignment vertical="top"/>
    </xf>
    <xf numFmtId="1" fontId="62" fillId="0" borderId="11" xfId="2" applyNumberFormat="1" applyFont="1" applyFill="1" applyBorder="1" applyAlignment="1">
      <alignment horizontal="center" vertical="center"/>
    </xf>
    <xf numFmtId="173" fontId="62" fillId="0" borderId="7" xfId="0" applyNumberFormat="1" applyFont="1" applyFill="1" applyBorder="1"/>
    <xf numFmtId="173" fontId="57" fillId="0" borderId="23" xfId="0" quotePrefix="1" applyNumberFormat="1" applyFont="1" applyFill="1" applyBorder="1" applyAlignment="1" applyProtection="1">
      <alignment vertical="center"/>
    </xf>
    <xf numFmtId="173" fontId="62" fillId="0" borderId="0" xfId="2" applyNumberFormat="1" applyFont="1" applyFill="1"/>
    <xf numFmtId="173" fontId="57" fillId="0" borderId="0" xfId="0" applyNumberFormat="1" applyFont="1" applyFill="1" applyBorder="1"/>
    <xf numFmtId="194" fontId="74" fillId="0" borderId="0" xfId="8" applyNumberFormat="1" applyFont="1" applyFill="1" applyBorder="1" applyAlignment="1">
      <alignment horizontal="right"/>
    </xf>
    <xf numFmtId="179" fontId="62" fillId="0" borderId="8" xfId="0" applyNumberFormat="1" applyFont="1" applyFill="1" applyBorder="1" applyAlignment="1" applyProtection="1">
      <alignment horizontal="right" vertical="center"/>
    </xf>
    <xf numFmtId="179" fontId="62" fillId="0" borderId="5" xfId="0" applyNumberFormat="1" applyFont="1" applyFill="1" applyBorder="1" applyAlignment="1" applyProtection="1">
      <alignment horizontal="right"/>
    </xf>
    <xf numFmtId="179" fontId="62" fillId="0" borderId="8" xfId="0" applyNumberFormat="1" applyFont="1" applyFill="1" applyBorder="1" applyAlignment="1" applyProtection="1">
      <alignment horizontal="right"/>
    </xf>
    <xf numFmtId="179" fontId="62" fillId="0" borderId="5" xfId="0" applyNumberFormat="1" applyFont="1" applyFill="1" applyBorder="1" applyAlignment="1" applyProtection="1">
      <alignment horizontal="right" vertical="center"/>
    </xf>
    <xf numFmtId="0" fontId="62" fillId="0" borderId="1" xfId="2" applyFont="1" applyFill="1" applyBorder="1" applyAlignment="1" applyProtection="1">
      <alignment horizontal="left" vertical="center"/>
    </xf>
    <xf numFmtId="170" fontId="62" fillId="0" borderId="9" xfId="2" applyNumberFormat="1" applyFont="1" applyFill="1" applyBorder="1" applyAlignment="1" applyProtection="1">
      <alignment vertical="center"/>
    </xf>
    <xf numFmtId="170" fontId="62" fillId="0" borderId="10" xfId="2" applyNumberFormat="1" applyFont="1" applyFill="1" applyBorder="1" applyAlignment="1" applyProtection="1">
      <alignment vertical="center"/>
    </xf>
    <xf numFmtId="170" fontId="62" fillId="0" borderId="1" xfId="2" applyNumberFormat="1" applyFont="1" applyFill="1" applyBorder="1" applyAlignment="1" applyProtection="1">
      <alignment vertical="center"/>
    </xf>
    <xf numFmtId="170" fontId="57" fillId="0" borderId="9" xfId="0" applyNumberFormat="1" applyFont="1" applyFill="1" applyBorder="1" applyAlignment="1" applyProtection="1">
      <alignment vertical="center"/>
    </xf>
    <xf numFmtId="170" fontId="62" fillId="0" borderId="9" xfId="0" applyNumberFormat="1" applyFont="1" applyFill="1" applyBorder="1" applyAlignment="1" applyProtection="1">
      <alignment vertical="center"/>
    </xf>
    <xf numFmtId="170" fontId="62" fillId="0" borderId="2" xfId="0" applyNumberFormat="1" applyFont="1" applyFill="1" applyBorder="1" applyAlignment="1" applyProtection="1">
      <alignment vertical="center"/>
    </xf>
    <xf numFmtId="0" fontId="71" fillId="0" borderId="37" xfId="2" applyFont="1" applyFill="1" applyBorder="1" applyAlignment="1">
      <alignment horizontal="left" vertical="top" wrapText="1"/>
    </xf>
    <xf numFmtId="0" fontId="62" fillId="0" borderId="23" xfId="2" applyFont="1" applyFill="1" applyBorder="1" applyAlignment="1" applyProtection="1">
      <alignment horizontal="center" vertical="center" wrapText="1"/>
    </xf>
    <xf numFmtId="0" fontId="61" fillId="0" borderId="0" xfId="0" applyFont="1" applyFill="1" applyBorder="1"/>
    <xf numFmtId="0" fontId="61" fillId="0" borderId="0" xfId="0" applyFont="1" applyFill="1"/>
    <xf numFmtId="179" fontId="57" fillId="0" borderId="9" xfId="0" applyNumberFormat="1" applyFont="1" applyFill="1" applyBorder="1" applyAlignment="1" applyProtection="1">
      <alignment horizontal="right" vertical="center"/>
    </xf>
    <xf numFmtId="173" fontId="57" fillId="0" borderId="9" xfId="6" applyNumberFormat="1" applyFont="1" applyFill="1" applyBorder="1" applyAlignment="1">
      <alignment horizontal="right" vertical="center"/>
    </xf>
    <xf numFmtId="173" fontId="57" fillId="0" borderId="10" xfId="6" applyNumberFormat="1" applyFont="1" applyFill="1" applyBorder="1" applyAlignment="1">
      <alignment horizontal="right" vertical="center"/>
    </xf>
    <xf numFmtId="173" fontId="57" fillId="0" borderId="2" xfId="6" applyNumberFormat="1" applyFont="1" applyFill="1" applyBorder="1" applyAlignment="1">
      <alignment horizontal="right" vertical="center"/>
    </xf>
    <xf numFmtId="173" fontId="57" fillId="0" borderId="69" xfId="6" applyNumberFormat="1" applyFont="1" applyFill="1" applyBorder="1" applyAlignment="1">
      <alignment horizontal="right" vertical="center"/>
    </xf>
    <xf numFmtId="169" fontId="62" fillId="0" borderId="0" xfId="0" applyNumberFormat="1" applyFont="1" applyFill="1" applyBorder="1" applyAlignment="1" applyProtection="1">
      <alignment horizontal="centerContinuous"/>
    </xf>
    <xf numFmtId="173" fontId="57" fillId="0" borderId="13" xfId="6" applyNumberFormat="1" applyFont="1" applyFill="1" applyBorder="1" applyAlignment="1">
      <alignment horizontal="right" vertical="center"/>
    </xf>
    <xf numFmtId="173" fontId="57" fillId="0" borderId="68" xfId="6" applyNumberFormat="1" applyFont="1" applyFill="1" applyBorder="1" applyAlignment="1">
      <alignment horizontal="right" vertical="center"/>
    </xf>
    <xf numFmtId="176" fontId="57" fillId="0" borderId="9" xfId="0" applyNumberFormat="1" applyFont="1" applyFill="1" applyBorder="1" applyAlignment="1"/>
    <xf numFmtId="176" fontId="57" fillId="0" borderId="11" xfId="0" applyNumberFormat="1" applyFont="1" applyFill="1" applyBorder="1" applyAlignment="1"/>
    <xf numFmtId="173" fontId="57" fillId="0" borderId="3" xfId="2" applyNumberFormat="1" applyFont="1" applyFill="1" applyBorder="1" applyAlignment="1">
      <alignment vertical="center"/>
    </xf>
    <xf numFmtId="173" fontId="57" fillId="0" borderId="0" xfId="2" applyNumberFormat="1" applyFont="1" applyFill="1" applyBorder="1" applyAlignment="1">
      <alignment vertical="center"/>
    </xf>
    <xf numFmtId="173" fontId="57" fillId="0" borderId="4" xfId="2" applyNumberFormat="1" applyFont="1" applyFill="1" applyBorder="1" applyAlignment="1">
      <alignment vertical="center"/>
    </xf>
    <xf numFmtId="173" fontId="57" fillId="0" borderId="11" xfId="2" applyNumberFormat="1" applyFont="1" applyFill="1" applyBorder="1" applyAlignment="1">
      <alignment vertical="center"/>
    </xf>
    <xf numFmtId="173" fontId="57" fillId="0" borderId="7" xfId="2" applyNumberFormat="1" applyFont="1" applyFill="1" applyBorder="1" applyAlignment="1">
      <alignment vertical="top"/>
    </xf>
    <xf numFmtId="173" fontId="57" fillId="0" borderId="6" xfId="2" applyNumberFormat="1" applyFont="1" applyFill="1" applyBorder="1" applyAlignment="1">
      <alignment vertical="top"/>
    </xf>
    <xf numFmtId="169" fontId="62" fillId="0" borderId="3" xfId="0" applyNumberFormat="1" applyFont="1" applyFill="1" applyBorder="1" applyAlignment="1" applyProtection="1"/>
    <xf numFmtId="170" fontId="62" fillId="0" borderId="6" xfId="0" applyNumberFormat="1" applyFont="1" applyFill="1" applyBorder="1" applyAlignment="1" applyProtection="1">
      <alignment vertical="center"/>
    </xf>
    <xf numFmtId="170" fontId="62" fillId="0" borderId="7" xfId="0" applyNumberFormat="1" applyFont="1" applyFill="1" applyBorder="1" applyAlignment="1" applyProtection="1">
      <alignment vertical="center"/>
    </xf>
    <xf numFmtId="170" fontId="57" fillId="0" borderId="11" xfId="2" applyNumberFormat="1" applyFont="1" applyFill="1" applyBorder="1" applyAlignment="1" applyProtection="1">
      <alignment vertical="center"/>
    </xf>
    <xf numFmtId="0" fontId="62" fillId="0" borderId="68" xfId="2" applyFont="1" applyFill="1" applyBorder="1" applyAlignment="1" applyProtection="1">
      <alignment horizontal="left" vertical="center"/>
    </xf>
    <xf numFmtId="0" fontId="62" fillId="0" borderId="2" xfId="2" applyFont="1" applyFill="1" applyBorder="1" applyAlignment="1" applyProtection="1">
      <alignment horizontal="left" vertical="center"/>
    </xf>
    <xf numFmtId="0" fontId="57" fillId="0" borderId="10" xfId="2" applyFont="1" applyFill="1" applyBorder="1" applyAlignment="1" applyProtection="1">
      <alignment horizontal="left"/>
    </xf>
    <xf numFmtId="0" fontId="57" fillId="0" borderId="23" xfId="2" applyFont="1" applyFill="1" applyBorder="1" applyAlignment="1" applyProtection="1">
      <alignment horizontal="left"/>
    </xf>
    <xf numFmtId="0" fontId="62" fillId="0" borderId="3" xfId="2" applyFont="1" applyFill="1" applyBorder="1" applyAlignment="1" applyProtection="1">
      <alignment horizontal="left" vertical="center"/>
    </xf>
    <xf numFmtId="170" fontId="57" fillId="0" borderId="5" xfId="2" applyNumberFormat="1" applyFont="1" applyFill="1" applyBorder="1" applyAlignment="1" applyProtection="1">
      <alignment vertical="center"/>
    </xf>
    <xf numFmtId="173" fontId="62" fillId="0" borderId="6" xfId="2" applyNumberFormat="1" applyFont="1" applyFill="1" applyBorder="1" applyAlignment="1">
      <alignment vertical="center"/>
    </xf>
    <xf numFmtId="173" fontId="62" fillId="0" borderId="7" xfId="2" applyNumberFormat="1" applyFont="1" applyFill="1" applyBorder="1" applyAlignment="1">
      <alignment horizontal="right" vertical="center"/>
    </xf>
    <xf numFmtId="173" fontId="62" fillId="0" borderId="6" xfId="2" applyNumberFormat="1" applyFont="1" applyFill="1" applyBorder="1" applyAlignment="1">
      <alignment horizontal="right" vertical="center"/>
    </xf>
    <xf numFmtId="173" fontId="62" fillId="0" borderId="8" xfId="2" applyNumberFormat="1" applyFont="1" applyFill="1" applyBorder="1" applyAlignment="1">
      <alignment horizontal="right" vertical="center"/>
    </xf>
    <xf numFmtId="169" fontId="62" fillId="0" borderId="74" xfId="0" applyNumberFormat="1" applyFont="1" applyFill="1" applyBorder="1" applyAlignment="1" applyProtection="1"/>
    <xf numFmtId="0" fontId="57" fillId="0" borderId="69" xfId="2" applyFont="1" applyFill="1" applyBorder="1" applyAlignment="1" applyProtection="1">
      <alignment horizontal="left" vertical="center"/>
    </xf>
    <xf numFmtId="0" fontId="62" fillId="0" borderId="23" xfId="2" applyFont="1" applyFill="1" applyBorder="1" applyAlignment="1" applyProtection="1">
      <alignment horizontal="center" vertical="center"/>
    </xf>
    <xf numFmtId="0" fontId="62" fillId="0" borderId="68" xfId="2" applyFont="1" applyFill="1" applyBorder="1" applyAlignment="1" applyProtection="1">
      <alignment horizontal="center" vertical="center" wrapText="1"/>
    </xf>
    <xf numFmtId="0" fontId="57" fillId="0" borderId="68" xfId="2" applyFont="1" applyFill="1" applyBorder="1" applyAlignment="1" applyProtection="1">
      <alignment horizontal="center" vertical="center"/>
    </xf>
    <xf numFmtId="0" fontId="62" fillId="0" borderId="13" xfId="2" applyFont="1" applyFill="1" applyBorder="1" applyAlignment="1">
      <alignment horizontal="center" vertical="center"/>
    </xf>
    <xf numFmtId="0" fontId="58" fillId="0" borderId="6" xfId="2" applyFont="1" applyFill="1" applyBorder="1" applyAlignment="1" applyProtection="1">
      <alignment horizontal="centerContinuous" vertical="center"/>
    </xf>
    <xf numFmtId="0" fontId="60" fillId="0" borderId="6" xfId="2" applyFont="1" applyFill="1" applyBorder="1" applyAlignment="1" applyProtection="1">
      <alignment horizontal="centerContinuous" vertical="center"/>
    </xf>
    <xf numFmtId="0" fontId="62" fillId="0" borderId="72" xfId="2" applyFont="1" applyFill="1" applyBorder="1"/>
    <xf numFmtId="169" fontId="62" fillId="0" borderId="7" xfId="0" applyNumberFormat="1" applyFont="1" applyFill="1" applyBorder="1" applyAlignment="1" applyProtection="1"/>
    <xf numFmtId="169" fontId="57" fillId="0" borderId="9" xfId="0" applyNumberFormat="1" applyFont="1" applyFill="1" applyBorder="1" applyAlignment="1" applyProtection="1">
      <alignment horizontal="left" vertical="center"/>
    </xf>
    <xf numFmtId="0" fontId="71" fillId="0" borderId="6" xfId="2" applyFont="1" applyFill="1" applyBorder="1" applyAlignment="1" applyProtection="1">
      <alignment horizontal="left"/>
    </xf>
    <xf numFmtId="0" fontId="71" fillId="0" borderId="78" xfId="2" applyFont="1" applyFill="1" applyBorder="1" applyAlignment="1" applyProtection="1">
      <alignment horizontal="left"/>
    </xf>
    <xf numFmtId="169" fontId="69" fillId="0" borderId="80" xfId="0" quotePrefix="1" applyNumberFormat="1" applyFont="1" applyFill="1" applyBorder="1" applyAlignment="1">
      <alignment wrapText="1"/>
    </xf>
    <xf numFmtId="0" fontId="57" fillId="0" borderId="77" xfId="2" applyFont="1" applyFill="1" applyBorder="1" applyAlignment="1" applyProtection="1">
      <alignment horizontal="left"/>
    </xf>
    <xf numFmtId="169" fontId="57" fillId="0" borderId="81" xfId="0" applyNumberFormat="1" applyFont="1" applyFill="1" applyBorder="1" applyAlignment="1" applyProtection="1">
      <alignment horizontal="left" vertical="center"/>
    </xf>
    <xf numFmtId="0" fontId="71" fillId="0" borderId="76" xfId="2" applyFont="1" applyFill="1" applyBorder="1" applyAlignment="1" applyProtection="1">
      <alignment horizontal="left"/>
    </xf>
    <xf numFmtId="0" fontId="62" fillId="0" borderId="7" xfId="0" applyFont="1" applyFill="1" applyBorder="1" applyAlignment="1">
      <alignment vertical="center"/>
    </xf>
    <xf numFmtId="179" fontId="62" fillId="0" borderId="7" xfId="0" applyNumberFormat="1" applyFont="1" applyFill="1" applyBorder="1" applyAlignment="1">
      <alignment horizontal="right" vertical="center"/>
    </xf>
    <xf numFmtId="179" fontId="62" fillId="0" borderId="6" xfId="0" applyNumberFormat="1" applyFont="1" applyFill="1" applyBorder="1" applyAlignment="1" applyProtection="1">
      <alignment horizontal="right" vertical="center"/>
    </xf>
    <xf numFmtId="179" fontId="62" fillId="0" borderId="5" xfId="0" applyNumberFormat="1" applyFont="1" applyFill="1" applyBorder="1" applyAlignment="1">
      <alignment horizontal="right" vertical="center"/>
    </xf>
    <xf numFmtId="179" fontId="62" fillId="0" borderId="6" xfId="0" applyNumberFormat="1" applyFont="1" applyFill="1" applyBorder="1" applyAlignment="1" applyProtection="1">
      <alignment horizontal="right"/>
    </xf>
    <xf numFmtId="179" fontId="62" fillId="0" borderId="6" xfId="0" applyNumberFormat="1" applyFont="1" applyFill="1" applyBorder="1" applyAlignment="1">
      <alignment horizontal="right" vertical="center"/>
    </xf>
    <xf numFmtId="179" fontId="57" fillId="0" borderId="1" xfId="0" applyNumberFormat="1" applyFont="1" applyFill="1" applyBorder="1" applyAlignment="1" applyProtection="1">
      <alignment horizontal="right" vertical="center"/>
    </xf>
    <xf numFmtId="179" fontId="62" fillId="0" borderId="3" xfId="0" applyNumberFormat="1" applyFont="1" applyFill="1" applyBorder="1" applyAlignment="1" applyProtection="1">
      <alignment horizontal="right"/>
    </xf>
    <xf numFmtId="0" fontId="57" fillId="0" borderId="1" xfId="0" applyFont="1" applyFill="1" applyBorder="1" applyAlignment="1" applyProtection="1">
      <alignment horizontal="left" vertical="center"/>
    </xf>
    <xf numFmtId="179" fontId="57" fillId="0" borderId="2" xfId="0" applyNumberFormat="1" applyFont="1" applyFill="1" applyBorder="1" applyAlignment="1" applyProtection="1">
      <alignment horizontal="right" vertical="center"/>
    </xf>
    <xf numFmtId="179" fontId="62" fillId="0" borderId="8" xfId="0" applyNumberFormat="1" applyFont="1" applyFill="1" applyBorder="1" applyAlignment="1">
      <alignment horizontal="right" vertical="center"/>
    </xf>
    <xf numFmtId="195" fontId="62" fillId="0" borderId="3" xfId="0" applyNumberFormat="1" applyFont="1" applyFill="1" applyBorder="1" applyAlignment="1">
      <alignment horizontal="right" vertical="center"/>
    </xf>
    <xf numFmtId="195" fontId="62" fillId="0" borderId="0" xfId="0" applyNumberFormat="1" applyFont="1" applyFill="1" applyBorder="1" applyAlignment="1" applyProtection="1">
      <alignment horizontal="right" vertical="center"/>
    </xf>
    <xf numFmtId="195" fontId="62" fillId="0" borderId="4" xfId="0" applyNumberFormat="1" applyFont="1" applyFill="1" applyBorder="1" applyAlignment="1" applyProtection="1">
      <alignment horizontal="right" vertical="center"/>
    </xf>
    <xf numFmtId="195" fontId="62" fillId="0" borderId="4" xfId="0" applyNumberFormat="1" applyFont="1" applyFill="1" applyBorder="1" applyAlignment="1">
      <alignment horizontal="right" vertical="center"/>
    </xf>
    <xf numFmtId="195" fontId="62" fillId="0" borderId="11" xfId="0" applyNumberFormat="1" applyFont="1" applyFill="1" applyBorder="1" applyAlignment="1" applyProtection="1">
      <alignment horizontal="right"/>
    </xf>
    <xf numFmtId="195" fontId="62" fillId="0" borderId="4" xfId="0" applyNumberFormat="1" applyFont="1" applyFill="1" applyBorder="1" applyAlignment="1" applyProtection="1">
      <alignment horizontal="right"/>
    </xf>
    <xf numFmtId="195" fontId="62" fillId="0" borderId="11" xfId="0" applyNumberFormat="1" applyFont="1" applyFill="1" applyBorder="1" applyAlignment="1">
      <alignment horizontal="right" vertical="center"/>
    </xf>
    <xf numFmtId="195" fontId="62" fillId="0" borderId="0" xfId="0" applyNumberFormat="1" applyFont="1" applyFill="1" applyBorder="1" applyAlignment="1" applyProtection="1">
      <alignment horizontal="right"/>
    </xf>
    <xf numFmtId="195" fontId="62" fillId="0" borderId="0" xfId="0" applyNumberFormat="1" applyFont="1" applyFill="1" applyBorder="1" applyAlignment="1">
      <alignment horizontal="right" vertical="center"/>
    </xf>
    <xf numFmtId="195" fontId="62" fillId="0" borderId="7" xfId="0" applyNumberFormat="1" applyFont="1" applyFill="1" applyBorder="1" applyAlignment="1">
      <alignment horizontal="right" vertical="center"/>
    </xf>
    <xf numFmtId="195" fontId="62" fillId="0" borderId="6" xfId="0" applyNumberFormat="1" applyFont="1" applyFill="1" applyBorder="1" applyAlignment="1">
      <alignment horizontal="right" vertical="center"/>
    </xf>
    <xf numFmtId="195" fontId="62" fillId="0" borderId="3" xfId="0" applyNumberFormat="1" applyFont="1" applyFill="1" applyBorder="1" applyAlignment="1" applyProtection="1">
      <alignment horizontal="right"/>
    </xf>
    <xf numFmtId="173" fontId="75" fillId="0" borderId="4" xfId="0" applyNumberFormat="1" applyFont="1" applyFill="1" applyBorder="1"/>
    <xf numFmtId="0" fontId="75" fillId="0" borderId="7" xfId="2" applyFont="1" applyFill="1" applyBorder="1" applyAlignment="1" applyProtection="1">
      <alignment horizontal="center" vertical="center" wrapText="1"/>
    </xf>
    <xf numFmtId="0" fontId="62" fillId="0" borderId="79" xfId="2" applyFont="1" applyFill="1" applyBorder="1"/>
    <xf numFmtId="173" fontId="58" fillId="0" borderId="4" xfId="2" applyNumberFormat="1" applyFont="1" applyBorder="1" applyAlignment="1">
      <alignment horizontal="centerContinuous" vertical="center"/>
    </xf>
    <xf numFmtId="173" fontId="58" fillId="0" borderId="11" xfId="2" applyNumberFormat="1" applyFont="1" applyBorder="1" applyAlignment="1">
      <alignment horizontal="centerContinuous" vertical="center"/>
    </xf>
    <xf numFmtId="0" fontId="58" fillId="0" borderId="3" xfId="2" applyFont="1" applyBorder="1" applyAlignment="1">
      <alignment horizontal="centerContinuous" vertical="center" wrapText="1"/>
    </xf>
    <xf numFmtId="173" fontId="58" fillId="0" borderId="0" xfId="2" applyNumberFormat="1" applyFont="1" applyBorder="1" applyAlignment="1">
      <alignment horizontal="centerContinuous" vertical="center"/>
    </xf>
    <xf numFmtId="173" fontId="58" fillId="0" borderId="11" xfId="2" applyNumberFormat="1" applyFont="1" applyBorder="1" applyAlignment="1">
      <alignment horizontal="centerContinuous" vertical="center" wrapText="1"/>
    </xf>
    <xf numFmtId="173" fontId="58" fillId="0" borderId="0" xfId="2" applyNumberFormat="1" applyFont="1" applyBorder="1" applyAlignment="1">
      <alignment horizontal="centerContinuous" vertical="center" wrapText="1"/>
    </xf>
    <xf numFmtId="0" fontId="58" fillId="0" borderId="10" xfId="0" applyFont="1" applyFill="1" applyBorder="1" applyAlignment="1" applyProtection="1">
      <alignment horizontal="centerContinuous" vertical="center" wrapText="1"/>
    </xf>
    <xf numFmtId="0" fontId="58" fillId="0" borderId="2" xfId="0" applyFont="1" applyFill="1" applyBorder="1" applyAlignment="1" applyProtection="1">
      <alignment horizontal="centerContinuous" vertical="center" wrapText="1"/>
    </xf>
    <xf numFmtId="0" fontId="55" fillId="0" borderId="69" xfId="0" applyFont="1" applyFill="1" applyBorder="1" applyAlignment="1">
      <alignment vertical="center"/>
    </xf>
    <xf numFmtId="0" fontId="55" fillId="0" borderId="13" xfId="0" applyFont="1" applyFill="1" applyBorder="1" applyAlignment="1">
      <alignment vertical="center"/>
    </xf>
    <xf numFmtId="0" fontId="55" fillId="0" borderId="68" xfId="0" applyFont="1" applyFill="1" applyBorder="1" applyAlignment="1">
      <alignment vertical="center"/>
    </xf>
    <xf numFmtId="173" fontId="57" fillId="0" borderId="0" xfId="0" applyNumberFormat="1" applyFont="1" applyFill="1" applyBorder="1" applyAlignment="1">
      <alignment horizontal="right"/>
    </xf>
    <xf numFmtId="0" fontId="58" fillId="0" borderId="1" xfId="0" applyFont="1" applyFill="1" applyBorder="1" applyAlignment="1" applyProtection="1">
      <alignment horizontal="centerContinuous" vertical="center"/>
    </xf>
    <xf numFmtId="0" fontId="52" fillId="0" borderId="0" xfId="0" applyFont="1" applyFill="1" applyBorder="1"/>
    <xf numFmtId="0" fontId="52" fillId="0" borderId="0" xfId="0" applyFont="1" applyFill="1" applyBorder="1" applyAlignment="1">
      <alignment vertical="top"/>
    </xf>
    <xf numFmtId="0" fontId="52" fillId="0" borderId="0" xfId="0" applyFont="1" applyFill="1" applyBorder="1" applyAlignment="1">
      <alignment vertical="center"/>
    </xf>
    <xf numFmtId="0" fontId="62" fillId="0" borderId="23" xfId="0" applyFont="1" applyFill="1" applyBorder="1" applyAlignment="1" applyProtection="1">
      <alignment horizontal="center" vertical="center" wrapText="1"/>
    </xf>
    <xf numFmtId="173" fontId="57" fillId="0" borderId="10" xfId="0" applyNumberFormat="1" applyFont="1" applyFill="1" applyBorder="1"/>
    <xf numFmtId="0" fontId="57" fillId="0" borderId="23" xfId="2" applyFont="1" applyBorder="1" applyAlignment="1">
      <alignment horizontal="center" vertical="center"/>
    </xf>
    <xf numFmtId="0" fontId="57" fillId="0" borderId="23" xfId="2" applyFont="1" applyBorder="1" applyAlignment="1">
      <alignment horizontal="center" vertical="center" wrapText="1"/>
    </xf>
    <xf numFmtId="173" fontId="62" fillId="0" borderId="69" xfId="2" applyNumberFormat="1" applyFont="1" applyBorder="1" applyAlignment="1">
      <alignment horizontal="center" vertical="center"/>
    </xf>
    <xf numFmtId="173" fontId="62" fillId="0" borderId="69" xfId="2" applyNumberFormat="1" applyFont="1" applyBorder="1" applyAlignment="1">
      <alignment horizontal="center" vertical="center" wrapText="1"/>
    </xf>
    <xf numFmtId="173" fontId="62" fillId="0" borderId="23" xfId="2" applyNumberFormat="1" applyFont="1" applyBorder="1" applyAlignment="1">
      <alignment horizontal="center" vertical="center" wrapText="1"/>
    </xf>
    <xf numFmtId="173" fontId="62" fillId="0" borderId="23" xfId="2" applyNumberFormat="1" applyFont="1" applyFill="1" applyBorder="1" applyAlignment="1">
      <alignment horizontal="center" vertical="center" wrapText="1"/>
    </xf>
    <xf numFmtId="173" fontId="62" fillId="0" borderId="69" xfId="2" applyNumberFormat="1" applyFont="1" applyFill="1" applyBorder="1" applyAlignment="1">
      <alignment horizontal="center" vertical="center" wrapText="1"/>
    </xf>
    <xf numFmtId="0" fontId="62" fillId="0" borderId="23" xfId="0" applyFont="1" applyFill="1" applyBorder="1" applyAlignment="1" applyProtection="1">
      <alignment horizontal="center" vertical="center"/>
    </xf>
    <xf numFmtId="0" fontId="57" fillId="0" borderId="68" xfId="0" applyFont="1" applyFill="1" applyBorder="1" applyAlignment="1" applyProtection="1">
      <alignment horizontal="center" vertical="center"/>
    </xf>
    <xf numFmtId="0" fontId="62" fillId="0" borderId="23" xfId="0" applyFont="1" applyFill="1" applyBorder="1" applyAlignment="1">
      <alignment horizontal="center" vertical="center" wrapText="1"/>
    </xf>
    <xf numFmtId="0" fontId="57" fillId="0" borderId="23" xfId="2" applyFont="1" applyFill="1" applyBorder="1" applyAlignment="1" applyProtection="1">
      <alignment horizontal="left" vertical="center"/>
    </xf>
    <xf numFmtId="0" fontId="59" fillId="0" borderId="0" xfId="0" applyFont="1" applyFill="1" applyAlignment="1" applyProtection="1">
      <alignment horizontal="centerContinuous" vertical="center"/>
    </xf>
    <xf numFmtId="0" fontId="55" fillId="0" borderId="7" xfId="0" applyFont="1" applyFill="1" applyBorder="1" applyAlignment="1" applyProtection="1">
      <alignment horizontal="left" indent="2"/>
    </xf>
    <xf numFmtId="170" fontId="62" fillId="0" borderId="7" xfId="0" applyNumberFormat="1" applyFont="1" applyFill="1" applyBorder="1" applyAlignment="1" applyProtection="1">
      <alignment horizontal="center" vertical="center"/>
    </xf>
    <xf numFmtId="170" fontId="62" fillId="0" borderId="7" xfId="0" applyNumberFormat="1" applyFont="1" applyFill="1" applyBorder="1" applyAlignment="1" applyProtection="1">
      <alignment horizontal="center"/>
    </xf>
    <xf numFmtId="0" fontId="58" fillId="0" borderId="1" xfId="0" applyFont="1" applyFill="1" applyBorder="1" applyAlignment="1">
      <alignment vertical="center"/>
    </xf>
    <xf numFmtId="0" fontId="71" fillId="0" borderId="3" xfId="2" applyFont="1" applyFill="1" applyBorder="1" applyAlignment="1" applyProtection="1">
      <alignment horizontal="left"/>
    </xf>
    <xf numFmtId="0" fontId="71" fillId="0" borderId="7" xfId="2" applyFont="1" applyFill="1" applyBorder="1" applyAlignment="1" applyProtection="1">
      <alignment horizontal="left"/>
    </xf>
    <xf numFmtId="170" fontId="62" fillId="0" borderId="23" xfId="0" applyNumberFormat="1" applyFont="1" applyFill="1" applyBorder="1" applyAlignment="1" applyProtection="1">
      <alignment vertical="center"/>
    </xf>
    <xf numFmtId="170" fontId="62" fillId="0" borderId="1" xfId="0" applyNumberFormat="1" applyFont="1" applyFill="1" applyBorder="1" applyAlignment="1" applyProtection="1">
      <alignment vertical="center"/>
    </xf>
    <xf numFmtId="0" fontId="62" fillId="0" borderId="0" xfId="2" applyFont="1" applyFill="1" applyBorder="1" applyAlignment="1">
      <alignment horizontal="left" vertical="center"/>
    </xf>
    <xf numFmtId="0" fontId="58" fillId="0" borderId="1" xfId="2" applyFont="1" applyFill="1" applyBorder="1" applyAlignment="1" applyProtection="1">
      <alignment vertical="center"/>
    </xf>
    <xf numFmtId="170" fontId="57" fillId="0" borderId="3" xfId="2" applyNumberFormat="1" applyFont="1" applyFill="1" applyBorder="1" applyAlignment="1" applyProtection="1">
      <alignment horizontal="right"/>
    </xf>
    <xf numFmtId="170" fontId="62" fillId="0" borderId="11" xfId="2" applyNumberFormat="1" applyFont="1" applyFill="1" applyBorder="1" applyAlignment="1" applyProtection="1">
      <alignment horizontal="right"/>
    </xf>
    <xf numFmtId="170" fontId="62" fillId="0" borderId="0" xfId="2" applyNumberFormat="1" applyFont="1" applyFill="1" applyBorder="1" applyAlignment="1" applyProtection="1">
      <alignment horizontal="right"/>
    </xf>
    <xf numFmtId="170" fontId="62" fillId="0" borderId="3" xfId="2" applyNumberFormat="1" applyFont="1" applyFill="1" applyBorder="1" applyAlignment="1" applyProtection="1">
      <alignment horizontal="right"/>
    </xf>
    <xf numFmtId="170" fontId="57" fillId="0" borderId="11" xfId="0" applyNumberFormat="1" applyFont="1" applyFill="1" applyBorder="1" applyAlignment="1" applyProtection="1">
      <alignment horizontal="right"/>
    </xf>
    <xf numFmtId="170" fontId="62" fillId="0" borderId="11" xfId="0" applyNumberFormat="1" applyFont="1" applyFill="1" applyBorder="1" applyAlignment="1" applyProtection="1">
      <alignment horizontal="right"/>
    </xf>
    <xf numFmtId="170" fontId="62" fillId="0" borderId="4" xfId="0" applyNumberFormat="1" applyFont="1" applyFill="1" applyBorder="1" applyAlignment="1" applyProtection="1">
      <alignment horizontal="right"/>
    </xf>
    <xf numFmtId="170" fontId="62" fillId="0" borderId="3" xfId="0" applyNumberFormat="1" applyFont="1" applyFill="1" applyBorder="1" applyAlignment="1" applyProtection="1">
      <alignment horizontal="right"/>
    </xf>
    <xf numFmtId="173" fontId="58" fillId="0" borderId="1" xfId="2" applyNumberFormat="1" applyFont="1" applyFill="1" applyBorder="1" applyAlignment="1" applyProtection="1">
      <alignment vertical="center"/>
    </xf>
    <xf numFmtId="173" fontId="58" fillId="0" borderId="9" xfId="2" applyNumberFormat="1" applyFont="1" applyFill="1" applyBorder="1" applyAlignment="1" applyProtection="1">
      <alignment vertical="center"/>
    </xf>
    <xf numFmtId="170" fontId="57" fillId="0" borderId="1" xfId="0" applyNumberFormat="1" applyFont="1" applyFill="1" applyBorder="1" applyAlignment="1" applyProtection="1">
      <alignment horizontal="center"/>
    </xf>
    <xf numFmtId="0" fontId="62" fillId="0" borderId="11" xfId="0" applyFont="1" applyFill="1" applyBorder="1" applyAlignment="1"/>
    <xf numFmtId="0" fontId="58" fillId="0" borderId="0" xfId="0" applyFont="1" applyFill="1" applyAlignment="1">
      <alignment vertical="center"/>
    </xf>
    <xf numFmtId="0" fontId="57" fillId="0" borderId="11" xfId="2" applyFont="1" applyFill="1" applyBorder="1" applyAlignment="1" applyProtection="1">
      <alignment horizontal="right"/>
    </xf>
    <xf numFmtId="173" fontId="62" fillId="0" borderId="3" xfId="0" quotePrefix="1" applyNumberFormat="1" applyFont="1" applyFill="1" applyBorder="1"/>
    <xf numFmtId="173" fontId="62" fillId="0" borderId="3" xfId="0" applyNumberFormat="1" applyFont="1" applyFill="1" applyBorder="1" applyAlignment="1"/>
    <xf numFmtId="169" fontId="57" fillId="0" borderId="74" xfId="0" applyNumberFormat="1" applyFont="1" applyFill="1" applyBorder="1" applyAlignment="1" applyProtection="1"/>
    <xf numFmtId="169" fontId="57" fillId="0" borderId="82" xfId="0" applyNumberFormat="1" applyFont="1" applyFill="1" applyBorder="1" applyAlignment="1" applyProtection="1"/>
    <xf numFmtId="173" fontId="62" fillId="0" borderId="3" xfId="0" quotePrefix="1" applyNumberFormat="1" applyFont="1" applyFill="1" applyBorder="1" applyAlignment="1"/>
    <xf numFmtId="169" fontId="57" fillId="0" borderId="75" xfId="0" applyNumberFormat="1" applyFont="1" applyFill="1" applyBorder="1" applyAlignment="1" applyProtection="1"/>
    <xf numFmtId="173" fontId="62" fillId="0" borderId="1" xfId="0" quotePrefix="1" applyNumberFormat="1" applyFont="1" applyFill="1" applyBorder="1" applyAlignment="1"/>
    <xf numFmtId="179" fontId="62" fillId="0" borderId="3" xfId="0" applyNumberFormat="1" applyFont="1" applyFill="1" applyBorder="1" applyAlignment="1">
      <alignment horizontal="right"/>
    </xf>
    <xf numFmtId="173" fontId="62" fillId="0" borderId="7" xfId="0" applyNumberFormat="1" applyFont="1" applyFill="1" applyBorder="1" applyAlignment="1"/>
    <xf numFmtId="173" fontId="62" fillId="0" borderId="3" xfId="0" applyNumberFormat="1" applyFont="1" applyFill="1" applyBorder="1" applyAlignment="1">
      <alignment horizontal="right"/>
    </xf>
    <xf numFmtId="173" fontId="62" fillId="0" borderId="11" xfId="0" quotePrefix="1" applyNumberFormat="1" applyFont="1" applyFill="1" applyBorder="1"/>
    <xf numFmtId="0" fontId="58" fillId="0" borderId="3" xfId="0" applyFont="1" applyFill="1" applyBorder="1" applyAlignment="1" applyProtection="1">
      <alignment horizontal="left" indent="2"/>
    </xf>
    <xf numFmtId="173" fontId="57" fillId="0" borderId="11" xfId="0" applyNumberFormat="1" applyFont="1" applyBorder="1"/>
    <xf numFmtId="173" fontId="62" fillId="0" borderId="0" xfId="0" applyNumberFormat="1" applyFont="1"/>
    <xf numFmtId="173" fontId="62" fillId="0" borderId="10" xfId="0" applyNumberFormat="1" applyFont="1" applyBorder="1"/>
    <xf numFmtId="173" fontId="62" fillId="0" borderId="2" xfId="0" applyNumberFormat="1" applyFont="1" applyBorder="1"/>
    <xf numFmtId="173" fontId="62" fillId="0" borderId="4" xfId="0" applyNumberFormat="1" applyFont="1" applyBorder="1"/>
    <xf numFmtId="173" fontId="62" fillId="0" borderId="0" xfId="0" applyNumberFormat="1" applyFont="1" applyAlignment="1">
      <alignment horizontal="right"/>
    </xf>
    <xf numFmtId="173" fontId="57" fillId="0" borderId="23" xfId="0" applyNumberFormat="1" applyFont="1" applyBorder="1" applyAlignment="1" applyProtection="1">
      <alignment vertical="center"/>
    </xf>
    <xf numFmtId="173" fontId="57" fillId="0" borderId="69" xfId="0" applyNumberFormat="1" applyFont="1" applyBorder="1" applyAlignment="1" applyProtection="1">
      <alignment vertical="center"/>
    </xf>
    <xf numFmtId="173" fontId="57" fillId="0" borderId="13" xfId="0" applyNumberFormat="1" applyFont="1" applyBorder="1" applyAlignment="1" applyProtection="1">
      <alignment vertical="center"/>
    </xf>
    <xf numFmtId="173" fontId="57" fillId="0" borderId="68" xfId="0" applyNumberFormat="1" applyFont="1" applyBorder="1" applyAlignment="1" applyProtection="1">
      <alignment vertical="center"/>
    </xf>
    <xf numFmtId="173" fontId="62" fillId="0" borderId="5" xfId="2" applyNumberFormat="1" applyFont="1" applyFill="1" applyBorder="1" applyAlignment="1">
      <alignment vertical="center"/>
    </xf>
    <xf numFmtId="173" fontId="62" fillId="0" borderId="8" xfId="2" applyNumberFormat="1" applyFont="1" applyFill="1" applyBorder="1" applyAlignment="1">
      <alignment vertical="center"/>
    </xf>
    <xf numFmtId="173" fontId="62" fillId="0" borderId="7" xfId="2" applyNumberFormat="1" applyFont="1" applyFill="1" applyBorder="1" applyAlignment="1">
      <alignment vertical="center"/>
    </xf>
    <xf numFmtId="0" fontId="76" fillId="0" borderId="0" xfId="2" applyFont="1" applyFill="1" applyBorder="1" applyAlignment="1"/>
    <xf numFmtId="179" fontId="62" fillId="0" borderId="11" xfId="0" applyNumberFormat="1" applyFont="1" applyFill="1" applyBorder="1" applyAlignment="1" applyProtection="1">
      <alignment horizontal="right" vertical="center"/>
    </xf>
    <xf numFmtId="173" fontId="66" fillId="0" borderId="10" xfId="0" quotePrefix="1" applyNumberFormat="1" applyFont="1" applyFill="1" applyBorder="1" applyAlignment="1" applyProtection="1">
      <alignment vertical="center"/>
    </xf>
    <xf numFmtId="173" fontId="57" fillId="0" borderId="1" xfId="0" quotePrefix="1" applyNumberFormat="1" applyFont="1" applyFill="1" applyBorder="1" applyAlignment="1" applyProtection="1">
      <alignment vertical="center"/>
    </xf>
    <xf numFmtId="173" fontId="57" fillId="0" borderId="68" xfId="0" quotePrefix="1" applyNumberFormat="1" applyFont="1" applyFill="1" applyBorder="1" applyAlignment="1" applyProtection="1">
      <alignment vertical="center"/>
    </xf>
    <xf numFmtId="173" fontId="57" fillId="0" borderId="8" xfId="2" applyNumberFormat="1" applyFont="1" applyFill="1" applyBorder="1" applyAlignment="1">
      <alignment vertical="top"/>
    </xf>
    <xf numFmtId="173" fontId="58" fillId="0" borderId="2" xfId="2" applyNumberFormat="1" applyFont="1" applyFill="1" applyBorder="1" applyAlignment="1" applyProtection="1">
      <alignment vertical="center"/>
    </xf>
    <xf numFmtId="0" fontId="55" fillId="0" borderId="0" xfId="0" applyFont="1" applyFill="1" applyAlignment="1">
      <alignment horizontal="left"/>
    </xf>
    <xf numFmtId="0" fontId="57" fillId="0" borderId="3" xfId="2" applyFont="1" applyFill="1" applyBorder="1" applyAlignment="1" applyProtection="1">
      <alignment horizontal="left" vertical="center"/>
    </xf>
    <xf numFmtId="0" fontId="71" fillId="0" borderId="3" xfId="2" applyFont="1" applyFill="1" applyBorder="1" applyAlignment="1" applyProtection="1">
      <alignment horizontal="left" vertical="center"/>
    </xf>
    <xf numFmtId="0" fontId="53" fillId="0" borderId="4" xfId="0" applyFont="1" applyFill="1" applyBorder="1" applyAlignment="1" applyProtection="1">
      <alignment horizontal="centerContinuous"/>
    </xf>
    <xf numFmtId="0" fontId="62" fillId="0" borderId="0" xfId="0" applyFont="1" applyFill="1" applyBorder="1" applyAlignment="1">
      <alignment vertical="center"/>
    </xf>
    <xf numFmtId="0" fontId="9" fillId="0" borderId="50" xfId="0" applyFont="1" applyFill="1" applyBorder="1" applyAlignment="1" applyProtection="1">
      <alignment horizontal="center" vertical="center"/>
    </xf>
    <xf numFmtId="0" fontId="9" fillId="0" borderId="43" xfId="0" applyFont="1" applyFill="1" applyBorder="1" applyAlignment="1" applyProtection="1">
      <alignment horizontal="center" vertical="center"/>
    </xf>
    <xf numFmtId="0" fontId="9" fillId="0" borderId="34"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9" fillId="0" borderId="44"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13" fillId="0" borderId="0" xfId="0" applyFont="1" applyFill="1" applyAlignment="1">
      <alignment horizontal="center"/>
    </xf>
    <xf numFmtId="0" fontId="12" fillId="0" borderId="0" xfId="0" applyFont="1" applyFill="1" applyAlignment="1" applyProtection="1">
      <alignment horizontal="center"/>
    </xf>
    <xf numFmtId="0" fontId="8" fillId="0" borderId="0" xfId="0" applyFont="1" applyFill="1" applyAlignment="1">
      <alignment horizontal="center"/>
    </xf>
    <xf numFmtId="0" fontId="10" fillId="0" borderId="17" xfId="0" applyFont="1" applyFill="1" applyBorder="1" applyAlignment="1" applyProtection="1">
      <alignment horizontal="center" vertical="center"/>
    </xf>
    <xf numFmtId="0" fontId="10" fillId="0" borderId="16" xfId="0" applyFont="1" applyFill="1" applyBorder="1" applyAlignment="1" applyProtection="1">
      <alignment horizontal="center" vertical="center"/>
    </xf>
    <xf numFmtId="0" fontId="10" fillId="0" borderId="30" xfId="0" applyFont="1" applyFill="1" applyBorder="1" applyAlignment="1" applyProtection="1">
      <alignment horizontal="center" vertical="center"/>
    </xf>
    <xf numFmtId="0" fontId="10" fillId="0" borderId="36" xfId="0" applyFont="1" applyFill="1" applyBorder="1" applyAlignment="1" applyProtection="1">
      <alignment horizontal="center" vertical="center"/>
    </xf>
    <xf numFmtId="0" fontId="10" fillId="0" borderId="35" xfId="0" applyFont="1" applyFill="1" applyBorder="1" applyAlignment="1" applyProtection="1">
      <alignment horizontal="center" vertical="center"/>
    </xf>
    <xf numFmtId="0" fontId="10" fillId="0" borderId="43"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4" xfId="0" applyFont="1" applyFill="1" applyBorder="1" applyAlignment="1" applyProtection="1">
      <alignment horizontal="center" vertical="center"/>
    </xf>
    <xf numFmtId="0" fontId="9" fillId="0" borderId="9" xfId="0" applyFont="1" applyFill="1" applyBorder="1" applyAlignment="1" applyProtection="1">
      <alignment horizontal="center" vertical="center" wrapText="1"/>
    </xf>
    <xf numFmtId="0" fontId="9" fillId="0" borderId="10"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9" fillId="0" borderId="32" xfId="0" applyFont="1" applyFill="1" applyBorder="1" applyAlignment="1" applyProtection="1">
      <alignment horizontal="center" vertical="center"/>
    </xf>
    <xf numFmtId="0" fontId="9" fillId="0" borderId="21" xfId="0" applyFont="1" applyFill="1" applyBorder="1" applyAlignment="1" applyProtection="1">
      <alignment horizontal="center" vertical="center"/>
    </xf>
    <xf numFmtId="0" fontId="13" fillId="0" borderId="0" xfId="0" applyFont="1" applyFill="1" applyAlignment="1" applyProtection="1">
      <alignment horizontal="center"/>
    </xf>
    <xf numFmtId="0" fontId="0" fillId="0" borderId="0" xfId="0" applyFill="1" applyAlignment="1"/>
    <xf numFmtId="0" fontId="10" fillId="0" borderId="6" xfId="0" applyFont="1" applyFill="1" applyBorder="1" applyAlignment="1" applyProtection="1">
      <alignment horizontal="center" vertical="center"/>
    </xf>
    <xf numFmtId="0" fontId="10" fillId="0" borderId="8" xfId="0" applyFont="1" applyFill="1" applyBorder="1" applyAlignment="1" applyProtection="1">
      <alignment horizontal="center" vertical="center"/>
    </xf>
    <xf numFmtId="0" fontId="0" fillId="0" borderId="16" xfId="0" applyFill="1" applyBorder="1" applyAlignment="1"/>
    <xf numFmtId="0" fontId="0" fillId="0" borderId="30" xfId="0" applyFill="1" applyBorder="1" applyAlignment="1"/>
    <xf numFmtId="0" fontId="0" fillId="0" borderId="43" xfId="0" applyFill="1" applyBorder="1" applyAlignment="1">
      <alignment horizontal="center" vertical="center"/>
    </xf>
    <xf numFmtId="0" fontId="0" fillId="0" borderId="34" xfId="0" applyFill="1" applyBorder="1" applyAlignment="1">
      <alignment horizontal="center" vertical="center"/>
    </xf>
    <xf numFmtId="0" fontId="0" fillId="0" borderId="4" xfId="0" applyFill="1" applyBorder="1" applyAlignment="1">
      <alignment horizontal="center" vertical="center"/>
    </xf>
    <xf numFmtId="0" fontId="0" fillId="0" borderId="44" xfId="0" applyFill="1" applyBorder="1" applyAlignment="1">
      <alignment horizontal="center" vertical="center"/>
    </xf>
    <xf numFmtId="0" fontId="0" fillId="0" borderId="8" xfId="0" applyFill="1" applyBorder="1" applyAlignment="1">
      <alignment horizontal="center" vertical="center"/>
    </xf>
    <xf numFmtId="0" fontId="0" fillId="0" borderId="16" xfId="0" applyFill="1" applyBorder="1" applyAlignment="1">
      <alignment horizontal="center" vertical="center"/>
    </xf>
    <xf numFmtId="0" fontId="0" fillId="0" borderId="30" xfId="0" applyFill="1" applyBorder="1" applyAlignment="1">
      <alignment horizontal="center" vertical="center"/>
    </xf>
    <xf numFmtId="0" fontId="10" fillId="0" borderId="5" xfId="0" applyFont="1" applyFill="1" applyBorder="1" applyAlignment="1" applyProtection="1">
      <alignment horizontal="center" vertical="center"/>
    </xf>
    <xf numFmtId="169" fontId="13" fillId="0" borderId="0" xfId="0" applyNumberFormat="1" applyFont="1" applyFill="1" applyBorder="1" applyAlignment="1" applyProtection="1">
      <alignment horizontal="center" vertical="center"/>
    </xf>
    <xf numFmtId="0" fontId="0" fillId="0" borderId="0" xfId="0" applyFill="1" applyAlignment="1">
      <alignment vertical="center"/>
    </xf>
    <xf numFmtId="169" fontId="9" fillId="0" borderId="38" xfId="0" applyNumberFormat="1" applyFont="1" applyFill="1" applyBorder="1" applyAlignment="1" applyProtection="1">
      <alignment horizontal="center" vertical="center"/>
    </xf>
    <xf numFmtId="0" fontId="0" fillId="0" borderId="27" xfId="0" applyFill="1" applyBorder="1" applyAlignment="1">
      <alignment horizontal="center" vertical="center"/>
    </xf>
    <xf numFmtId="0" fontId="0" fillId="0" borderId="37" xfId="0" applyFill="1" applyBorder="1" applyAlignment="1">
      <alignment horizontal="center" vertical="center"/>
    </xf>
    <xf numFmtId="169" fontId="9" fillId="0" borderId="27" xfId="0" applyNumberFormat="1" applyFont="1" applyFill="1" applyBorder="1" applyAlignment="1" applyProtection="1">
      <alignment horizontal="center" vertical="center"/>
    </xf>
    <xf numFmtId="164" fontId="9" fillId="0" borderId="38" xfId="3" applyFont="1" applyFill="1" applyBorder="1" applyAlignment="1" applyProtection="1">
      <alignment horizontal="center" vertical="center"/>
    </xf>
    <xf numFmtId="164" fontId="9" fillId="0" borderId="27" xfId="3" applyFont="1" applyFill="1" applyBorder="1" applyAlignment="1" applyProtection="1">
      <alignment horizontal="center" vertical="center"/>
    </xf>
    <xf numFmtId="164" fontId="0" fillId="0" borderId="27" xfId="3" applyFont="1" applyFill="1" applyBorder="1" applyAlignment="1">
      <alignment horizontal="center" vertical="center"/>
    </xf>
    <xf numFmtId="169" fontId="10" fillId="0" borderId="0" xfId="0" applyNumberFormat="1" applyFont="1" applyFill="1" applyBorder="1" applyAlignment="1" applyProtection="1">
      <alignment horizontal="center" vertical="center"/>
    </xf>
    <xf numFmtId="169" fontId="10" fillId="0" borderId="17" xfId="0" applyNumberFormat="1" applyFont="1" applyFill="1" applyBorder="1" applyAlignment="1" applyProtection="1">
      <alignment horizontal="center" vertical="center"/>
    </xf>
    <xf numFmtId="169" fontId="10" fillId="0" borderId="27" xfId="0" applyNumberFormat="1" applyFont="1" applyFill="1" applyBorder="1" applyAlignment="1" applyProtection="1">
      <alignment horizontal="center" vertical="center"/>
    </xf>
    <xf numFmtId="169" fontId="10" fillId="0" borderId="37" xfId="0" applyNumberFormat="1" applyFont="1" applyFill="1" applyBorder="1" applyAlignment="1" applyProtection="1">
      <alignment horizontal="center" vertical="center"/>
    </xf>
    <xf numFmtId="169" fontId="10" fillId="0" borderId="36" xfId="0" applyNumberFormat="1" applyFont="1" applyFill="1" applyBorder="1" applyAlignment="1" applyProtection="1">
      <alignment horizontal="center" vertical="center"/>
    </xf>
    <xf numFmtId="169" fontId="10" fillId="0" borderId="35" xfId="0" applyNumberFormat="1" applyFont="1" applyFill="1" applyBorder="1" applyAlignment="1" applyProtection="1">
      <alignment horizontal="center" vertical="center"/>
    </xf>
    <xf numFmtId="169" fontId="10" fillId="0" borderId="43" xfId="0" applyNumberFormat="1" applyFont="1" applyFill="1" applyBorder="1" applyAlignment="1" applyProtection="1">
      <alignment horizontal="center" vertical="center"/>
    </xf>
    <xf numFmtId="169" fontId="10" fillId="0" borderId="5" xfId="0" applyNumberFormat="1" applyFont="1" applyFill="1" applyBorder="1" applyAlignment="1" applyProtection="1">
      <alignment horizontal="center" vertical="center"/>
    </xf>
    <xf numFmtId="169" fontId="10" fillId="0" borderId="6" xfId="0" applyNumberFormat="1" applyFont="1" applyFill="1" applyBorder="1" applyAlignment="1" applyProtection="1">
      <alignment horizontal="center" vertical="center"/>
    </xf>
    <xf numFmtId="169" fontId="10" fillId="0" borderId="8" xfId="0" applyNumberFormat="1" applyFont="1" applyFill="1" applyBorder="1" applyAlignment="1" applyProtection="1">
      <alignment horizontal="center" vertical="center"/>
    </xf>
    <xf numFmtId="169" fontId="9" fillId="0" borderId="12" xfId="0" applyNumberFormat="1" applyFont="1" applyFill="1" applyBorder="1" applyAlignment="1">
      <alignment horizontal="center" vertical="center"/>
    </xf>
    <xf numFmtId="169" fontId="9" fillId="0" borderId="3" xfId="0" applyNumberFormat="1" applyFont="1" applyFill="1" applyBorder="1" applyAlignment="1">
      <alignment horizontal="center" vertical="center"/>
    </xf>
    <xf numFmtId="169" fontId="9" fillId="0" borderId="12" xfId="0" applyNumberFormat="1" applyFont="1" applyFill="1" applyBorder="1" applyAlignment="1" applyProtection="1">
      <alignment horizontal="center"/>
    </xf>
    <xf numFmtId="169" fontId="9" fillId="0" borderId="3" xfId="0" applyNumberFormat="1" applyFont="1" applyFill="1" applyBorder="1" applyAlignment="1" applyProtection="1">
      <alignment horizontal="center"/>
    </xf>
    <xf numFmtId="169" fontId="10" fillId="0" borderId="53" xfId="0" applyNumberFormat="1" applyFont="1" applyFill="1" applyBorder="1" applyAlignment="1" applyProtection="1">
      <alignment horizontal="center" vertical="center"/>
    </xf>
    <xf numFmtId="169" fontId="10" fillId="0" borderId="11" xfId="0" applyNumberFormat="1" applyFont="1" applyFill="1" applyBorder="1" applyAlignment="1" applyProtection="1">
      <alignment horizontal="center" vertical="center"/>
    </xf>
    <xf numFmtId="169" fontId="10" fillId="0" borderId="28" xfId="0" applyNumberFormat="1" applyFont="1" applyFill="1" applyBorder="1" applyAlignment="1" applyProtection="1">
      <alignment horizontal="center" vertical="center"/>
    </xf>
    <xf numFmtId="169" fontId="10" fillId="0" borderId="20" xfId="0" applyNumberFormat="1" applyFont="1" applyFill="1" applyBorder="1" applyAlignment="1" applyProtection="1">
      <alignment horizontal="center" vertical="center"/>
    </xf>
    <xf numFmtId="169" fontId="10" fillId="0" borderId="36" xfId="0" applyNumberFormat="1" applyFont="1" applyFill="1" applyBorder="1" applyAlignment="1">
      <alignment horizontal="center" vertical="center"/>
    </xf>
    <xf numFmtId="169" fontId="10" fillId="0" borderId="35" xfId="0" applyNumberFormat="1" applyFont="1" applyFill="1" applyBorder="1" applyAlignment="1">
      <alignment horizontal="center" vertical="center"/>
    </xf>
    <xf numFmtId="169" fontId="10" fillId="0" borderId="43" xfId="0" applyNumberFormat="1" applyFont="1" applyFill="1" applyBorder="1" applyAlignment="1">
      <alignment horizontal="center" vertical="center"/>
    </xf>
    <xf numFmtId="169" fontId="10" fillId="0" borderId="5" xfId="0" applyNumberFormat="1" applyFont="1" applyFill="1" applyBorder="1" applyAlignment="1">
      <alignment horizontal="center" vertical="center"/>
    </xf>
    <xf numFmtId="169" fontId="10" fillId="0" borderId="6" xfId="0" applyNumberFormat="1" applyFont="1" applyFill="1" applyBorder="1" applyAlignment="1">
      <alignment horizontal="center" vertical="center"/>
    </xf>
    <xf numFmtId="169" fontId="10" fillId="0" borderId="8" xfId="0" applyNumberFormat="1" applyFont="1" applyFill="1" applyBorder="1" applyAlignment="1">
      <alignment horizontal="center" vertical="center"/>
    </xf>
    <xf numFmtId="169" fontId="10" fillId="0" borderId="21" xfId="0" applyNumberFormat="1" applyFont="1" applyFill="1" applyBorder="1" applyAlignment="1" applyProtection="1">
      <alignment horizontal="center" vertical="center"/>
    </xf>
    <xf numFmtId="169" fontId="10" fillId="0" borderId="11" xfId="0" applyNumberFormat="1" applyFont="1" applyFill="1" applyBorder="1" applyAlignment="1">
      <alignment horizontal="center" vertical="center"/>
    </xf>
    <xf numFmtId="169" fontId="10" fillId="0" borderId="0" xfId="0" applyNumberFormat="1" applyFont="1" applyFill="1" applyBorder="1" applyAlignment="1">
      <alignment horizontal="center" vertical="center"/>
    </xf>
    <xf numFmtId="169" fontId="10" fillId="0" borderId="4" xfId="0" applyNumberFormat="1" applyFont="1" applyFill="1" applyBorder="1" applyAlignment="1">
      <alignment horizontal="center" vertical="center"/>
    </xf>
    <xf numFmtId="164" fontId="10" fillId="0" borderId="27" xfId="3" applyFont="1" applyFill="1" applyBorder="1" applyAlignment="1" applyProtection="1">
      <alignment horizontal="center" vertical="center"/>
    </xf>
    <xf numFmtId="164" fontId="10" fillId="0" borderId="37" xfId="3" applyFont="1" applyFill="1" applyBorder="1" applyAlignment="1" applyProtection="1">
      <alignment horizontal="center" vertical="center"/>
    </xf>
    <xf numFmtId="166" fontId="13" fillId="0" borderId="0" xfId="0" applyNumberFormat="1" applyFont="1" applyFill="1" applyBorder="1" applyAlignment="1" applyProtection="1">
      <alignment horizontal="center" vertical="center"/>
    </xf>
    <xf numFmtId="0" fontId="3" fillId="0" borderId="0" xfId="0" applyFont="1" applyFill="1" applyAlignment="1">
      <alignment horizontal="center" vertical="center"/>
    </xf>
    <xf numFmtId="0" fontId="3" fillId="0" borderId="34" xfId="0" applyFont="1" applyFill="1" applyBorder="1" applyAlignment="1">
      <alignment horizontal="center" vertical="center"/>
    </xf>
    <xf numFmtId="0" fontId="3" fillId="0" borderId="44" xfId="0" applyFont="1" applyFill="1" applyBorder="1" applyAlignment="1">
      <alignment horizontal="center" vertical="center"/>
    </xf>
    <xf numFmtId="0" fontId="10" fillId="0" borderId="35" xfId="2" applyFont="1" applyFill="1" applyBorder="1" applyAlignment="1" applyProtection="1">
      <alignment horizontal="center" vertical="center"/>
    </xf>
    <xf numFmtId="0" fontId="10" fillId="0" borderId="43" xfId="2" applyFont="1" applyFill="1" applyBorder="1" applyAlignment="1" applyProtection="1">
      <alignment horizontal="center" vertical="center"/>
    </xf>
    <xf numFmtId="0" fontId="10" fillId="0" borderId="6" xfId="2" applyFont="1" applyFill="1" applyBorder="1" applyAlignment="1" applyProtection="1">
      <alignment horizontal="center" vertical="center"/>
    </xf>
    <xf numFmtId="0" fontId="10" fillId="0" borderId="8" xfId="2" applyFont="1" applyFill="1" applyBorder="1" applyAlignment="1" applyProtection="1">
      <alignment horizontal="center" vertical="center"/>
    </xf>
    <xf numFmtId="0" fontId="10" fillId="0" borderId="17" xfId="2" applyFont="1" applyFill="1" applyBorder="1" applyAlignment="1" applyProtection="1">
      <alignment horizontal="center" vertical="center"/>
    </xf>
    <xf numFmtId="0" fontId="3" fillId="0" borderId="16" xfId="2" applyFill="1" applyBorder="1" applyAlignment="1"/>
    <xf numFmtId="0" fontId="3" fillId="0" borderId="30" xfId="2" applyFill="1" applyBorder="1" applyAlignment="1"/>
    <xf numFmtId="0" fontId="9" fillId="0" borderId="50" xfId="2" applyFont="1" applyFill="1" applyBorder="1" applyAlignment="1" applyProtection="1">
      <alignment horizontal="center" vertical="center"/>
    </xf>
    <xf numFmtId="0" fontId="3" fillId="0" borderId="43" xfId="2" applyFill="1" applyBorder="1" applyAlignment="1">
      <alignment horizontal="center" vertical="center"/>
    </xf>
    <xf numFmtId="0" fontId="3" fillId="0" borderId="34" xfId="2" applyFill="1" applyBorder="1" applyAlignment="1">
      <alignment horizontal="center" vertical="center"/>
    </xf>
    <xf numFmtId="0" fontId="3" fillId="0" borderId="4" xfId="2" applyFill="1" applyBorder="1" applyAlignment="1">
      <alignment horizontal="center" vertical="center"/>
    </xf>
    <xf numFmtId="0" fontId="3" fillId="0" borderId="44" xfId="2" applyFill="1" applyBorder="1" applyAlignment="1">
      <alignment horizontal="center" vertical="center"/>
    </xf>
    <xf numFmtId="0" fontId="3" fillId="0" borderId="8" xfId="2" applyFill="1" applyBorder="1" applyAlignment="1">
      <alignment horizontal="center" vertical="center"/>
    </xf>
    <xf numFmtId="166" fontId="13" fillId="0" borderId="0" xfId="2" applyNumberFormat="1" applyFont="1" applyFill="1" applyBorder="1" applyAlignment="1" applyProtection="1">
      <alignment horizontal="center" vertical="center"/>
    </xf>
    <xf numFmtId="0" fontId="3" fillId="0" borderId="0" xfId="2" applyFill="1" applyAlignment="1">
      <alignment horizontal="center" vertical="center"/>
    </xf>
    <xf numFmtId="0" fontId="13" fillId="0" borderId="0" xfId="0" applyFont="1" applyFill="1" applyBorder="1" applyAlignment="1" applyProtection="1">
      <alignment horizontal="left" vertical="center"/>
    </xf>
    <xf numFmtId="0" fontId="10" fillId="0" borderId="49" xfId="0" applyFont="1" applyFill="1" applyBorder="1" applyAlignment="1" applyProtection="1">
      <alignment horizontal="center" vertical="center"/>
    </xf>
    <xf numFmtId="0" fontId="13" fillId="0" borderId="0" xfId="0" applyFont="1" applyFill="1" applyAlignment="1" applyProtection="1">
      <alignment horizontal="center" vertical="center"/>
    </xf>
    <xf numFmtId="0" fontId="0" fillId="0" borderId="16" xfId="0" applyFill="1" applyBorder="1" applyAlignment="1">
      <alignment vertical="center"/>
    </xf>
    <xf numFmtId="0" fontId="0" fillId="0" borderId="30" xfId="0" applyFill="1" applyBorder="1" applyAlignment="1">
      <alignment vertical="center"/>
    </xf>
    <xf numFmtId="177" fontId="9" fillId="0" borderId="50" xfId="0" applyNumberFormat="1" applyFont="1" applyFill="1" applyBorder="1" applyAlignment="1" applyProtection="1">
      <alignment horizontal="center" vertical="center"/>
    </xf>
    <xf numFmtId="177" fontId="10" fillId="0" borderId="35" xfId="0" applyNumberFormat="1" applyFont="1" applyFill="1" applyBorder="1" applyAlignment="1" applyProtection="1">
      <alignment horizontal="center" vertical="center"/>
    </xf>
    <xf numFmtId="177" fontId="10" fillId="0" borderId="43" xfId="0" applyNumberFormat="1" applyFont="1" applyFill="1" applyBorder="1" applyAlignment="1" applyProtection="1">
      <alignment horizontal="center" vertical="center"/>
    </xf>
    <xf numFmtId="177" fontId="10" fillId="0" borderId="6" xfId="0" applyNumberFormat="1" applyFont="1" applyFill="1" applyBorder="1" applyAlignment="1" applyProtection="1">
      <alignment horizontal="center" vertical="center"/>
    </xf>
    <xf numFmtId="177" fontId="10" fillId="0" borderId="8" xfId="0" applyNumberFormat="1"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28" xfId="0" applyFont="1" applyFill="1" applyBorder="1" applyAlignment="1" applyProtection="1">
      <alignment horizontal="center" vertical="center"/>
    </xf>
    <xf numFmtId="177" fontId="10" fillId="0" borderId="17" xfId="0" applyNumberFormat="1" applyFont="1" applyFill="1" applyBorder="1" applyAlignment="1" applyProtection="1">
      <alignment horizontal="center" vertical="center"/>
    </xf>
    <xf numFmtId="0" fontId="13" fillId="0" borderId="0" xfId="0" applyFont="1" applyFill="1" applyBorder="1" applyAlignment="1" applyProtection="1">
      <alignment horizontal="center"/>
    </xf>
    <xf numFmtId="173" fontId="9" fillId="0" borderId="33" xfId="0" applyNumberFormat="1" applyFont="1" applyFill="1" applyBorder="1" applyAlignment="1">
      <alignment horizontal="center" vertical="center" wrapText="1"/>
    </xf>
    <xf numFmtId="173" fontId="9" fillId="0" borderId="22" xfId="0" applyNumberFormat="1" applyFont="1" applyFill="1" applyBorder="1" applyAlignment="1">
      <alignment horizontal="center" vertical="center"/>
    </xf>
    <xf numFmtId="173" fontId="9" fillId="0" borderId="31" xfId="0" applyNumberFormat="1" applyFont="1" applyFill="1" applyBorder="1" applyAlignment="1">
      <alignment horizontal="center" vertical="center"/>
    </xf>
    <xf numFmtId="173" fontId="9" fillId="0" borderId="1" xfId="0" applyNumberFormat="1" applyFont="1" applyBorder="1" applyAlignment="1">
      <alignment horizontal="center" vertical="center" wrapText="1"/>
    </xf>
    <xf numFmtId="173" fontId="9" fillId="0" borderId="3" xfId="0" applyNumberFormat="1" applyFont="1" applyBorder="1" applyAlignment="1">
      <alignment horizontal="center" vertical="center"/>
    </xf>
    <xf numFmtId="173" fontId="9" fillId="0" borderId="7" xfId="0" applyNumberFormat="1" applyFont="1" applyBorder="1" applyAlignment="1">
      <alignment horizontal="center" vertical="center"/>
    </xf>
    <xf numFmtId="0" fontId="15" fillId="0" borderId="0" xfId="0" quotePrefix="1" applyFont="1" applyFill="1" applyBorder="1" applyAlignment="1">
      <alignment horizontal="center" vertical="center"/>
    </xf>
    <xf numFmtId="0" fontId="9" fillId="0" borderId="27"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7" xfId="0" applyFont="1" applyFill="1" applyBorder="1" applyAlignment="1">
      <alignment horizontal="center" vertical="center" wrapText="1"/>
    </xf>
    <xf numFmtId="173" fontId="9" fillId="0" borderId="17" xfId="0" applyNumberFormat="1" applyFont="1" applyFill="1" applyBorder="1" applyAlignment="1">
      <alignment horizontal="center" vertical="center"/>
    </xf>
    <xf numFmtId="173" fontId="9" fillId="0" borderId="16" xfId="0" applyNumberFormat="1" applyFont="1" applyFill="1" applyBorder="1" applyAlignment="1">
      <alignment horizontal="center" vertical="center"/>
    </xf>
    <xf numFmtId="173" fontId="9" fillId="0" borderId="49" xfId="0" applyNumberFormat="1" applyFont="1" applyFill="1" applyBorder="1" applyAlignment="1">
      <alignment horizontal="center" vertical="center"/>
    </xf>
    <xf numFmtId="173" fontId="9" fillId="0" borderId="11" xfId="0" applyNumberFormat="1" applyFont="1" applyFill="1" applyBorder="1" applyAlignment="1">
      <alignment horizontal="center" vertical="center"/>
    </xf>
    <xf numFmtId="173" fontId="9" fillId="0" borderId="5" xfId="0" applyNumberFormat="1" applyFont="1" applyFill="1" applyBorder="1" applyAlignment="1">
      <alignment horizontal="center" vertical="center"/>
    </xf>
    <xf numFmtId="0" fontId="15" fillId="0" borderId="0" xfId="0" applyFont="1" applyFill="1" applyBorder="1" applyAlignment="1">
      <alignment horizontal="left" vertical="center"/>
    </xf>
    <xf numFmtId="0" fontId="10" fillId="0" borderId="38" xfId="0" applyFont="1" applyBorder="1" applyAlignment="1">
      <alignment horizontal="center" vertical="center"/>
    </xf>
    <xf numFmtId="0" fontId="10" fillId="0" borderId="27" xfId="0" applyFont="1" applyBorder="1" applyAlignment="1">
      <alignment horizontal="center" vertical="center"/>
    </xf>
    <xf numFmtId="0" fontId="10" fillId="0" borderId="37" xfId="0" applyFont="1" applyBorder="1" applyAlignment="1">
      <alignment horizontal="center" vertical="center"/>
    </xf>
    <xf numFmtId="0" fontId="9" fillId="0" borderId="12" xfId="0" applyFont="1" applyFill="1" applyBorder="1" applyAlignment="1">
      <alignment horizontal="center" vertical="center" wrapText="1"/>
    </xf>
    <xf numFmtId="0" fontId="9" fillId="0" borderId="38" xfId="0" applyFont="1" applyFill="1" applyBorder="1" applyAlignment="1">
      <alignment horizontal="center" vertical="center"/>
    </xf>
    <xf numFmtId="173" fontId="10" fillId="0" borderId="17" xfId="0" applyNumberFormat="1" applyFont="1" applyBorder="1" applyAlignment="1">
      <alignment horizontal="center" vertical="center"/>
    </xf>
    <xf numFmtId="173" fontId="10" fillId="0" borderId="16" xfId="0" applyNumberFormat="1" applyFont="1" applyBorder="1" applyAlignment="1">
      <alignment horizontal="center" vertical="center"/>
    </xf>
    <xf numFmtId="173" fontId="10" fillId="0" borderId="49" xfId="0" applyNumberFormat="1" applyFont="1" applyBorder="1" applyAlignment="1">
      <alignment horizontal="center" vertical="center"/>
    </xf>
    <xf numFmtId="0" fontId="9" fillId="0" borderId="0" xfId="0" applyFont="1" applyBorder="1" applyAlignment="1" applyProtection="1">
      <alignment horizontal="left" vertical="center"/>
    </xf>
    <xf numFmtId="0" fontId="13" fillId="0" borderId="0" xfId="0" applyFont="1" applyBorder="1" applyAlignment="1">
      <alignment horizontal="center" vertical="center"/>
    </xf>
    <xf numFmtId="0" fontId="16" fillId="0" borderId="0" xfId="0" applyFont="1" applyFill="1" applyBorder="1" applyAlignment="1">
      <alignment horizontal="left" vertical="center"/>
    </xf>
    <xf numFmtId="173" fontId="9" fillId="0" borderId="11" xfId="0" applyNumberFormat="1" applyFont="1" applyBorder="1" applyAlignment="1">
      <alignment horizontal="center" vertical="center"/>
    </xf>
    <xf numFmtId="173" fontId="9" fillId="0" borderId="5" xfId="0" applyNumberFormat="1" applyFont="1" applyBorder="1" applyAlignment="1">
      <alignment horizontal="center" vertical="center"/>
    </xf>
    <xf numFmtId="0" fontId="10" fillId="0" borderId="1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15" fillId="0" borderId="17"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30" xfId="0" applyFont="1" applyFill="1" applyBorder="1" applyAlignment="1">
      <alignment horizontal="center" vertical="center"/>
    </xf>
    <xf numFmtId="0" fontId="13" fillId="0" borderId="0" xfId="0" applyFont="1" applyFill="1" applyAlignment="1">
      <alignment horizontal="center" vertical="center"/>
    </xf>
    <xf numFmtId="0" fontId="9" fillId="0" borderId="23" xfId="0" applyFont="1" applyFill="1" applyBorder="1" applyAlignment="1">
      <alignment horizontal="center" vertical="center"/>
    </xf>
    <xf numFmtId="0" fontId="10" fillId="0" borderId="2" xfId="0" applyFont="1" applyFill="1" applyBorder="1" applyAlignment="1" applyProtection="1">
      <alignment horizontal="center" vertical="center"/>
    </xf>
    <xf numFmtId="0" fontId="16" fillId="0" borderId="35" xfId="0" applyFont="1" applyFill="1" applyBorder="1" applyAlignment="1" applyProtection="1">
      <alignment horizontal="center" vertical="center" wrapText="1"/>
    </xf>
    <xf numFmtId="0" fontId="16" fillId="0" borderId="43" xfId="0"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6" fillId="0" borderId="6" xfId="0" applyFont="1" applyFill="1" applyBorder="1" applyAlignment="1" applyProtection="1">
      <alignment horizontal="center" vertical="center" wrapText="1"/>
    </xf>
    <xf numFmtId="0" fontId="16" fillId="0" borderId="8" xfId="0" applyFont="1" applyFill="1" applyBorder="1" applyAlignment="1" applyProtection="1">
      <alignment horizontal="center" vertical="center" wrapText="1"/>
    </xf>
    <xf numFmtId="0" fontId="10" fillId="0" borderId="17"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30" xfId="0" applyFont="1" applyFill="1" applyBorder="1" applyAlignment="1">
      <alignment horizontal="center" vertical="center"/>
    </xf>
    <xf numFmtId="0" fontId="13" fillId="0" borderId="0" xfId="0" applyFont="1" applyFill="1" applyAlignment="1">
      <alignment horizontal="center" wrapText="1"/>
    </xf>
    <xf numFmtId="0" fontId="13" fillId="0" borderId="0" xfId="0" applyFont="1" applyFill="1" applyBorder="1" applyAlignment="1">
      <alignment horizontal="center" wrapText="1"/>
    </xf>
    <xf numFmtId="176" fontId="10" fillId="0" borderId="1" xfId="0" applyNumberFormat="1" applyFont="1" applyFill="1" applyBorder="1" applyAlignment="1" applyProtection="1">
      <alignment horizontal="right" vertical="center"/>
    </xf>
    <xf numFmtId="176" fontId="10" fillId="0" borderId="3" xfId="0" applyNumberFormat="1" applyFont="1" applyFill="1" applyBorder="1" applyAlignment="1" applyProtection="1">
      <alignment horizontal="right" vertical="center"/>
    </xf>
    <xf numFmtId="176" fontId="10" fillId="0" borderId="19" xfId="0" applyNumberFormat="1" applyFont="1" applyFill="1" applyBorder="1" applyAlignment="1" applyProtection="1">
      <alignment horizontal="right" vertical="center"/>
    </xf>
    <xf numFmtId="176" fontId="10" fillId="0" borderId="9" xfId="0" applyNumberFormat="1" applyFont="1" applyFill="1" applyBorder="1" applyAlignment="1" applyProtection="1">
      <alignment horizontal="right" vertical="center"/>
    </xf>
    <xf numFmtId="176" fontId="10" fillId="0" borderId="11" xfId="0" applyNumberFormat="1" applyFont="1" applyFill="1" applyBorder="1" applyAlignment="1" applyProtection="1">
      <alignment horizontal="right" vertical="center"/>
    </xf>
    <xf numFmtId="176" fontId="10" fillId="0" borderId="29" xfId="0" applyNumberFormat="1" applyFont="1" applyFill="1" applyBorder="1" applyAlignment="1" applyProtection="1">
      <alignment horizontal="right" vertical="center"/>
    </xf>
    <xf numFmtId="176" fontId="10" fillId="0" borderId="2" xfId="0" applyNumberFormat="1" applyFont="1" applyFill="1" applyBorder="1" applyAlignment="1" applyProtection="1">
      <alignment horizontal="right" vertical="center"/>
    </xf>
    <xf numFmtId="176" fontId="10" fillId="0" borderId="4" xfId="0" applyNumberFormat="1" applyFont="1" applyFill="1" applyBorder="1" applyAlignment="1" applyProtection="1">
      <alignment horizontal="right" vertical="center"/>
    </xf>
    <xf numFmtId="176" fontId="10" fillId="0" borderId="25" xfId="0" applyNumberFormat="1" applyFont="1" applyFill="1" applyBorder="1" applyAlignment="1" applyProtection="1">
      <alignment horizontal="right" vertical="center"/>
    </xf>
    <xf numFmtId="176" fontId="10" fillId="0" borderId="10" xfId="0" applyNumberFormat="1" applyFont="1" applyFill="1" applyBorder="1" applyAlignment="1" applyProtection="1">
      <alignment horizontal="right" vertical="center"/>
    </xf>
    <xf numFmtId="176" fontId="10" fillId="0" borderId="0" xfId="0" applyNumberFormat="1" applyFont="1" applyFill="1" applyBorder="1" applyAlignment="1" applyProtection="1">
      <alignment horizontal="right" vertical="center"/>
    </xf>
    <xf numFmtId="176" fontId="10" fillId="0" borderId="18" xfId="0" applyNumberFormat="1" applyFont="1" applyFill="1" applyBorder="1" applyAlignment="1" applyProtection="1">
      <alignment horizontal="right" vertical="center"/>
    </xf>
    <xf numFmtId="176" fontId="10" fillId="0" borderId="33" xfId="0" applyNumberFormat="1" applyFont="1" applyFill="1" applyBorder="1" applyAlignment="1" applyProtection="1">
      <alignment horizontal="right" vertical="center"/>
    </xf>
    <xf numFmtId="176" fontId="10" fillId="0" borderId="22" xfId="0" applyNumberFormat="1" applyFont="1" applyFill="1" applyBorder="1" applyAlignment="1" applyProtection="1">
      <alignment horizontal="right" vertical="center"/>
    </xf>
    <xf numFmtId="176" fontId="10" fillId="0" borderId="48" xfId="0" applyNumberFormat="1" applyFont="1" applyFill="1" applyBorder="1" applyAlignment="1" applyProtection="1">
      <alignment horizontal="right" vertical="center"/>
    </xf>
    <xf numFmtId="0" fontId="10" fillId="0" borderId="2" xfId="0" applyFont="1" applyFill="1" applyBorder="1" applyAlignment="1" applyProtection="1">
      <alignment horizontal="left" vertical="center"/>
    </xf>
    <xf numFmtId="0" fontId="10" fillId="0" borderId="4" xfId="0" applyFont="1" applyFill="1" applyBorder="1" applyAlignment="1" applyProtection="1">
      <alignment horizontal="left" vertical="center"/>
    </xf>
    <xf numFmtId="0" fontId="10" fillId="0" borderId="25" xfId="0" applyFont="1" applyFill="1" applyBorder="1" applyAlignment="1" applyProtection="1">
      <alignment horizontal="left" vertical="center"/>
    </xf>
    <xf numFmtId="0" fontId="16" fillId="0" borderId="54" xfId="0" applyFont="1" applyFill="1" applyBorder="1" applyAlignment="1" applyProtection="1">
      <alignment horizontal="left" wrapText="1"/>
    </xf>
    <xf numFmtId="0" fontId="3" fillId="0" borderId="16" xfId="0" applyFont="1" applyFill="1" applyBorder="1" applyAlignment="1">
      <alignment wrapText="1"/>
    </xf>
    <xf numFmtId="0" fontId="33" fillId="0" borderId="51" xfId="0" applyFont="1" applyFill="1" applyBorder="1" applyAlignment="1" applyProtection="1">
      <alignment horizontal="center" vertical="center" wrapText="1"/>
    </xf>
    <xf numFmtId="0" fontId="43" fillId="0" borderId="52" xfId="0" applyFont="1" applyFill="1" applyBorder="1" applyAlignment="1">
      <alignment vertical="center" wrapText="1"/>
    </xf>
    <xf numFmtId="0" fontId="15" fillId="0" borderId="0" xfId="0" quotePrefix="1" applyFont="1" applyFill="1" applyBorder="1" applyAlignment="1">
      <alignment horizontal="center"/>
    </xf>
    <xf numFmtId="0" fontId="16" fillId="0" borderId="36" xfId="0" applyFont="1" applyFill="1" applyBorder="1" applyAlignment="1" applyProtection="1">
      <alignment horizontal="center" vertical="center"/>
    </xf>
    <xf numFmtId="0" fontId="16" fillId="0" borderId="35" xfId="0" applyFont="1" applyFill="1" applyBorder="1" applyAlignment="1" applyProtection="1">
      <alignment horizontal="center" vertical="center"/>
    </xf>
    <xf numFmtId="0" fontId="16" fillId="0" borderId="53" xfId="0" applyFont="1" applyFill="1" applyBorder="1" applyAlignment="1" applyProtection="1">
      <alignment horizontal="center" vertical="center"/>
    </xf>
    <xf numFmtId="0" fontId="16" fillId="0" borderId="5" xfId="0" applyFont="1" applyFill="1" applyBorder="1" applyAlignment="1" applyProtection="1">
      <alignment horizontal="center" vertical="center"/>
    </xf>
    <xf numFmtId="0" fontId="16" fillId="0" borderId="6" xfId="0" applyFont="1" applyFill="1" applyBorder="1" applyAlignment="1" applyProtection="1">
      <alignment horizontal="center" vertical="center"/>
    </xf>
    <xf numFmtId="0" fontId="16" fillId="0" borderId="21" xfId="0" applyFont="1" applyFill="1" applyBorder="1" applyAlignment="1" applyProtection="1">
      <alignment horizontal="center" vertical="center"/>
    </xf>
    <xf numFmtId="0" fontId="13" fillId="0" borderId="0" xfId="0" applyFont="1" applyFill="1" applyAlignment="1" applyProtection="1">
      <alignment horizontal="center" wrapText="1"/>
    </xf>
    <xf numFmtId="0" fontId="16" fillId="0" borderId="0" xfId="0" applyFont="1" applyFill="1" applyBorder="1" applyAlignment="1" applyProtection="1">
      <alignment horizontal="left" wrapText="1"/>
    </xf>
    <xf numFmtId="0" fontId="16" fillId="0" borderId="28" xfId="0" applyFont="1" applyFill="1" applyBorder="1" applyAlignment="1" applyProtection="1">
      <alignment horizontal="left" wrapText="1"/>
    </xf>
    <xf numFmtId="0" fontId="15" fillId="0" borderId="28" xfId="0" quotePrefix="1" applyFont="1" applyFill="1" applyBorder="1" applyAlignment="1">
      <alignment horizontal="center"/>
    </xf>
    <xf numFmtId="49" fontId="16" fillId="0" borderId="50" xfId="0" applyNumberFormat="1" applyFont="1" applyFill="1" applyBorder="1" applyAlignment="1" applyProtection="1">
      <alignment horizontal="center" vertical="center" wrapText="1"/>
    </xf>
    <xf numFmtId="0" fontId="0" fillId="0" borderId="43" xfId="0" applyFill="1" applyBorder="1" applyAlignment="1">
      <alignment wrapText="1"/>
    </xf>
    <xf numFmtId="0" fontId="0" fillId="0" borderId="34" xfId="0" applyFill="1" applyBorder="1" applyAlignment="1">
      <alignment wrapText="1"/>
    </xf>
    <xf numFmtId="0" fontId="0" fillId="0" borderId="4" xfId="0" applyFill="1" applyBorder="1" applyAlignment="1">
      <alignment wrapText="1"/>
    </xf>
    <xf numFmtId="0" fontId="0" fillId="0" borderId="42" xfId="0" applyFill="1" applyBorder="1" applyAlignment="1">
      <alignment wrapText="1"/>
    </xf>
    <xf numFmtId="0" fontId="0" fillId="0" borderId="25" xfId="0" applyFill="1" applyBorder="1" applyAlignment="1">
      <alignment wrapText="1"/>
    </xf>
    <xf numFmtId="49" fontId="16" fillId="0" borderId="54" xfId="0" applyNumberFormat="1" applyFont="1" applyFill="1" applyBorder="1" applyAlignment="1" applyProtection="1">
      <alignment horizontal="left" vertical="center" wrapText="1"/>
    </xf>
    <xf numFmtId="0" fontId="0" fillId="0" borderId="16" xfId="0" applyFill="1" applyBorder="1" applyAlignment="1">
      <alignment wrapText="1"/>
    </xf>
    <xf numFmtId="0" fontId="3" fillId="0" borderId="43" xfId="0" applyFont="1" applyFill="1" applyBorder="1" applyAlignment="1">
      <alignment wrapText="1"/>
    </xf>
    <xf numFmtId="0" fontId="3" fillId="0" borderId="34" xfId="0" applyFont="1" applyFill="1" applyBorder="1" applyAlignment="1">
      <alignment wrapText="1"/>
    </xf>
    <xf numFmtId="0" fontId="3" fillId="0" borderId="4" xfId="0" applyFont="1" applyFill="1" applyBorder="1" applyAlignment="1">
      <alignment wrapText="1"/>
    </xf>
    <xf numFmtId="0" fontId="3" fillId="0" borderId="25" xfId="0" applyFont="1" applyFill="1" applyBorder="1" applyAlignment="1">
      <alignment wrapText="1"/>
    </xf>
    <xf numFmtId="0" fontId="15" fillId="0" borderId="50" xfId="2" applyFont="1" applyFill="1" applyBorder="1" applyAlignment="1" applyProtection="1">
      <alignment horizontal="center" vertical="center"/>
    </xf>
    <xf numFmtId="0" fontId="3" fillId="0" borderId="4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8" xfId="0" applyFont="1" applyFill="1" applyBorder="1" applyAlignment="1">
      <alignment horizontal="center" vertical="center"/>
    </xf>
    <xf numFmtId="0" fontId="16" fillId="0" borderId="17" xfId="2" applyFont="1" applyFill="1" applyBorder="1" applyAlignment="1">
      <alignment horizontal="center" vertical="center"/>
    </xf>
    <xf numFmtId="0" fontId="16" fillId="0" borderId="16" xfId="2" applyFont="1" applyFill="1" applyBorder="1" applyAlignment="1">
      <alignment horizontal="center" vertical="center"/>
    </xf>
    <xf numFmtId="0" fontId="16" fillId="0" borderId="30" xfId="2" applyFont="1" applyFill="1" applyBorder="1" applyAlignment="1">
      <alignment horizontal="center" vertical="center"/>
    </xf>
    <xf numFmtId="0" fontId="9" fillId="0" borderId="9" xfId="2" applyFont="1" applyFill="1" applyBorder="1" applyAlignment="1" applyProtection="1">
      <alignment horizontal="center"/>
    </xf>
    <xf numFmtId="0" fontId="9" fillId="0" borderId="10" xfId="2" applyFont="1" applyFill="1" applyBorder="1" applyAlignment="1" applyProtection="1">
      <alignment horizontal="center"/>
    </xf>
    <xf numFmtId="0" fontId="9" fillId="0" borderId="32" xfId="2" applyFont="1" applyFill="1" applyBorder="1" applyAlignment="1" applyProtection="1">
      <alignment horizontal="center"/>
    </xf>
    <xf numFmtId="0" fontId="9" fillId="0" borderId="5" xfId="2" applyFont="1" applyFill="1" applyBorder="1" applyAlignment="1" applyProtection="1">
      <alignment horizontal="center"/>
    </xf>
    <xf numFmtId="0" fontId="9" fillId="0" borderId="6" xfId="2" applyFont="1" applyFill="1" applyBorder="1" applyAlignment="1" applyProtection="1">
      <alignment horizontal="center"/>
    </xf>
    <xf numFmtId="0" fontId="9" fillId="0" borderId="21" xfId="2" applyFont="1" applyFill="1" applyBorder="1" applyAlignment="1" applyProtection="1">
      <alignment horizontal="center"/>
    </xf>
    <xf numFmtId="0" fontId="13" fillId="0" borderId="0" xfId="2" applyFont="1" applyFill="1" applyBorder="1" applyAlignment="1" applyProtection="1">
      <alignment horizontal="left" vertical="center"/>
    </xf>
    <xf numFmtId="0" fontId="34" fillId="0" borderId="0" xfId="2" applyFont="1" applyFill="1" applyAlignment="1"/>
    <xf numFmtId="0" fontId="13" fillId="0" borderId="0" xfId="2" applyFont="1" applyFill="1" applyAlignment="1" applyProtection="1">
      <alignment horizontal="center"/>
    </xf>
    <xf numFmtId="0" fontId="44" fillId="0" borderId="43" xfId="0" applyFont="1" applyFill="1" applyBorder="1" applyAlignment="1">
      <alignment horizontal="center" vertical="center"/>
    </xf>
    <xf numFmtId="0" fontId="44" fillId="0" borderId="34" xfId="0" applyFont="1" applyFill="1" applyBorder="1" applyAlignment="1">
      <alignment horizontal="center" vertical="center"/>
    </xf>
    <xf numFmtId="0" fontId="44" fillId="0" borderId="4" xfId="0" applyFont="1" applyFill="1" applyBorder="1" applyAlignment="1">
      <alignment horizontal="center" vertical="center"/>
    </xf>
    <xf numFmtId="0" fontId="16" fillId="0" borderId="3" xfId="2" applyFont="1" applyFill="1" applyBorder="1" applyAlignment="1" applyProtection="1">
      <alignment horizontal="center" vertical="center"/>
    </xf>
    <xf numFmtId="0" fontId="16" fillId="0" borderId="7" xfId="2" applyFont="1" applyFill="1" applyBorder="1" applyAlignment="1" applyProtection="1">
      <alignment horizontal="center" vertical="center"/>
    </xf>
    <xf numFmtId="0" fontId="13" fillId="0" borderId="0" xfId="2" applyFont="1" applyFill="1" applyBorder="1" applyAlignment="1" applyProtection="1">
      <alignment horizontal="center"/>
    </xf>
    <xf numFmtId="0" fontId="3" fillId="0" borderId="0" xfId="2" applyAlignment="1">
      <alignment horizontal="center"/>
    </xf>
    <xf numFmtId="0" fontId="3" fillId="0" borderId="0" xfId="2" applyAlignment="1"/>
    <xf numFmtId="0" fontId="3" fillId="0" borderId="43" xfId="2" applyBorder="1" applyAlignment="1">
      <alignment horizontal="center" vertical="center"/>
    </xf>
    <xf numFmtId="0" fontId="3" fillId="0" borderId="34" xfId="2" applyBorder="1" applyAlignment="1">
      <alignment horizontal="center" vertical="center"/>
    </xf>
    <xf numFmtId="0" fontId="3" fillId="0" borderId="4" xfId="2" applyBorder="1" applyAlignment="1">
      <alignment horizontal="center" vertical="center"/>
    </xf>
    <xf numFmtId="0" fontId="3" fillId="0" borderId="44" xfId="2" applyBorder="1" applyAlignment="1">
      <alignment horizontal="center" vertical="center"/>
    </xf>
    <xf numFmtId="0" fontId="3" fillId="0" borderId="8" xfId="2" applyBorder="1" applyAlignment="1">
      <alignment horizontal="center" vertical="center"/>
    </xf>
    <xf numFmtId="0" fontId="9" fillId="0" borderId="9" xfId="2" applyFont="1" applyFill="1" applyBorder="1" applyAlignment="1" applyProtection="1">
      <alignment horizontal="center" wrapText="1"/>
    </xf>
    <xf numFmtId="0" fontId="9" fillId="0" borderId="10" xfId="2" applyFont="1" applyFill="1" applyBorder="1" applyAlignment="1" applyProtection="1">
      <alignment horizontal="center" wrapText="1"/>
    </xf>
    <xf numFmtId="0" fontId="9" fillId="0" borderId="32" xfId="2" applyFont="1" applyFill="1" applyBorder="1" applyAlignment="1" applyProtection="1">
      <alignment horizontal="center" wrapText="1"/>
    </xf>
    <xf numFmtId="0" fontId="9" fillId="0" borderId="5" xfId="2" applyFont="1" applyFill="1" applyBorder="1" applyAlignment="1" applyProtection="1">
      <alignment horizontal="center" wrapText="1"/>
    </xf>
    <xf numFmtId="0" fontId="9" fillId="0" borderId="6" xfId="2" applyFont="1" applyFill="1" applyBorder="1" applyAlignment="1" applyProtection="1">
      <alignment horizontal="center" wrapText="1"/>
    </xf>
    <xf numFmtId="0" fontId="9" fillId="0" borderId="21" xfId="2" applyFont="1" applyFill="1" applyBorder="1" applyAlignment="1" applyProtection="1">
      <alignment horizontal="center" wrapText="1"/>
    </xf>
    <xf numFmtId="169" fontId="66" fillId="0" borderId="0" xfId="0" applyNumberFormat="1" applyFont="1" applyFill="1" applyBorder="1" applyAlignment="1" applyProtection="1">
      <alignment horizontal="right"/>
    </xf>
    <xf numFmtId="169" fontId="66" fillId="0" borderId="11" xfId="0" applyNumberFormat="1" applyFont="1" applyFill="1" applyBorder="1" applyAlignment="1" applyProtection="1">
      <alignment horizontal="right"/>
    </xf>
    <xf numFmtId="169" fontId="66" fillId="0" borderId="4" xfId="0" applyNumberFormat="1" applyFont="1" applyFill="1" applyBorder="1" applyAlignment="1" applyProtection="1">
      <alignment horizontal="right"/>
    </xf>
    <xf numFmtId="169" fontId="66" fillId="0" borderId="74" xfId="0" applyNumberFormat="1" applyFont="1" applyFill="1" applyBorder="1" applyAlignment="1" applyProtection="1">
      <alignment horizontal="right"/>
    </xf>
  </cellXfs>
  <cellStyles count="9">
    <cellStyle name="Komma" xfId="1" builtinId="3"/>
    <cellStyle name="Link" xfId="7" builtinId="8"/>
    <cellStyle name="Standard" xfId="0" builtinId="0"/>
    <cellStyle name="Standard 15" xfId="8" xr:uid="{00000000-0005-0000-0000-000003000000}"/>
    <cellStyle name="Standard 2" xfId="2" xr:uid="{00000000-0005-0000-0000-000004000000}"/>
    <cellStyle name="Standard 2 2" xfId="5" xr:uid="{00000000-0005-0000-0000-000005000000}"/>
    <cellStyle name="Standard 3" xfId="4" xr:uid="{00000000-0005-0000-0000-000006000000}"/>
    <cellStyle name="Standard 5" xfId="6" xr:uid="{00000000-0005-0000-0000-000007000000}"/>
    <cellStyle name="Währung" xfId="3" builtinId="4"/>
  </cellStyles>
  <dxfs count="440">
    <dxf>
      <font>
        <b val="0"/>
        <i val="0"/>
        <strike val="0"/>
        <condense val="0"/>
        <extend val="0"/>
        <outline val="0"/>
        <shadow val="0"/>
        <u val="none"/>
        <vertAlign val="baseline"/>
        <sz val="8"/>
        <color auto="1"/>
        <name val="BundesSans Office"/>
        <scheme val="none"/>
      </font>
      <numFmt numFmtId="170" formatCode="#,##0\ \ ;\-#,##0\ \ ;&quot;-&quot;\ \ 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protection locked="1" hidden="0"/>
    </dxf>
    <dxf>
      <font>
        <b val="0"/>
        <i val="0"/>
        <strike val="0"/>
        <condense val="0"/>
        <extend val="0"/>
        <outline val="0"/>
        <shadow val="0"/>
        <u val="none"/>
        <vertAlign val="baseline"/>
        <sz val="8"/>
        <color auto="1"/>
        <name val="BundesSans Office"/>
        <scheme val="none"/>
      </font>
      <numFmt numFmtId="170" formatCode="#,##0\ \ ;\-#,##0\ \ ;&quot;-&quot;\ \ _)"/>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bottom/>
        <vertical/>
        <horizontal/>
      </border>
      <protection locked="1" hidden="0"/>
    </dxf>
    <dxf>
      <font>
        <b val="0"/>
        <i val="0"/>
        <strike val="0"/>
        <condense val="0"/>
        <extend val="0"/>
        <outline val="0"/>
        <shadow val="0"/>
        <u val="none"/>
        <vertAlign val="baseline"/>
        <sz val="8"/>
        <color auto="1"/>
        <name val="BundesSans Office"/>
        <scheme val="none"/>
      </font>
      <numFmt numFmtId="170" formatCode="#,##0\ \ ;\-#,##0\ \ ;&quot;-&quot;\ \ 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bottom/>
        <vertical/>
        <horizontal/>
      </border>
      <protection locked="1" hidden="0"/>
    </dxf>
    <dxf>
      <font>
        <b/>
        <i val="0"/>
        <strike val="0"/>
        <condense val="0"/>
        <extend val="0"/>
        <outline val="0"/>
        <shadow val="0"/>
        <u val="none"/>
        <vertAlign val="baseline"/>
        <sz val="8"/>
        <color auto="1"/>
        <name val="BundesSans Office"/>
        <scheme val="none"/>
      </font>
      <numFmt numFmtId="170" formatCode="#,##0\ \ ;\-#,##0\ \ ;&quot;-&quot;\ \ 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bottom/>
        <vertical/>
        <horizontal/>
      </border>
      <protection locked="1" hidden="0"/>
    </dxf>
    <dxf>
      <font>
        <b val="0"/>
        <i val="0"/>
        <strike val="0"/>
        <condense val="0"/>
        <extend val="0"/>
        <outline val="0"/>
        <shadow val="0"/>
        <u val="none"/>
        <vertAlign val="baseline"/>
        <sz val="8"/>
        <color auto="1"/>
        <name val="BundesSans Office"/>
        <scheme val="none"/>
      </font>
      <numFmt numFmtId="170" formatCode="#,##0\ \ ;\-#,##0\ \ ;&quot;-&quot;\ \ 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8"/>
        <color auto="1"/>
        <name val="BundesSans Office"/>
        <scheme val="none"/>
      </font>
      <numFmt numFmtId="170" formatCode="#,##0\ \ ;\-#,##0\ \ ;&quot;-&quot;\ \ _)"/>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BundesSans Office"/>
        <scheme val="none"/>
      </font>
      <numFmt numFmtId="170" formatCode="#,##0\ \ ;\-#,##0\ \ ;&quot;-&quot;\ \ 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bottom/>
        <vertical/>
        <horizontal/>
      </border>
      <protection locked="1" hidden="0"/>
    </dxf>
    <dxf>
      <font>
        <b/>
        <i val="0"/>
        <strike val="0"/>
        <condense val="0"/>
        <extend val="0"/>
        <outline val="0"/>
        <shadow val="0"/>
        <u val="none"/>
        <vertAlign val="baseline"/>
        <sz val="8"/>
        <color auto="1"/>
        <name val="BundesSans Office"/>
        <scheme val="none"/>
      </font>
      <numFmt numFmtId="170" formatCode="#,##0\ \ ;\-#,##0\ \ ;&quot;-&quot;\ \ 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8"/>
        <color auto="1"/>
        <name val="BundesSans Office"/>
        <scheme val="none"/>
      </font>
      <fill>
        <patternFill patternType="none">
          <fgColor indexed="64"/>
          <bgColor auto="1"/>
        </patternFill>
      </fill>
      <alignment horizontal="left" vertical="center" textRotation="0" wrapText="0" indent="0" justifyLastLine="0" shrinkToFit="0" readingOrder="0"/>
      <border diagonalUp="0" diagonalDown="0" outline="0">
        <left/>
        <right style="thin">
          <color indexed="64"/>
        </right>
        <top/>
        <bottom style="thin">
          <color indexed="64"/>
        </bottom>
      </border>
      <protection locked="1" hidden="0"/>
    </dxf>
    <dxf>
      <font>
        <b/>
        <i val="0"/>
        <strike val="0"/>
        <condense val="0"/>
        <extend val="0"/>
        <outline val="0"/>
        <shadow val="0"/>
        <u val="none"/>
        <vertAlign val="baseline"/>
        <sz val="8"/>
        <color theme="0"/>
        <name val="BundesSans Office"/>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protection locked="1" hidden="0"/>
    </dxf>
    <dxf>
      <border outline="0">
        <left style="thin">
          <color indexed="64"/>
        </left>
        <top style="thin">
          <color indexed="64"/>
        </top>
        <bottom style="medium">
          <color indexed="64"/>
        </bottom>
      </border>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border diagonalUp="0" diagonalDown="0">
        <left style="thin">
          <color indexed="64"/>
        </left>
        <right style="thin">
          <color auto="1"/>
        </right>
        <top style="thin">
          <color auto="1"/>
        </top>
        <bottom style="thin">
          <color auto="1"/>
        </bottom>
        <vertical/>
        <horizontal style="thin">
          <color auto="1"/>
        </horizontal>
      </border>
    </dxf>
    <dxf>
      <border outline="0">
        <bottom style="medium">
          <color indexed="64"/>
        </bottom>
      </border>
    </dxf>
    <dxf>
      <font>
        <b/>
        <i val="0"/>
        <strike val="0"/>
        <condense val="0"/>
        <extend val="0"/>
        <outline val="0"/>
        <shadow val="0"/>
        <u val="none"/>
        <vertAlign val="baseline"/>
        <sz val="9"/>
        <color auto="1"/>
        <name val="BundesSans Office"/>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6" formatCode="#,##0\ \ ;\-#,##0;&quot;-&quot;\ _)"/>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8"/>
        <color auto="1"/>
        <name val="BundesSans Office"/>
        <scheme val="none"/>
      </font>
      <numFmt numFmtId="176" formatCode="#,##0\ \ ;\-#,##0;&quot;-&quot;\ _)"/>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6" formatCode="#,##0\ \ ;\-#,##0;&quot;-&quot;\ _)"/>
      <fill>
        <patternFill patternType="none">
          <fgColor indexed="64"/>
          <bgColor indexed="65"/>
        </patternFill>
      </fill>
      <alignment horizontal="general" vertical="bottom" textRotation="0" wrapText="0" indent="0" justifyLastLine="0" shrinkToFit="0" readingOrder="0"/>
    </dxf>
    <dxf>
      <font>
        <b val="0"/>
        <i val="0"/>
        <strike val="0"/>
        <condense val="0"/>
        <extend val="0"/>
        <outline val="0"/>
        <shadow val="0"/>
        <u val="none"/>
        <vertAlign val="baseline"/>
        <sz val="8"/>
        <color auto="1"/>
        <name val="BundesSans Office"/>
        <scheme val="none"/>
      </font>
      <numFmt numFmtId="176" formatCode="#,##0\ \ ;\-#,##0;&quot;-&quot;\ _)"/>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8"/>
        <color auto="1"/>
        <name val="BundesSans Office"/>
        <scheme val="none"/>
      </font>
      <numFmt numFmtId="176" formatCode="#,##0\ \ ;\-#,##0;&quot;-&quot;\ _)"/>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6" formatCode="#,##0\ \ ;\-#,##0;&quot;-&quot;\ _)"/>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numFmt numFmtId="176" formatCode="#,##0\ \ ;\-#,##0;&quot;-&quot;\ _)"/>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auto="1"/>
        <name val="BundesSans Office"/>
        <family val="2"/>
        <scheme val="none"/>
      </font>
      <numFmt numFmtId="173" formatCode="#\ ##0\ \ ;\-#\ ##0\ \ ;&quot;-&quot;\ \ _)"/>
      <fill>
        <patternFill patternType="solid">
          <fgColor indexed="64"/>
          <bgColor rgb="FF92D050"/>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family val="2"/>
        <scheme val="none"/>
      </font>
      <numFmt numFmtId="173" formatCode="#\ ##0\ \ ;\-#\ ##0\ \ ;&quot;-&quot;\ \ _)"/>
      <fill>
        <patternFill patternType="solid">
          <fgColor indexed="64"/>
          <bgColor rgb="FF92D050"/>
        </patternFill>
      </fill>
    </dxf>
    <dxf>
      <font>
        <b val="0"/>
        <i val="0"/>
        <strike val="0"/>
        <condense val="0"/>
        <extend val="0"/>
        <outline val="0"/>
        <shadow val="0"/>
        <u val="none"/>
        <vertAlign val="baseline"/>
        <sz val="8"/>
        <color auto="1"/>
        <name val="BundesSans Office"/>
        <family val="2"/>
        <scheme val="none"/>
      </font>
      <numFmt numFmtId="173" formatCode="#\ ##0\ \ ;\-#\ ##0\ \ ;&quot;-&quot;\ \ _)"/>
      <fill>
        <patternFill patternType="solid">
          <fgColor indexed="64"/>
          <bgColor rgb="FF92D050"/>
        </patternFill>
      </fill>
    </dxf>
    <dxf>
      <font>
        <b/>
        <i val="0"/>
        <strike val="0"/>
        <condense val="0"/>
        <extend val="0"/>
        <outline val="0"/>
        <shadow val="0"/>
        <u val="none"/>
        <vertAlign val="baseline"/>
        <sz val="8"/>
        <color auto="1"/>
        <name val="BundesSans Office"/>
        <family val="2"/>
        <scheme val="none"/>
      </font>
      <numFmt numFmtId="173" formatCode="#\ ##0\ \ ;\-#\ ##0\ \ ;&quot;-&quot;\ \ _)"/>
      <fill>
        <patternFill patternType="solid">
          <fgColor indexed="64"/>
          <bgColor rgb="FF92D050"/>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family val="2"/>
        <scheme val="none"/>
      </font>
      <numFmt numFmtId="173" formatCode="#\ ##0\ \ ;\-#\ ##0\ \ ;&quot;-&quot;\ \ _)"/>
      <fill>
        <patternFill patternType="solid">
          <fgColor indexed="64"/>
          <bgColor rgb="FF92D050"/>
        </patternFill>
      </fill>
      <border diagonalUp="0" diagonalDown="0">
        <left style="thin">
          <color indexed="64"/>
        </left>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solid">
          <fgColor indexed="64"/>
          <bgColor rgb="FF92D050"/>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solid">
          <fgColor indexed="64"/>
          <bgColor rgb="FF92D050"/>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solid">
          <fgColor indexed="64"/>
          <bgColor rgb="FF92D050"/>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solid">
          <fgColor indexed="64"/>
          <bgColor rgb="FF92D050"/>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solid">
          <fgColor indexed="64"/>
          <bgColor rgb="FF92D050"/>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solid">
          <fgColor indexed="64"/>
          <bgColor rgb="FF92D050"/>
        </patternFill>
      </fill>
    </dxf>
    <dxf>
      <font>
        <b/>
        <i val="0"/>
        <strike val="0"/>
        <condense val="0"/>
        <extend val="0"/>
        <outline val="0"/>
        <shadow val="0"/>
        <u val="none"/>
        <vertAlign val="baseline"/>
        <sz val="8"/>
        <color auto="1"/>
        <name val="BundesSans Office"/>
        <scheme val="none"/>
      </font>
      <numFmt numFmtId="173" formatCode="#\ ##0\ \ ;\-#\ ##0\ \ ;&quot;-&quot;\ \ _)"/>
      <fill>
        <patternFill patternType="solid">
          <fgColor indexed="64"/>
          <bgColor rgb="FF92D050"/>
        </patternFill>
      </fill>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indexed="64"/>
        </right>
        <top/>
        <bottom/>
        <vertical/>
        <horizontal/>
      </border>
      <protection locked="1" hidden="0"/>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top" textRotation="0" wrapText="0" indent="0" justifyLastLine="0" shrinkToFit="0" readingOrder="0"/>
      <border diagonalUp="0" diagonalDown="0">
        <left/>
        <right style="thin">
          <color indexed="64"/>
        </right>
        <top/>
        <bottom/>
        <vertical/>
        <horizontal/>
      </border>
    </dxf>
    <dxf>
      <font>
        <b/>
        <i val="0"/>
        <strike val="0"/>
        <condense val="0"/>
        <extend val="0"/>
        <outline val="0"/>
        <shadow val="0"/>
        <u val="none"/>
        <vertAlign val="baseline"/>
        <sz val="8"/>
        <color theme="0"/>
        <name val="BundesSans Office"/>
        <scheme val="none"/>
      </font>
      <fill>
        <patternFill patternType="none">
          <fgColor indexed="64"/>
          <bgColor indexed="65"/>
        </patternFill>
      </fill>
      <alignment horizontal="left" vertical="center" textRotation="0" wrapText="1" indent="0" justifyLastLine="0" shrinkToFit="0" readingOrder="0"/>
      <border diagonalUp="0" diagonalDown="0">
        <left style="medium">
          <color indexed="64"/>
        </left>
        <right style="thin">
          <color indexed="64"/>
        </right>
        <top/>
        <bottom/>
        <vertical/>
        <horizontal/>
      </border>
    </dxf>
    <dxf>
      <border outline="0">
        <right style="medium">
          <color indexed="64"/>
        </right>
        <top style="thin">
          <color indexed="64"/>
        </top>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general" vertical="center" textRotation="0" wrapText="0" indent="0" justifyLastLine="0" shrinkToFit="0" readingOrder="0"/>
    </dxf>
    <dxf>
      <border>
        <bottom style="thin">
          <color indexed="64"/>
        </bottom>
      </border>
    </dxf>
    <dxf>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 formatCode="0"/>
      <fill>
        <patternFill patternType="none">
          <fgColor indexed="64"/>
          <bgColor indexed="65"/>
        </patternFill>
      </fill>
      <alignment horizontal="center"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bottom/>
        <vertical/>
        <horizontal/>
      </border>
    </dxf>
    <dxf>
      <font>
        <b/>
        <i val="0"/>
        <strike val="0"/>
        <condense val="0"/>
        <extend val="0"/>
        <outline val="0"/>
        <shadow val="0"/>
        <u val="none"/>
        <vertAlign val="baseline"/>
        <sz val="8"/>
        <color theme="0"/>
        <name val="BundesSans Office"/>
        <scheme val="none"/>
      </font>
      <fill>
        <patternFill patternType="none">
          <fgColor indexed="64"/>
          <bgColor indexed="65"/>
        </patternFill>
      </fill>
      <alignment horizontal="left" vertical="center" textRotation="0" wrapText="0" indent="0" justifyLastLine="0" shrinkToFit="0" readingOrder="0"/>
      <border diagonalUp="0" diagonalDown="0">
        <left/>
        <right style="thin">
          <color indexed="64"/>
        </right>
        <top/>
        <bottom/>
        <vertical/>
        <horizontal/>
      </border>
    </dxf>
    <dxf>
      <border outline="0">
        <left style="medium">
          <color indexed="64"/>
        </left>
        <right style="medium">
          <color indexed="64"/>
        </right>
        <top style="thin">
          <color indexed="64"/>
        </top>
      </border>
    </dxf>
    <dxf>
      <border outline="0">
        <bottom style="thin">
          <color indexed="64"/>
        </bottom>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rgb="FF000000"/>
        </left>
        <top style="thin">
          <color rgb="FF000000"/>
        </top>
      </border>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rgb="FF000000"/>
        </left>
        <top style="thin">
          <color rgb="FF000000"/>
        </top>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rgb="FF000000"/>
        </left>
        <top style="thin">
          <color rgb="FF000000"/>
        </top>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rgb="FF000000"/>
        </left>
        <top style="thin">
          <color rgb="FF000000"/>
        </top>
      </border>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rgb="FF000000"/>
        </left>
        <top style="thin">
          <color rgb="FF000000"/>
        </top>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rgb="FF000000"/>
        </left>
        <top style="thin">
          <color rgb="FF000000"/>
        </top>
      </border>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rgb="FF000000"/>
        </left>
        <top style="thin">
          <color rgb="FF000000"/>
        </top>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rgb="FF000000"/>
        </left>
        <top style="thin">
          <color rgb="FF000000"/>
        </top>
      </border>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right" vertical="bottom" textRotation="0" wrapText="0" indent="0" justifyLastLine="0" shrinkToFit="0" readingOrder="0"/>
      <protection locked="1" hidden="0"/>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rgb="FF000000"/>
        </left>
        <top style="thin">
          <color rgb="FF000000"/>
        </top>
        <bottom style="thin">
          <color rgb="FF000000"/>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protection locked="1" hidden="0"/>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border diagonalUp="0" diagonalDown="0">
        <left/>
        <right style="thin">
          <color indexed="64"/>
        </right>
        <top style="thin">
          <color auto="1"/>
        </top>
        <bottom style="thin">
          <color auto="1"/>
        </bottom>
        <vertical/>
        <horizontal style="thin">
          <color auto="1"/>
        </horizontal>
      </border>
      <protection locked="1" hidden="0"/>
    </dxf>
    <dxf>
      <border diagonalUp="0" diagonalDown="0">
        <left style="thin">
          <color rgb="FF000000"/>
        </left>
        <right style="thin">
          <color indexed="64"/>
        </right>
        <top style="thin">
          <color rgb="FF000000"/>
        </top>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rgb="FF000000"/>
        </left>
        <right style="thin">
          <color rgb="FF000000"/>
        </right>
        <top style="thin">
          <color rgb="FF000000"/>
        </top>
        <bottom style="thin">
          <color rgb="FF000000"/>
        </bottom>
      </border>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9" formatCode="#,##0\ ;\-#,##0;&quot;-&quot;_)"/>
      <fill>
        <patternFill patternType="none">
          <fgColor indexed="64"/>
          <bgColor indexed="6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9" formatCode="#,##0\ ;\-#,##0;&quot;-&quot;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9" formatCode="#,##0\ ;\-#,##0;&quot;-&quot;_)"/>
      <fill>
        <patternFill patternType="none">
          <fgColor indexed="64"/>
          <bgColor indexed="6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9" formatCode="#,##0\ ;\-#,##0;&quot;-&quot;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8"/>
        <color theme="0"/>
        <name val="BundesSans Office"/>
        <scheme val="none"/>
      </font>
      <fill>
        <patternFill patternType="none">
          <fgColor indexed="64"/>
          <bgColor indexed="65"/>
        </patternFill>
      </fill>
      <alignment horizontal="left" vertical="center" textRotation="0" wrapText="0" indent="0" justifyLastLine="0" shrinkToFit="0" readingOrder="0"/>
      <protection locked="1" hidden="0"/>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9" formatCode="#,##0\ ;\-#,##0;&quot;-&quot;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9" formatCode="#,##0\ ;\-#,##0;&quot;-&quot;_)"/>
      <fill>
        <patternFill patternType="none">
          <fgColor indexed="64"/>
          <bgColor indexed="6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9" formatCode="#,##0\ ;\-#,##0;&quot;-&quot;_)"/>
      <fill>
        <patternFill patternType="none">
          <fgColor indexed="64"/>
          <bgColor indexed="6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9" formatCode="#,##0\ ;\-#,##0;&quot;-&quot;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8"/>
        <color auto="1"/>
        <name val="BundesSans Office"/>
        <scheme val="none"/>
      </font>
      <numFmt numFmtId="179" formatCode="#,##0\ ;\-#,##0;&quot;-&quot;_)"/>
      <fill>
        <patternFill patternType="none">
          <fgColor indexed="64"/>
          <bgColor indexed="65"/>
        </patternFill>
      </fill>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9" formatCode="#,##0\ ;\-#,##0;&quot;-&quot;_)"/>
      <fill>
        <patternFill patternType="none">
          <fgColor indexed="64"/>
          <bgColor indexed="65"/>
        </patternFill>
      </fill>
      <alignment horizontal="righ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8"/>
        <color theme="0"/>
        <name val="BundesSans Office"/>
        <scheme val="none"/>
      </font>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vertical/>
      </border>
      <protection locked="1" hidden="0"/>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rgb="FF000000"/>
        </left>
        <right style="thin">
          <color rgb="FF000000"/>
        </right>
        <top style="thin">
          <color rgb="FF000000"/>
        </top>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protection locked="1" hidden="0"/>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rgb="FF000000"/>
        </left>
        <right style="thin">
          <color rgb="FF000000"/>
        </right>
        <top style="thin">
          <color rgb="FF000000"/>
        </top>
        <bottom style="thin">
          <color rgb="FF000000"/>
        </bottom>
      </border>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9"/>
        <color auto="1"/>
        <name val="BundesSans Office"/>
        <scheme val="none"/>
      </font>
      <numFmt numFmtId="193" formatCode="#\ ###\ ##0;\-#\ ###\ ##0;&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BundesSans Office"/>
        <scheme val="none"/>
      </font>
      <numFmt numFmtId="193" formatCode="#\ ###\ ##0;\-#\ ###\ ##0;&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BundesSans Office"/>
        <scheme val="none"/>
      </font>
      <numFmt numFmtId="193" formatCode="#\ ###\ ##0;\-#\ ###\ ##0;&quot;–&quo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9"/>
        <color auto="1"/>
        <name val="BundesSans Office"/>
        <scheme val="none"/>
      </font>
      <numFmt numFmtId="193" formatCode="#\ ###\ ##0;\-#\ ###\ ##0;&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BundesSans Office"/>
        <scheme val="none"/>
      </font>
      <numFmt numFmtId="193" formatCode="#\ ###\ ##0;\-#\ ###\ ##0;&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BundesSans Office"/>
        <scheme val="none"/>
      </font>
      <numFmt numFmtId="193" formatCode="#\ ###\ ##0;\-#\ ###\ ##0;&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BundesSans Office"/>
        <scheme val="none"/>
      </font>
      <numFmt numFmtId="169" formatCode="#,##0\ \ \ ;\-#,##0\ \ \ ;&quot;-&quot;\ \ \ \ "/>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9"/>
        <color auto="1"/>
        <name val="BundesSans Office"/>
        <scheme val="none"/>
      </font>
      <numFmt numFmtId="169" formatCode="#,##0\ \ \ ;\-#,##0\ \ \ ;&quot;-&quot;\ \ \ \ "/>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8"/>
        <color theme="0"/>
        <name val="BundesSans Office"/>
        <scheme val="none"/>
      </font>
      <fill>
        <patternFill patternType="none">
          <fgColor indexed="64"/>
          <bgColor indexed="65"/>
        </patternFill>
      </fill>
      <alignment horizontal="left" vertical="center" textRotation="0" wrapText="0" indent="0" justifyLastLine="0" shrinkToFit="0" readingOrder="0"/>
      <border diagonalUp="0" diagonalDown="0">
        <left style="thin">
          <color rgb="FF000000"/>
        </left>
        <right/>
        <top/>
        <bottom/>
        <vertical/>
        <horizontal/>
      </border>
      <protection locked="1" hidden="0"/>
    </dxf>
    <dxf>
      <border outline="0">
        <right style="thin">
          <color indexed="64"/>
        </right>
        <top style="thin">
          <color indexed="64"/>
        </top>
      </border>
    </dxf>
    <dxf>
      <font>
        <b val="0"/>
        <i val="0"/>
        <strike val="0"/>
        <condense val="0"/>
        <extend val="0"/>
        <outline val="0"/>
        <shadow val="0"/>
        <u val="none"/>
        <vertAlign val="baseline"/>
        <sz val="9"/>
        <color auto="1"/>
        <name val="BundesSans Office"/>
        <scheme val="none"/>
      </font>
      <fill>
        <patternFill patternType="none">
          <fgColor indexed="64"/>
          <bgColor indexed="65"/>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69" formatCode="#,##0\ \ \ ;\-#,##0\ \ \ ;&quot;-&quot;\ \ \ \ "/>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vertical/>
        <horizontal/>
      </border>
      <protection locked="1" hidden="0"/>
    </dxf>
    <dxf>
      <font>
        <b val="0"/>
        <i val="0"/>
        <strike val="0"/>
        <condense val="0"/>
        <extend val="0"/>
        <outline val="0"/>
        <shadow val="0"/>
        <u val="none"/>
        <vertAlign val="baseline"/>
        <sz val="8"/>
        <color auto="1"/>
        <name val="BundesSans Office"/>
        <scheme val="none"/>
      </font>
      <numFmt numFmtId="169" formatCode="#,##0\ \ \ ;\-#,##0\ \ \ ;&quot;-&quot;\ \ \ \ "/>
      <fill>
        <patternFill patternType="none">
          <fgColor indexed="64"/>
          <bgColor indexed="65"/>
        </patternFill>
      </fill>
      <alignment horizontal="general" vertical="bottom" textRotation="0" wrapText="0" indent="0" justifyLastLine="0" shrinkToFit="0" readingOrder="0"/>
      <border diagonalUp="0" diagonalDown="0">
        <left/>
        <right style="thin">
          <color indexed="64"/>
        </right>
        <top/>
        <bottom/>
        <vertical/>
        <horizontal/>
      </border>
      <protection locked="1" hidden="0"/>
    </dxf>
    <dxf>
      <font>
        <b val="0"/>
        <i val="0"/>
        <strike val="0"/>
        <condense val="0"/>
        <extend val="0"/>
        <outline val="0"/>
        <shadow val="0"/>
        <u val="none"/>
        <vertAlign val="baseline"/>
        <sz val="8"/>
        <color auto="1"/>
        <name val="BundesSans Office"/>
        <scheme val="none"/>
      </font>
      <numFmt numFmtId="193" formatCode="#\ ###\ ##0;\-#\ ###\ ##0;&quot;–&quot;"/>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93" formatCode="#\ ###\ ##0;\-#\ ###\ ##0;&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BundesSans Office"/>
        <scheme val="none"/>
      </font>
      <numFmt numFmtId="193" formatCode="#\ ###\ ##0;\-#\ ###\ ##0;&quot;–&quo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8"/>
        <color auto="1"/>
        <name val="BundesSans Office"/>
        <scheme val="none"/>
      </font>
      <numFmt numFmtId="193" formatCode="#\ ###\ ##0;\-#\ ###\ ##0;&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BundesSans Office"/>
        <scheme val="none"/>
      </font>
      <numFmt numFmtId="193" formatCode="#\ ###\ ##0;\-#\ ###\ ##0;&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BundesSans Office"/>
        <scheme val="none"/>
      </font>
      <numFmt numFmtId="193" formatCode="#\ ###\ ##0;\-#\ ###\ ##0;&quot;–&quot;"/>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BundesSans Office"/>
        <scheme val="none"/>
      </font>
      <numFmt numFmtId="169" formatCode="#,##0\ \ \ ;\-#,##0\ \ \ ;&quot;-&quot;\ \ \ \ "/>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bottom/>
        <vertical/>
        <horizontal/>
      </border>
      <protection locked="1" hidden="0"/>
    </dxf>
    <dxf>
      <font>
        <b val="0"/>
        <i val="0"/>
        <strike val="0"/>
        <condense val="0"/>
        <extend val="0"/>
        <outline val="0"/>
        <shadow val="0"/>
        <u val="none"/>
        <vertAlign val="baseline"/>
        <sz val="8"/>
        <color auto="1"/>
        <name val="BundesSans Office"/>
        <scheme val="none"/>
      </font>
      <numFmt numFmtId="169" formatCode="#,##0\ \ \ ;\-#,##0\ \ \ ;&quot;-&quot;\ \ \ \ "/>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8"/>
        <color theme="0"/>
        <name val="BundesSans Office"/>
        <scheme val="none"/>
      </font>
      <fill>
        <patternFill patternType="none">
          <fgColor indexed="64"/>
          <bgColor indexed="65"/>
        </patternFill>
      </fill>
      <alignment horizontal="left" vertical="center" textRotation="0" wrapText="0" indent="0" justifyLastLine="0" shrinkToFit="0" readingOrder="0"/>
      <protection locked="1" hidden="0"/>
    </dxf>
    <dxf>
      <border outline="0">
        <left style="thin">
          <color rgb="FF000000"/>
        </left>
        <top style="thin">
          <color rgb="FF000000"/>
        </top>
        <bottom style="thin">
          <color indexed="64"/>
        </bottom>
      </border>
    </dxf>
    <dxf>
      <border>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rgb="FF000000"/>
        </left>
        <right style="thin">
          <color rgb="FF000000"/>
        </right>
        <top style="thin">
          <color rgb="FF000000"/>
        </top>
        <bottom style="thin">
          <color rgb="FF000000"/>
        </bottom>
      </border>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bottom/>
        <vertical/>
        <horizontal/>
      </border>
      <protection locked="1" hidden="0"/>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20"/>
        <color rgb="FF000000"/>
        <name val="Arial"/>
        <scheme val="none"/>
      </font>
      <numFmt numFmtId="196" formatCode="#######0"/>
      <fill>
        <patternFill patternType="none">
          <fgColor indexed="64"/>
          <bgColor indexed="65"/>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20"/>
        <color rgb="FF000000"/>
        <name val="Arial"/>
        <scheme val="none"/>
      </font>
      <numFmt numFmtId="196"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20"/>
        <color rgb="FF000000"/>
        <name val="Arial"/>
        <scheme val="none"/>
      </font>
      <numFmt numFmtId="196"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20"/>
        <color rgb="FF000000"/>
        <name val="Arial"/>
        <scheme val="none"/>
      </font>
      <numFmt numFmtId="196"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20"/>
        <color rgb="FF000000"/>
        <name val="Arial"/>
        <scheme val="none"/>
      </font>
      <numFmt numFmtId="196"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i val="0"/>
        <strike val="0"/>
        <condense val="0"/>
        <extend val="0"/>
        <outline val="0"/>
        <shadow val="0"/>
        <u val="none"/>
        <vertAlign val="baseline"/>
        <sz val="20"/>
        <color rgb="FF000000"/>
        <name val="Arial"/>
        <scheme val="none"/>
      </font>
      <numFmt numFmtId="196"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i val="0"/>
        <strike val="0"/>
        <condense val="0"/>
        <extend val="0"/>
        <outline val="0"/>
        <shadow val="0"/>
        <u val="none"/>
        <vertAlign val="baseline"/>
        <sz val="20"/>
        <color rgb="FF000000"/>
        <name val="Arial"/>
        <scheme val="none"/>
      </font>
      <numFmt numFmtId="196"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border diagonalUp="0" diagonalDown="0">
        <left style="thin">
          <color indexed="64"/>
        </left>
        <right/>
        <top/>
        <bottom/>
        <vertical/>
        <horizontal/>
      </border>
      <protection locked="1" hidden="0"/>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color auto="1"/>
        <name val="BundesSans Office"/>
        <scheme val="none"/>
      </font>
    </dxf>
    <dxf>
      <font>
        <strike val="0"/>
        <outline val="0"/>
        <shadow val="0"/>
        <u val="none"/>
        <vertAlign val="baseline"/>
        <color auto="1"/>
        <name val="BundesSans Office"/>
        <scheme val="none"/>
      </font>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BundesSans Office"/>
        <scheme val="none"/>
      </font>
    </dxf>
    <dxf>
      <border outline="0">
        <bottom style="thin">
          <color rgb="FF000000"/>
        </bottom>
      </border>
    </dxf>
    <dxf>
      <font>
        <strike val="0"/>
        <outline val="0"/>
        <shadow val="0"/>
        <u val="none"/>
        <vertAlign val="baseline"/>
        <color auto="1"/>
        <name val="BundesSans Office"/>
        <scheme val="none"/>
      </font>
      <alignment vertical="center" textRotation="0" indent="0" justifyLastLine="0" shrinkToFit="0" readingOrder="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dxf>
    <dxf>
      <font>
        <b/>
        <i val="0"/>
        <strike val="0"/>
        <condense val="0"/>
        <extend val="0"/>
        <outline val="0"/>
        <shadow val="0"/>
        <u val="none"/>
        <vertAlign val="baseline"/>
        <sz val="8"/>
        <color auto="1"/>
        <name val="BundesSans Office"/>
        <scheme val="none"/>
      </font>
      <numFmt numFmtId="173" formatCode="#\ ##0\ \ ;\-#\ ##0\ \ ;&quot;-&quot;\ \ _)"/>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8"/>
        <color auto="1"/>
        <name val="BundesSans Office"/>
        <scheme val="none"/>
      </font>
      <fill>
        <patternFill patternType="none">
          <fgColor indexed="64"/>
          <bgColor indexed="65"/>
        </patternFill>
      </fill>
      <alignment horizontal="left" vertical="bottom" textRotation="0" wrapText="0" indent="0" justifyLastLine="0" shrinkToFit="0" readingOrder="0"/>
      <protection locked="1" hidden="0"/>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8"/>
        <color auto="1"/>
        <name val="BundesSans Office"/>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1" defaultTableStyle="TableStyleMedium9" defaultPivotStyle="PivotStyleLight16">
    <tableStyle name="Invisible" pivot="0" table="0" count="0" xr9:uid="{E86CAC19-F9A5-4F65-87F8-98F02324BD7B}"/>
  </tableStyles>
  <colors>
    <mruColors>
      <color rgb="FFFFFF99"/>
      <color rgb="FFCCFFCC"/>
      <color rgb="FFC4D79B"/>
      <color rgb="FFDEE7CB"/>
      <color rgb="FFBBCF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14654</xdr:rowOff>
    </xdr:from>
    <xdr:to>
      <xdr:col>0</xdr:col>
      <xdr:colOff>2392363</xdr:colOff>
      <xdr:row>1</xdr:row>
      <xdr:rowOff>367</xdr:rowOff>
    </xdr:to>
    <xdr:pic>
      <xdr:nvPicPr>
        <xdr:cNvPr id="2" name="Grafik 3" descr="Logo der Bundesanstalt für Landwirtschaft und Ernährung; BLE_Office_Farbe_de_50.bmp" title="Bundesanstalt für Landwirtschaft und Ernähru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19050" y="14654"/>
          <a:ext cx="2373313" cy="1081088"/>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Goebel\Ausbildungsstatistik\Ausbild.2011\Ausbildungsstatistik_1_%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Goebel\Ausbildungsstatistik\Ausbild.2006\Ausbildungsstatistik%202006_Kor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Inhaltsverzeichnis"/>
      <sheetName val="A. Ausbildungsverh. Landwirt"/>
      <sheetName val="Fachkraft Agrarservice"/>
      <sheetName val="Winzer"/>
      <sheetName val="LW-Fachwerker"/>
      <sheetName val="Tierwirt"/>
      <sheetName val="Fischwirt"/>
      <sheetName val="Pferdewirt"/>
      <sheetName val="Pferdewirt (2)"/>
      <sheetName val="Gärtner"/>
      <sheetName val="Gaba-Fachwerker"/>
      <sheetName val="Revierjäger"/>
      <sheetName val="Forstwirt"/>
      <sheetName val="Molkereifach-"/>
      <sheetName val="Milchtechnologe-technologin"/>
      <sheetName val="Milchw.Laborant"/>
      <sheetName val="Hauswirtschaft"/>
      <sheetName val="B. Entwicklung "/>
      <sheetName val="C. Verträge nach Vorbildung"/>
      <sheetName val="D. Vorz.gel.AVe"/>
      <sheetName val="E. Ausl. Auszubildende"/>
      <sheetName val="F. Prüf.i.d.berufl. Fortbildung"/>
      <sheetName val="Alle zusamm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kblatt"/>
      <sheetName val="Inhaltsverzeichnis"/>
      <sheetName val="A. Ausbildungsverh. Landwirt"/>
      <sheetName val="Fachkraft Agrarservice"/>
      <sheetName val="Winzer"/>
      <sheetName val="LW-Fachwerker"/>
      <sheetName val="Tierwirt"/>
      <sheetName val="Fischwirt"/>
      <sheetName val="Pferdewirt"/>
      <sheetName val="Gärtner"/>
      <sheetName val="Gaba-Fachwerker"/>
      <sheetName val="Revierjäger"/>
      <sheetName val="Forstwirt"/>
      <sheetName val="Molkereifach-"/>
      <sheetName val="Lw. Laborant"/>
      <sheetName val="Milchw.Laborant"/>
      <sheetName val="Hauswirtschaft"/>
      <sheetName val="D. Verträge nach Vorbildung"/>
      <sheetName val="E. Vorz.gel.AVe"/>
      <sheetName val="F. Ausl. Auszubildende"/>
      <sheetName val="G. und H. Ausbilder Ausbildungs"/>
      <sheetName val="B. Entwicklung (2)"/>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Landwirt_Auszubildende" displayName="Landwirt_Auszubildende" ref="A4:I21" totalsRowShown="0" headerRowDxfId="439" headerRowBorderDxfId="438" tableBorderDxfId="437" headerRowCellStyle="Standard 2">
  <autoFilter ref="A4:I21"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000-000001000000}" name="Land" dataDxfId="436" dataCellStyle="Standard 2"/>
    <tableColumn id="2" xr3:uid="{00000000-0010-0000-0000-000002000000}" name="insgesamt" dataDxfId="435" dataCellStyle="Standard 2"/>
    <tableColumn id="3" xr3:uid="{00000000-0010-0000-0000-000003000000}" name="darunter männlich" dataDxfId="434" dataCellStyle="Standard 2"/>
    <tableColumn id="4" xr3:uid="{00000000-0010-0000-0000-000004000000}" name="darunter weiblich" dataDxfId="433" dataCellStyle="Standard 2"/>
    <tableColumn id="5" xr3:uid="{00000000-0010-0000-0000-000005000000}" name="darunter im _x000a_1. Ausbildungsjahr" dataDxfId="432" dataCellStyle="Standard 2"/>
    <tableColumn id="6" xr3:uid="{00000000-0010-0000-0000-000006000000}" name="darunter im _x000a_2. Ausbildungsjahr" dataDxfId="431" dataCellStyle="Standard 2"/>
    <tableColumn id="7" xr3:uid="{00000000-0010-0000-0000-000007000000}" name="darunter im _x000a_3. Ausbildungsjahr" dataDxfId="430" dataCellStyle="Standard 2"/>
    <tableColumn id="8" xr3:uid="{00000000-0010-0000-0000-000008000000}" name="Neu abgeschlossene _x000a_Ausbildungsverhältnisse_x000a_ im Berichtszeitraum"/>
    <tableColumn id="9" xr3:uid="{00000000-0010-0000-0000-000009000000}" name="Vorzeitig gelöste _x000a_Ausbildungsverhältnisse_x000a_ im Berichtszeitraum"/>
  </tableColumns>
  <tableStyleInfo showFirstColumn="0" showLastColumn="0" showRowStripes="1" showColumnStripes="0"/>
  <extLst>
    <ext xmlns:x14="http://schemas.microsoft.com/office/spreadsheetml/2009/9/main" uri="{504A1905-F514-4f6f-8877-14C23A59335A}">
      <x14:table altText="1a. Landwirt/-in" altTextSummary="Auszubildende am 31.12.2021"/>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ierwirt_TeilnehmerAbschlussprüfungen" displayName="Tierwirt_TeilnehmerAbschlussprüfungen" ref="A108:I210" totalsRowShown="0" headerRowDxfId="332" dataDxfId="330" headerRowBorderDxfId="331" tableBorderDxfId="329" headerRowCellStyle="Standard 2" dataCellStyle="Standard 5">
  <autoFilter ref="A108:I210"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900-000001000000}" name="Land" dataDxfId="328" dataCellStyle="Standard 2"/>
    <tableColumn id="2" xr3:uid="{00000000-0010-0000-0900-000002000000}" name="Ausbildungsberuf _x000a_Schwerpunkt" dataDxfId="327"/>
    <tableColumn id="3" xr3:uid="{00000000-0010-0000-0900-000003000000}" name="Fußnote" dataDxfId="326"/>
    <tableColumn id="4" xr3:uid="{00000000-0010-0000-0900-000004000000}" name="insgesamt" dataDxfId="325" dataCellStyle="Standard 5"/>
    <tableColumn id="5" xr3:uid="{00000000-0010-0000-0900-000005000000}" name="männlich" dataDxfId="324" dataCellStyle="Standard 5"/>
    <tableColumn id="6" xr3:uid="{00000000-0010-0000-0900-000006000000}" name="weiblich" dataDxfId="323" dataCellStyle="Standard 5"/>
    <tableColumn id="7" xr3:uid="{00000000-0010-0000-0900-000007000000}" name="darunter mit bestandener _x000a_Prüfung_x000a_ insgesamt" dataDxfId="322" dataCellStyle="Standard 5"/>
    <tableColumn id="8" xr3:uid="{00000000-0010-0000-0900-000008000000}" name="darunter mit bestandener _x000a_Prüfung darunter männlich" dataDxfId="321" dataCellStyle="Standard 5"/>
    <tableColumn id="9" xr3:uid="{00000000-0010-0000-0900-000009000000}" name="darunter mit bestandener _x000a_Prüfung darunter weiblich" dataDxfId="320" dataCellStyle="Standard 5"/>
  </tableColumns>
  <tableStyleInfo showFirstColumn="0" showLastColumn="0" showRowStripes="1" showColumnStripes="0"/>
  <extLst>
    <ext xmlns:x14="http://schemas.microsoft.com/office/spreadsheetml/2009/9/main" uri="{504A1905-F514-4f6f-8877-14C23A59335A}">
      <x14:table altText="5b. Tierwirt/-in" altTextSummary="Teilnehmer an Abschlussprüfungen"/>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Fischwirt_Auszubildende" displayName="Fischwirt_Auszubildende" ref="A4:I21" totalsRowShown="0" headerRowDxfId="319" headerRowBorderDxfId="318" tableBorderDxfId="317" headerRowCellStyle="Standard 2">
  <autoFilter ref="A4:I21"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A00-000001000000}" name="Land" dataDxfId="316" dataCellStyle="Standard 2"/>
    <tableColumn id="3" xr3:uid="{00000000-0010-0000-0A00-000003000000}" name="insgesamt" dataDxfId="315"/>
    <tableColumn id="4" xr3:uid="{00000000-0010-0000-0A00-000004000000}" name="darunter männlich" dataDxfId="314"/>
    <tableColumn id="5" xr3:uid="{00000000-0010-0000-0A00-000005000000}" name="darunter weiblich" dataDxfId="313"/>
    <tableColumn id="6" xr3:uid="{00000000-0010-0000-0A00-000006000000}" name="darunter im _x000a_1.Ausbildungsjahr" dataDxfId="312"/>
    <tableColumn id="7" xr3:uid="{00000000-0010-0000-0A00-000007000000}" name="darunter im _x000a_2. Ausbildungsjahr" dataDxfId="311"/>
    <tableColumn id="8" xr3:uid="{00000000-0010-0000-0A00-000008000000}" name="darunter im _x000a_3. Ausbildungsjahr" dataDxfId="310"/>
    <tableColumn id="9" xr3:uid="{00000000-0010-0000-0A00-000009000000}" name="Neu abgeschlossene _x000a_Ausbildungsverhältnisse_x000a_ im Berichtszeitraum" dataDxfId="309"/>
    <tableColumn id="10" xr3:uid="{00000000-0010-0000-0A00-00000A000000}" name="Vorzeitig gelöste _x000a_Ausbildungsverhältnisse_x000a_ im Berichtszeitraum" dataDxfId="308"/>
  </tableColumns>
  <tableStyleInfo showFirstColumn="0" showLastColumn="0" showRowStripes="1" showColumnStripes="0"/>
  <extLst>
    <ext xmlns:x14="http://schemas.microsoft.com/office/spreadsheetml/2009/9/main" uri="{504A1905-F514-4f6f-8877-14C23A59335A}">
      <x14:table altText="6a. Fischwirt/-in" altTextSummary="Auszubildende am 31.12.2021"/>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Fischwirt_TeilnehmerAbschlussprüfungen" displayName="Fischwirt_TeilnehmerAbschlussprüfungen" ref="A23:H40" totalsRowShown="0" headerRowDxfId="307" dataDxfId="305" headerRowBorderDxfId="306" tableBorderDxfId="304" headerRowCellStyle="Standard 2">
  <autoFilter ref="A23:H40"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B00-000001000000}" name="Land" dataDxfId="303" dataCellStyle="Standard 2"/>
    <tableColumn id="2" xr3:uid="{00000000-0010-0000-0B00-000002000000}" name="Fußnote" dataDxfId="302" dataCellStyle="Standard 2"/>
    <tableColumn id="3" xr3:uid="{00000000-0010-0000-0B00-000003000000}" name="insgesamt" dataDxfId="301"/>
    <tableColumn id="4" xr3:uid="{00000000-0010-0000-0B00-000004000000}" name="männlich" dataDxfId="300"/>
    <tableColumn id="5" xr3:uid="{00000000-0010-0000-0B00-000005000000}" name="weiblich" dataDxfId="299"/>
    <tableColumn id="6" xr3:uid="{00000000-0010-0000-0B00-000006000000}" name="darunter mit bestandener _x000a_Prüfung_x000a_ insgesamt" dataDxfId="298"/>
    <tableColumn id="7" xr3:uid="{00000000-0010-0000-0B00-000007000000}" name="darunter mit bestandener _x000a_Prüfung _x000a_darunter männlich" dataDxfId="297"/>
    <tableColumn id="8" xr3:uid="{00000000-0010-0000-0B00-000008000000}" name="darunter mit bestandener _x000a_Prüfung_x000a_darunter weiblich" dataDxfId="296"/>
  </tableColumns>
  <tableStyleInfo showFirstColumn="0" showLastColumn="0" showRowStripes="1" showColumnStripes="0"/>
  <extLst>
    <ext xmlns:x14="http://schemas.microsoft.com/office/spreadsheetml/2009/9/main" uri="{504A1905-F514-4f6f-8877-14C23A59335A}">
      <x14:table altText="6b. Fischwirt/-in" altTextSummary="Teilnehmer an Abschlussprüfungen"/>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PferdewirtMonoberuf_Auszubildende" displayName="PferdewirtMonoberuf_Auszubildende" ref="A4:J21" totalsRowShown="0" headerRowDxfId="295" dataDxfId="293" headerRowBorderDxfId="294" tableBorderDxfId="292" headerRowCellStyle="Standard 2">
  <autoFilter ref="A4:J21"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C00-000001000000}" name="Land" dataDxfId="291" dataCellStyle="Standard 2"/>
    <tableColumn id="2" xr3:uid="{00000000-0010-0000-0C00-000002000000}" name="Fußnote" dataDxfId="290" dataCellStyle="Standard 2"/>
    <tableColumn id="3" xr3:uid="{00000000-0010-0000-0C00-000003000000}" name="insgesamt" dataDxfId="289"/>
    <tableColumn id="4" xr3:uid="{00000000-0010-0000-0C00-000004000000}" name="darunter männlich" dataDxfId="288"/>
    <tableColumn id="5" xr3:uid="{00000000-0010-0000-0C00-000005000000}" name="darunter weiblich" dataDxfId="287"/>
    <tableColumn id="6" xr3:uid="{00000000-0010-0000-0C00-000006000000}" name="darunter im _x000a_1. Ausbildungsjahr" dataDxfId="286"/>
    <tableColumn id="7" xr3:uid="{00000000-0010-0000-0C00-000007000000}" name="darunter im _x000a_2. Ausbildungsjahr" dataDxfId="285"/>
    <tableColumn id="8" xr3:uid="{00000000-0010-0000-0C00-000008000000}" name="darunter im _x000a_3. Ausbildungsjahr" dataDxfId="284"/>
    <tableColumn id="9" xr3:uid="{00000000-0010-0000-0C00-000009000000}" name="Neu abgeschlossene _x000a_Ausbildungsverhältnisse_x000a_ im Berichtszeitraum" dataDxfId="283"/>
    <tableColumn id="10" xr3:uid="{00000000-0010-0000-0C00-00000A000000}" name="Vorzeitig gelöste _x000a_Ausbildungsverhältnisse_x000a_ im Berichtszeitraum" dataDxfId="282"/>
  </tableColumns>
  <tableStyleInfo showFirstColumn="0" showLastColumn="0" showRowStripes="1" showColumnStripes="0"/>
  <extLst>
    <ext xmlns:x14="http://schemas.microsoft.com/office/spreadsheetml/2009/9/main" uri="{504A1905-F514-4f6f-8877-14C23A59335A}">
      <x14:table altText="7a. Pferdewirt/-in Monoberuf" altTextSummary="Auszubildende am 31.12.2021"/>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PferdewirtMonoberuf_TeilnehmerAbschlussprüfungen" displayName="PferdewirtMonoberuf_TeilnehmerAbschlussprüfungen" ref="A23:H40" totalsRowShown="0" headerRowDxfId="281" dataDxfId="279" headerRowBorderDxfId="280" tableBorderDxfId="278" headerRowCellStyle="Standard 2">
  <autoFilter ref="A23:H40"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D00-000001000000}" name="Land" dataDxfId="277" dataCellStyle="Standard 2"/>
    <tableColumn id="2" xr3:uid="{00000000-0010-0000-0D00-000002000000}" name="Fußnote" dataDxfId="276" dataCellStyle="Standard 2"/>
    <tableColumn id="3" xr3:uid="{00000000-0010-0000-0D00-000003000000}" name="insgesamt" dataDxfId="275"/>
    <tableColumn id="4" xr3:uid="{00000000-0010-0000-0D00-000004000000}" name="männlich" dataDxfId="274"/>
    <tableColumn id="5" xr3:uid="{00000000-0010-0000-0D00-000005000000}" name="weiblich" dataDxfId="273"/>
    <tableColumn id="6" xr3:uid="{00000000-0010-0000-0D00-000006000000}" name="darunter mit bestandener _x000a_Prüfung _x000a_insgesamt" dataDxfId="272"/>
    <tableColumn id="7" xr3:uid="{00000000-0010-0000-0D00-000007000000}" name="darunter mit bestandener _x000a_Prüfung darunter männlich" dataDxfId="271"/>
    <tableColumn id="8" xr3:uid="{00000000-0010-0000-0D00-000008000000}" name="darunter mit bestandener _x000a_Prüfung darunter weiblich" dataDxfId="270"/>
  </tableColumns>
  <tableStyleInfo showFirstColumn="0" showLastColumn="0" showRowStripes="1" showColumnStripes="0"/>
  <extLst>
    <ext xmlns:x14="http://schemas.microsoft.com/office/spreadsheetml/2009/9/main" uri="{504A1905-F514-4f6f-8877-14C23A59335A}">
      <x14:table altText="7b. Pferdewirt/-in Monoberuf" altTextSummary="Teilnehmer an Abschlussprüfungen"/>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PferdewirtFachrichtung_Auszubildende" displayName="PferdewirtFachrichtung_Auszubildende" ref="A4:I21" totalsRowShown="0" headerRowDxfId="269" dataDxfId="267" headerRowBorderDxfId="268" tableBorderDxfId="266" headerRowCellStyle="Standard 2">
  <autoFilter ref="A4:I21"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E00-000001000000}" name="Land" dataDxfId="265" dataCellStyle="Standard 2"/>
    <tableColumn id="2" xr3:uid="{00000000-0010-0000-0E00-000002000000}" name="insgesamt" dataDxfId="264"/>
    <tableColumn id="3" xr3:uid="{00000000-0010-0000-0E00-000003000000}" name="darunter männlich" dataDxfId="263"/>
    <tableColumn id="4" xr3:uid="{00000000-0010-0000-0E00-000004000000}" name="darunter weiblich" dataDxfId="262"/>
    <tableColumn id="5" xr3:uid="{00000000-0010-0000-0E00-000005000000}" name="darunter im _x000a_1. Ausbildungsjahr" dataDxfId="261"/>
    <tableColumn id="6" xr3:uid="{00000000-0010-0000-0E00-000006000000}" name="darunter im _x000a_2. Ausbildungsjahr" dataDxfId="260"/>
    <tableColumn id="7" xr3:uid="{00000000-0010-0000-0E00-000007000000}" name="darunter im _x000a_3. Ausbildungsjahr" dataDxfId="259"/>
    <tableColumn id="8" xr3:uid="{00000000-0010-0000-0E00-000008000000}" name="Neu abgeschlossene _x000a_Ausbildungsverhältnisse_x000a_ im Berichtszeitraum" dataDxfId="258"/>
    <tableColumn id="9" xr3:uid="{00000000-0010-0000-0E00-000009000000}" name="Vorzeitig gelöste _x000a_Ausbildungsverhältnisse_x000a_ im Berichtszeitraum" dataDxfId="257"/>
  </tableColumns>
  <tableStyleInfo showFirstColumn="0" showLastColumn="0" showRowStripes="1" showColumnStripes="0"/>
  <extLst>
    <ext xmlns:x14="http://schemas.microsoft.com/office/spreadsheetml/2009/9/main" uri="{504A1905-F514-4f6f-8877-14C23A59335A}">
      <x14:table altText="7a. Pferdewirt/-in Fachrichtung: Klassische Reitausbildung, Pferdehaltung und Service, Pferderennen, Pferdezucht, Spezialreitweisen" altTextSummary="Auszubildende am 31.12.2021"/>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PferdewirtFachrichtung_TeilnehmerAbschlussprüfungen" displayName="PferdewirtFachrichtung_TeilnehmerAbschlussprüfungen" ref="A23:G40" totalsRowShown="0" headerRowDxfId="256" dataDxfId="254" headerRowBorderDxfId="255" tableBorderDxfId="253" headerRowCellStyle="Standard 2">
  <autoFilter ref="A23:G40" xr:uid="{00000000-0009-0000-0100-000011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F00-000001000000}" name="Land" dataDxfId="252" dataCellStyle="Standard 2"/>
    <tableColumn id="2" xr3:uid="{00000000-0010-0000-0F00-000002000000}" name="insgesamt" dataDxfId="251"/>
    <tableColumn id="3" xr3:uid="{00000000-0010-0000-0F00-000003000000}" name="männlich" dataDxfId="250"/>
    <tableColumn id="4" xr3:uid="{00000000-0010-0000-0F00-000004000000}" name="weiblich" dataDxfId="249"/>
    <tableColumn id="5" xr3:uid="{00000000-0010-0000-0F00-000005000000}" name="darunter mit bestandener _x000a_Prüfung _x000a_insgesamt" dataDxfId="248"/>
    <tableColumn id="6" xr3:uid="{00000000-0010-0000-0F00-000006000000}" name="darunter mit bestandener _x000a_Prüfung darunter männlich" dataDxfId="247"/>
    <tableColumn id="7" xr3:uid="{00000000-0010-0000-0F00-000007000000}" name="darunter mit bestandener _x000a_Prüfung darunter_x000a_ weiblich" dataDxfId="246"/>
  </tableColumns>
  <tableStyleInfo showFirstColumn="0" showLastColumn="0" showRowStripes="1" showColumnStripes="0"/>
  <extLst>
    <ext xmlns:x14="http://schemas.microsoft.com/office/spreadsheetml/2009/9/main" uri="{504A1905-F514-4f6f-8877-14C23A59335A}">
      <x14:table altText="7b. Pferdewirt/-in Fachrichtung: Klassische Reitausbildung, Pferdehaltung und Service, Pferderennen, Pferdezucht, Spezialreitweisen" altTextSummary="Teilnehmer an Abschlussprüfungen"/>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0000000}" name="Gärtner_Auszubildende" displayName="Gärtner_Auszubildende" ref="A4:J142" totalsRowShown="0" headerRowDxfId="245" headerRowBorderDxfId="244" tableBorderDxfId="243" headerRowCellStyle="Standard 2">
  <autoFilter ref="A4:J142"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1000-000001000000}" name="Land" dataDxfId="242" dataCellStyle="Standard 2"/>
    <tableColumn id="2" xr3:uid="{00000000-0010-0000-1000-000002000000}" name="Ausbildungsberuf _x000a_Schwerpunkt" dataDxfId="241"/>
    <tableColumn id="3" xr3:uid="{00000000-0010-0000-1000-000003000000}" name="insgesamt" dataDxfId="240"/>
    <tableColumn id="4" xr3:uid="{00000000-0010-0000-1000-000004000000}" name="darunter männlich"/>
    <tableColumn id="5" xr3:uid="{00000000-0010-0000-1000-000005000000}" name="darunter weiblich" dataDxfId="239"/>
    <tableColumn id="6" xr3:uid="{00000000-0010-0000-1000-000006000000}" name="darunter im _x000a_1. Ausbildungsjahr" dataDxfId="238"/>
    <tableColumn id="7" xr3:uid="{00000000-0010-0000-1000-000007000000}" name="darunter im _x000a_2. Ausbildungsjahr"/>
    <tableColumn id="8" xr3:uid="{00000000-0010-0000-1000-000008000000}" name="darunter im _x000a_3. Ausbildungsjahr" dataDxfId="237"/>
    <tableColumn id="9" xr3:uid="{00000000-0010-0000-1000-000009000000}" name="Neu abgeschlossene _x000a_Ausbildungsverhältnisse_x000a_ im Berichtszeitraum" dataDxfId="236"/>
    <tableColumn id="10" xr3:uid="{00000000-0010-0000-1000-00000A000000}" name="Vorzeitig gelöste _x000a_Ausbildungsverhältnisse_x000a_ im Berichtszeitraum" dataDxfId="235"/>
  </tableColumns>
  <tableStyleInfo showFirstColumn="0" showLastColumn="0" showRowStripes="1" showColumnStripes="0"/>
  <extLst>
    <ext xmlns:x14="http://schemas.microsoft.com/office/spreadsheetml/2009/9/main" uri="{504A1905-F514-4f6f-8877-14C23A59335A}">
      <x14:table altText="8a. Gärtner/-in" altTextSummary="Auszubildende am 31.12.2021"/>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1000000}" name="Gärtner_TeilnehmerAbschlussprüfungen" displayName="Gärtner_TeilnehmerAbschlussprüfungen" ref="A4:H142" totalsRowShown="0" headerRowDxfId="234" headerRowBorderDxfId="233" tableBorderDxfId="232" headerRowCellStyle="Standard 2">
  <autoFilter ref="A4:H142"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100-000001000000}" name="Land" dataDxfId="231" dataCellStyle="Standard 2"/>
    <tableColumn id="2" xr3:uid="{00000000-0010-0000-1100-000002000000}" name="Ausbildungsberuf _x000a_Schwerpunkt" dataDxfId="230"/>
    <tableColumn id="3" xr3:uid="{00000000-0010-0000-1100-000003000000}" name="insgesamt" dataDxfId="229"/>
    <tableColumn id="4" xr3:uid="{00000000-0010-0000-1100-000004000000}" name="männlich"/>
    <tableColumn id="5" xr3:uid="{00000000-0010-0000-1100-000005000000}" name="weiblich" dataDxfId="228"/>
    <tableColumn id="6" xr3:uid="{00000000-0010-0000-1100-000006000000}" name="darunter mit bestandener _x000a_Prüfung_x000a_insgesamt" dataDxfId="227"/>
    <tableColumn id="7" xr3:uid="{00000000-0010-0000-1100-000007000000}" name="darunter mit bestandener _x000a_Prüfung darunter männlich"/>
    <tableColumn id="8" xr3:uid="{00000000-0010-0000-1100-000008000000}" name="darunter mit bestandener _x000a_Prüfung darunter weiblich" dataDxfId="226"/>
  </tableColumns>
  <tableStyleInfo showFirstColumn="0" showLastColumn="0" showRowStripes="1" showColumnStripes="0"/>
  <extLst>
    <ext xmlns:x14="http://schemas.microsoft.com/office/spreadsheetml/2009/9/main" uri="{504A1905-F514-4f6f-8877-14C23A59335A}">
      <x14:table altText="8b. Gärtner/-in" altTextSummary="Teilnehmer an Abschlussprüfungen"/>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2000000}" name="Gartenbaufachwerker_Auszubildende" displayName="Gartenbaufachwerker_Auszubildende" ref="A4:J21" totalsRowShown="0" headerRowDxfId="225" dataDxfId="223" headerRowBorderDxfId="224" tableBorderDxfId="222" headerRowCellStyle="Standard 2">
  <autoFilter ref="A4:J21"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1200-000001000000}" name="Land" dataDxfId="221" dataCellStyle="Standard 2"/>
    <tableColumn id="2" xr3:uid="{00000000-0010-0000-1200-000002000000}" name="Fußnote" dataDxfId="220" dataCellStyle="Standard 2"/>
    <tableColumn id="3" xr3:uid="{00000000-0010-0000-1200-000003000000}" name="insgesamt" dataDxfId="219"/>
    <tableColumn id="4" xr3:uid="{00000000-0010-0000-1200-000004000000}" name="darunter männlich" dataDxfId="218"/>
    <tableColumn id="5" xr3:uid="{00000000-0010-0000-1200-000005000000}" name="darunter weiblich" dataDxfId="217"/>
    <tableColumn id="6" xr3:uid="{00000000-0010-0000-1200-000006000000}" name="darunter im _x000a_1. Ausbildungsjahr" dataDxfId="216"/>
    <tableColumn id="7" xr3:uid="{00000000-0010-0000-1200-000007000000}" name="darunter im _x000a_2. Ausbildungsjahr" dataDxfId="215"/>
    <tableColumn id="8" xr3:uid="{00000000-0010-0000-1200-000008000000}" name="darunter im _x000a_3. Ausbildungsjahr" dataDxfId="214"/>
    <tableColumn id="9" xr3:uid="{00000000-0010-0000-1200-000009000000}" name="Neu abgeschlossene _x000a_Ausbildungsverhältnisse_x000a_ im Berichtszeitraum" dataDxfId="213"/>
    <tableColumn id="10" xr3:uid="{00000000-0010-0000-1200-00000A000000}" name="Vorzeitig gelöste _x000a_Ausbildungsverhältnisse_x000a_ im Berichtszeitraum" dataDxfId="212"/>
  </tableColumns>
  <tableStyleInfo showFirstColumn="0" showLastColumn="0" showRowStripes="1" showColumnStripes="0"/>
  <extLst>
    <ext xmlns:x14="http://schemas.microsoft.com/office/spreadsheetml/2009/9/main" uri="{504A1905-F514-4f6f-8877-14C23A59335A}">
      <x14:table altText="9a. Gartenbaufachwerker/-in einschließlich Fachwerker/in, Werker/in, Gartenbauhelfer und Helfer/in im Gartenbau (§ 66 BBiG)" altTextSummary="Auszubildende am 31.12.2021"/>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Landwirt_TeilnehmerAbschlussprüfungen" displayName="Landwirt_TeilnehmerAbschlussprüfungen" ref="A23:G40" totalsRowShown="0" headerRowDxfId="429" dataDxfId="427" headerRowBorderDxfId="428" tableBorderDxfId="426" headerRowCellStyle="Standard 2" dataCellStyle="Standard 2">
  <autoFilter ref="A23:G40" xr:uid="{00000000-0009-0000-0100-000003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100-000001000000}" name="Land" dataDxfId="425" dataCellStyle="Standard 2"/>
    <tableColumn id="2" xr3:uid="{00000000-0010-0000-0100-000002000000}" name="insgesamt" dataDxfId="424" dataCellStyle="Standard 2"/>
    <tableColumn id="3" xr3:uid="{00000000-0010-0000-0100-000003000000}" name="männlich" dataDxfId="423" dataCellStyle="Standard 2"/>
    <tableColumn id="4" xr3:uid="{00000000-0010-0000-0100-000004000000}" name="weiblich" dataDxfId="422" dataCellStyle="Standard 2"/>
    <tableColumn id="5" xr3:uid="{00000000-0010-0000-0100-000005000000}" name="darunter mit bestandener _x000a_Prüfung _x000a_insgesamt" dataDxfId="421" dataCellStyle="Standard 2"/>
    <tableColumn id="6" xr3:uid="{00000000-0010-0000-0100-000006000000}" name="darunter mit bestandener _x000a_Prüfung darunter männlich" dataDxfId="420" dataCellStyle="Standard 2"/>
    <tableColumn id="7" xr3:uid="{00000000-0010-0000-0100-000007000000}" name="darunter mit bestandener _x000a_Prüfung darunter weiblich" dataDxfId="419" dataCellStyle="Standard 2"/>
  </tableColumns>
  <tableStyleInfo showFirstColumn="0" showLastColumn="0" showRowStripes="1" showColumnStripes="0"/>
  <extLst>
    <ext xmlns:x14="http://schemas.microsoft.com/office/spreadsheetml/2009/9/main" uri="{504A1905-F514-4f6f-8877-14C23A59335A}">
      <x14:table altText="1b. Landwirt/-in" altTextSummary="Teilnehmer an Abschlussprüfungen"/>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3000000}" name="Gartenbaufachwerker_TeilnehmerAbschlussprüfungen" displayName="Gartenbaufachwerker_TeilnehmerAbschlussprüfungen" ref="A23:H40" totalsRowShown="0" headerRowDxfId="211" dataDxfId="209" headerRowBorderDxfId="210" tableBorderDxfId="208" headerRowCellStyle="Standard 2">
  <autoFilter ref="A23:H40"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300-000001000000}" name="Land" dataDxfId="207" dataCellStyle="Standard 2"/>
    <tableColumn id="2" xr3:uid="{00000000-0010-0000-1300-000002000000}" name="Fußnote" dataDxfId="206" dataCellStyle="Standard 2"/>
    <tableColumn id="3" xr3:uid="{00000000-0010-0000-1300-000003000000}" name="insgesamt" dataDxfId="205"/>
    <tableColumn id="4" xr3:uid="{00000000-0010-0000-1300-000004000000}" name="männlich" dataDxfId="204"/>
    <tableColumn id="5" xr3:uid="{00000000-0010-0000-1300-000005000000}" name="weiblich" dataDxfId="203"/>
    <tableColumn id="6" xr3:uid="{00000000-0010-0000-1300-000006000000}" name="darunter mit bestandener _x000a_Prüfung_x000a_ insgesamt" dataDxfId="202"/>
    <tableColumn id="7" xr3:uid="{00000000-0010-0000-1300-000007000000}" name="darunter mit bestandener _x000a_Prüfung darunter männlich" dataDxfId="201"/>
    <tableColumn id="8" xr3:uid="{00000000-0010-0000-1300-000008000000}" name="darunter mit bestandener _x000a_Prüfung darunter weiblich" dataDxfId="200"/>
  </tableColumns>
  <tableStyleInfo showFirstColumn="0" showLastColumn="0" showRowStripes="1" showColumnStripes="0"/>
  <extLst>
    <ext xmlns:x14="http://schemas.microsoft.com/office/spreadsheetml/2009/9/main" uri="{504A1905-F514-4f6f-8877-14C23A59335A}">
      <x14:table altText="9b. Gartenbaufachwerker/-in einschließlich Fachwerker/in, Werker/in, Gartenbauhelfer und Helfer/in im Gartenbau (§ 66 BBiG)" altTextSummary="Teilnehmer an Abschlussprüfungen"/>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4000000}" name="Revierjäger_Auszubildende" displayName="Revierjäger_Auszubildende" ref="A4:I21" totalsRowShown="0" headerRowDxfId="199" headerRowBorderDxfId="198" tableBorderDxfId="197" headerRowCellStyle="Standard 2">
  <autoFilter ref="A4:I21" xr:uid="{00000000-0009-0000-0100-00001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400-000001000000}" name="Land" dataDxfId="196" dataCellStyle="Standard 2"/>
    <tableColumn id="2" xr3:uid="{00000000-0010-0000-1400-000002000000}" name="insgesamt" dataDxfId="195"/>
    <tableColumn id="3" xr3:uid="{00000000-0010-0000-1400-000003000000}" name="darunter männlich" dataDxfId="194"/>
    <tableColumn id="4" xr3:uid="{00000000-0010-0000-1400-000004000000}" name="darunter weiblich" dataDxfId="193"/>
    <tableColumn id="5" xr3:uid="{00000000-0010-0000-1400-000005000000}" name="darunter im _x000a_1. Ausbildungsjahr" dataDxfId="192"/>
    <tableColumn id="6" xr3:uid="{00000000-0010-0000-1400-000006000000}" name="darunter im _x000a_2. Ausbildungsjahr" dataDxfId="191"/>
    <tableColumn id="7" xr3:uid="{00000000-0010-0000-1400-000007000000}" name="darunter im _x000a_3. Ausbildungsjahr" dataDxfId="190"/>
    <tableColumn id="8" xr3:uid="{00000000-0010-0000-1400-000008000000}" name="Neu abgeschlossene _x000a_Ausbildungsverhältnisse_x000a_ im Berichtszeitraum"/>
    <tableColumn id="9" xr3:uid="{00000000-0010-0000-1400-000009000000}" name="Vorzeitig gelöste _x000a_Ausbildungsverhältnisse_x000a_ im Berichtszeitraum"/>
  </tableColumns>
  <tableStyleInfo showFirstColumn="0" showLastColumn="0" showRowStripes="1" showColumnStripes="0"/>
  <extLst>
    <ext xmlns:x14="http://schemas.microsoft.com/office/spreadsheetml/2009/9/main" uri="{504A1905-F514-4f6f-8877-14C23A59335A}">
      <x14:table altText="10a. Revierjäger/-in" altTextSummary="Auszubildende am 31.12.2021"/>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5000000}" name="Revierjäger_TeilnehmerAbschlussprüfungen" displayName="Revierjäger_TeilnehmerAbschlussprüfungen" ref="A23:G40" totalsRowShown="0" headerRowDxfId="189" dataDxfId="187" headerRowBorderDxfId="188" tableBorderDxfId="186" headerRowCellStyle="Standard 2">
  <autoFilter ref="A23:G40" xr:uid="{00000000-0009-0000-0100-000017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1500-000001000000}" name="Land" dataDxfId="185" dataCellStyle="Standard 2"/>
    <tableColumn id="2" xr3:uid="{00000000-0010-0000-1500-000002000000}" name="insgesamt" dataDxfId="184"/>
    <tableColumn id="3" xr3:uid="{00000000-0010-0000-1500-000003000000}" name="männlich" dataDxfId="183"/>
    <tableColumn id="4" xr3:uid="{00000000-0010-0000-1500-000004000000}" name="weiblich" dataDxfId="182"/>
    <tableColumn id="5" xr3:uid="{00000000-0010-0000-1500-000005000000}" name="darunter mit bestandener _x000a_Prüfung _x000a_insgesamt" dataDxfId="181"/>
    <tableColumn id="6" xr3:uid="{00000000-0010-0000-1500-000006000000}" name="darunter mit bestandener _x000a_Prüfung darunter männlich" dataDxfId="180"/>
    <tableColumn id="7" xr3:uid="{00000000-0010-0000-1500-000007000000}" name="darunter mit bestandener _x000a_Prüfung darunter weiblich" dataDxfId="179"/>
  </tableColumns>
  <tableStyleInfo showFirstColumn="0" showLastColumn="0" showRowStripes="1" showColumnStripes="0"/>
  <extLst>
    <ext xmlns:x14="http://schemas.microsoft.com/office/spreadsheetml/2009/9/main" uri="{504A1905-F514-4f6f-8877-14C23A59335A}">
      <x14:table altText="10b. Revierjäger/-in" altTextSummary="Teilnehmer an Abschlussprüfungen"/>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6000000}" name="Forstwirt_Auszubildende" displayName="Forstwirt_Auszubildende" ref="A4:J21" totalsRowShown="0" headerRowDxfId="178" dataDxfId="176" headerRowBorderDxfId="177" tableBorderDxfId="175" headerRowCellStyle="Standard 2">
  <autoFilter ref="A4:J21" xr:uid="{00000000-0009-0000-0100-00001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1600-000001000000}" name="Land" dataDxfId="174" dataCellStyle="Standard 2"/>
    <tableColumn id="2" xr3:uid="{00000000-0010-0000-1600-000002000000}" name="Fußnote" dataDxfId="173" dataCellStyle="Standard 2"/>
    <tableColumn id="3" xr3:uid="{00000000-0010-0000-1600-000003000000}" name="insgesamt" dataDxfId="172"/>
    <tableColumn id="4" xr3:uid="{00000000-0010-0000-1600-000004000000}" name="darunter männlich" dataDxfId="171"/>
    <tableColumn id="5" xr3:uid="{00000000-0010-0000-1600-000005000000}" name="darunter weiblich" dataDxfId="170"/>
    <tableColumn id="6" xr3:uid="{00000000-0010-0000-1600-000006000000}" name="darunter im _x000a_1. Ausbildungsjahr" dataDxfId="169"/>
    <tableColumn id="7" xr3:uid="{00000000-0010-0000-1600-000007000000}" name="darunter im _x000a_2. Ausbildungsjahr" dataDxfId="168"/>
    <tableColumn id="8" xr3:uid="{00000000-0010-0000-1600-000008000000}" name="darunter im _x000a_3. Ausbildungsjahr" dataDxfId="167"/>
    <tableColumn id="9" xr3:uid="{00000000-0010-0000-1600-000009000000}" name="Neu abgeschlossene _x000a_Ausbildungsverhältnisse_x000a_ im Berichtszeitraum" dataDxfId="166"/>
    <tableColumn id="10" xr3:uid="{00000000-0010-0000-1600-00000A000000}" name="Vorzeitig gelöste _x000a_Ausbildungsverhältnisse_x000a_ im Berichtszeitraum" dataDxfId="165"/>
  </tableColumns>
  <tableStyleInfo showFirstColumn="0" showLastColumn="0" showRowStripes="1" showColumnStripes="0"/>
  <extLst>
    <ext xmlns:x14="http://schemas.microsoft.com/office/spreadsheetml/2009/9/main" uri="{504A1905-F514-4f6f-8877-14C23A59335A}">
      <x14:table altText="11a. Forstwirt/-in einschließlich Werker/in der Forstwirtschaft- Wald- und Landschaftspflege (§ 66 BBiG)" altTextSummary="Auszubildende am 31.12.2021"/>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7000000}" name="Forstwirt_TeilnehmerAbschlussprüfungen" displayName="Forstwirt_TeilnehmerAbschlussprüfungen" ref="A23:H40" totalsRowShown="0" headerRowDxfId="164" dataDxfId="162" headerRowBorderDxfId="163" tableBorderDxfId="161" headerRowCellStyle="Standard 2">
  <autoFilter ref="A23:H40" xr:uid="{00000000-0009-0000-0100-00001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1700-000001000000}" name="Land" dataDxfId="160" dataCellStyle="Standard 2"/>
    <tableColumn id="2" xr3:uid="{00000000-0010-0000-1700-000002000000}" name="Fußnote" dataDxfId="159" dataCellStyle="Standard 2"/>
    <tableColumn id="3" xr3:uid="{00000000-0010-0000-1700-000003000000}" name="insgesamt" dataDxfId="158"/>
    <tableColumn id="4" xr3:uid="{00000000-0010-0000-1700-000004000000}" name="männlich" dataDxfId="157"/>
    <tableColumn id="5" xr3:uid="{00000000-0010-0000-1700-000005000000}" name="weiblich" dataDxfId="156"/>
    <tableColumn id="6" xr3:uid="{00000000-0010-0000-1700-000006000000}" name="darunter mit bestandener _x000a_Prüfung _x000a_insgesamt" dataDxfId="155"/>
    <tableColumn id="7" xr3:uid="{00000000-0010-0000-1700-000007000000}" name="darunter mit bestandener _x000a_Prüfung darunter männlich" dataDxfId="154"/>
    <tableColumn id="8" xr3:uid="{00000000-0010-0000-1700-000008000000}" name="darunter mit bestandener _x000a_Prüfung darunter weiblich" dataDxfId="153"/>
  </tableColumns>
  <tableStyleInfo showFirstColumn="0" showLastColumn="0" showRowStripes="1" showColumnStripes="0"/>
  <extLst>
    <ext xmlns:x14="http://schemas.microsoft.com/office/spreadsheetml/2009/9/main" uri="{504A1905-F514-4f6f-8877-14C23A59335A}">
      <x14:table altText="11b. Forstwirt/-in" altTextSummary="Teilnehmer an Abschlussprüfungen"/>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8000000}" name="Pflanzentechnologe_Auszubildende" displayName="Pflanzentechnologe_Auszubildende" ref="A4:I21" totalsRowShown="0" headerRowDxfId="152" headerRowBorderDxfId="151" tableBorderDxfId="150" headerRowCellStyle="Standard 2">
  <tableColumns count="9">
    <tableColumn id="1" xr3:uid="{00000000-0010-0000-1800-000001000000}" name="Land" dataDxfId="149" dataCellStyle="Standard 2"/>
    <tableColumn id="2" xr3:uid="{00000000-0010-0000-1800-000002000000}" name="insgesamt" dataDxfId="148"/>
    <tableColumn id="3" xr3:uid="{00000000-0010-0000-1800-000003000000}" name="darunter männlich" dataDxfId="147"/>
    <tableColumn id="4" xr3:uid="{00000000-0010-0000-1800-000004000000}" name="darunter weiblich" dataDxfId="146"/>
    <tableColumn id="5" xr3:uid="{00000000-0010-0000-1800-000005000000}" name="darunter im _x000a_1. Ausbildungsjahr" dataDxfId="145"/>
    <tableColumn id="6" xr3:uid="{00000000-0010-0000-1800-000006000000}" name="darunter im _x000a_2. Ausbildungsjahr" dataDxfId="144"/>
    <tableColumn id="7" xr3:uid="{00000000-0010-0000-1800-000007000000}" name="darunter im _x000a_3. Ausbildungsjahr" dataDxfId="143"/>
    <tableColumn id="8" xr3:uid="{00000000-0010-0000-1800-000008000000}" name="Neu abgeschlossene _x000a_Ausbildungsverhältnisse_x000a_ im Berichtszeitraum" dataDxfId="142"/>
    <tableColumn id="9" xr3:uid="{00000000-0010-0000-1800-000009000000}" name="Vorzeitig gelöste _x000a_Ausbildungsverhältnisse_x000a_ im Berichtszeitraum" dataDxfId="141"/>
  </tableColumns>
  <tableStyleInfo showFirstColumn="0" showLastColumn="0" showRowStripes="1" showColumnStripes="0"/>
  <extLst>
    <ext xmlns:x14="http://schemas.microsoft.com/office/spreadsheetml/2009/9/main" uri="{504A1905-F514-4f6f-8877-14C23A59335A}">
      <x14:table altText="12a. Pflanzentechnologe/-technologin" altTextSummary="Auszubildende am 31.12.2021"/>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9000000}" name="Pflanzentechnologe_TeilnehmerAbschlussprüfungen" displayName="Pflanzentechnologe_TeilnehmerAbschlussprüfungen" ref="A23:G40" totalsRowShown="0" headerRowDxfId="140" dataDxfId="138" headerRowBorderDxfId="139" tableBorderDxfId="137" headerRowCellStyle="Standard 2">
  <autoFilter ref="A23:G40" xr:uid="{00000000-0009-0000-0100-00001B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1900-000001000000}" name="Land" dataDxfId="136" dataCellStyle="Standard 2"/>
    <tableColumn id="2" xr3:uid="{00000000-0010-0000-1900-000002000000}" name="insgesamt" dataDxfId="135"/>
    <tableColumn id="3" xr3:uid="{00000000-0010-0000-1900-000003000000}" name="männlich" dataDxfId="134"/>
    <tableColumn id="4" xr3:uid="{00000000-0010-0000-1900-000004000000}" name="weiblich" dataDxfId="133"/>
    <tableColumn id="5" xr3:uid="{00000000-0010-0000-1900-000005000000}" name="darunter mit bestandener _x000a_Prüfung _x000a_insgesamt" dataDxfId="132"/>
    <tableColumn id="6" xr3:uid="{00000000-0010-0000-1900-000006000000}" name="darunter mit bestandener _x000a_Prüfung darunter männlich" dataDxfId="131"/>
    <tableColumn id="7" xr3:uid="{00000000-0010-0000-1900-000007000000}" name="darunter mit bestandener _x000a_Prüfung darunter weiblich" dataDxfId="130"/>
  </tableColumns>
  <tableStyleInfo showFirstColumn="0" showLastColumn="0" showRowStripes="1" showColumnStripes="0"/>
  <extLst>
    <ext xmlns:x14="http://schemas.microsoft.com/office/spreadsheetml/2009/9/main" uri="{504A1905-F514-4f6f-8877-14C23A59335A}">
      <x14:table altText="12b. Pflanzentechnologe/-technologin" altTextSummary="Teilnehmer an Abschlussprüfungen"/>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A000000}" name="Milchtechnologe_Auszubildende" displayName="Milchtechnologe_Auszubildende" ref="A4:I21" totalsRowShown="0" headerRowDxfId="129" headerRowBorderDxfId="128" tableBorderDxfId="127" headerRowCellStyle="Standard 2">
  <autoFilter ref="A4:I21" xr:uid="{00000000-0009-0000-0100-00001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A00-000001000000}" name="Land" dataDxfId="126" dataCellStyle="Standard 2"/>
    <tableColumn id="2" xr3:uid="{00000000-0010-0000-1A00-000002000000}" name="insgesamt" dataDxfId="125"/>
    <tableColumn id="3" xr3:uid="{00000000-0010-0000-1A00-000003000000}" name="darunter männlich" dataDxfId="124"/>
    <tableColumn id="4" xr3:uid="{00000000-0010-0000-1A00-000004000000}" name="darunter weiblich" dataDxfId="123"/>
    <tableColumn id="5" xr3:uid="{00000000-0010-0000-1A00-000005000000}" name="darunter im _x000a_1. Ausbildungsjahr" dataDxfId="122"/>
    <tableColumn id="6" xr3:uid="{00000000-0010-0000-1A00-000006000000}" name="darunter im _x000a_2. Ausbildungsjahr" dataDxfId="121"/>
    <tableColumn id="7" xr3:uid="{00000000-0010-0000-1A00-000007000000}" name="darunter im _x000a_3. Ausbildungsjahr" dataDxfId="120"/>
    <tableColumn id="8" xr3:uid="{00000000-0010-0000-1A00-000008000000}" name="Neu abgeschlossene _x000a_Ausbildungsverhältnisse_x000a_ im Berichtszeitraum" dataDxfId="119"/>
    <tableColumn id="9" xr3:uid="{00000000-0010-0000-1A00-000009000000}" name="Vorzeitig gelöste _x000a_Ausbildungsverhältnisse_x000a_ im Berichtszeitraum"/>
  </tableColumns>
  <tableStyleInfo showFirstColumn="0" showLastColumn="0" showRowStripes="1" showColumnStripes="0"/>
  <extLst>
    <ext xmlns:x14="http://schemas.microsoft.com/office/spreadsheetml/2009/9/main" uri="{504A1905-F514-4f6f-8877-14C23A59335A}">
      <x14:table altText="13a. Milchtechnologe/-technologin" altTextSummary="Auszubildende am 31.12.2021"/>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B000000}" name="Milchtechnologe_TeilnehmerAbschlussprüfungen" displayName="Milchtechnologe_TeilnehmerAbschlussprüfungen" ref="A23:G40" totalsRowShown="0" headerRowDxfId="118" dataDxfId="116" headerRowBorderDxfId="117" tableBorderDxfId="115" headerRowCellStyle="Standard 2">
  <autoFilter ref="A23:G40" xr:uid="{00000000-0009-0000-0100-00001D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1B00-000001000000}" name="Land" dataDxfId="114" dataCellStyle="Standard 2"/>
    <tableColumn id="2" xr3:uid="{00000000-0010-0000-1B00-000002000000}" name="insgesamt" dataDxfId="113"/>
    <tableColumn id="3" xr3:uid="{00000000-0010-0000-1B00-000003000000}" name="männlich" dataDxfId="112"/>
    <tableColumn id="4" xr3:uid="{00000000-0010-0000-1B00-000004000000}" name="weiblich" dataDxfId="111"/>
    <tableColumn id="5" xr3:uid="{00000000-0010-0000-1B00-000005000000}" name="darunter mit bestandener _x000a_Prüfung _x000a_insgesamt" dataDxfId="110"/>
    <tableColumn id="6" xr3:uid="{00000000-0010-0000-1B00-000006000000}" name="darunter mit bestandener _x000a_Prüfung darunter männlich" dataDxfId="109"/>
    <tableColumn id="7" xr3:uid="{00000000-0010-0000-1B00-000007000000}" name="darunter mit bestandener _x000a_Prüfung darunter weiblich" dataDxfId="108"/>
  </tableColumns>
  <tableStyleInfo showFirstColumn="0" showLastColumn="0" showRowStripes="1" showColumnStripes="0"/>
  <extLst>
    <ext xmlns:x14="http://schemas.microsoft.com/office/spreadsheetml/2009/9/main" uri="{504A1905-F514-4f6f-8877-14C23A59335A}">
      <x14:table altText="13b. Milchtechnologe/-technologin" altTextSummary="Teilnehmer an Abschlussprüfungen"/>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C000000}" name="MilchwirtschaftlicherLaborant_Auszubildende" displayName="MilchwirtschaftlicherLaborant_Auszubildende" ref="A4:I21" totalsRowShown="0" headerRowDxfId="107" headerRowBorderDxfId="106" tableBorderDxfId="105" headerRowCellStyle="Standard 2">
  <autoFilter ref="A4:I21" xr:uid="{00000000-0009-0000-0100-00001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C00-000001000000}" name="Land" dataDxfId="104" dataCellStyle="Standard 2"/>
    <tableColumn id="2" xr3:uid="{00000000-0010-0000-1C00-000002000000}" name="insgesamt" dataDxfId="103"/>
    <tableColumn id="3" xr3:uid="{00000000-0010-0000-1C00-000003000000}" name="darunter männlich" dataDxfId="102"/>
    <tableColumn id="4" xr3:uid="{00000000-0010-0000-1C00-000004000000}" name="darunter weiblich" dataDxfId="101"/>
    <tableColumn id="5" xr3:uid="{00000000-0010-0000-1C00-000005000000}" name="darunter im _x000a_1. Ausbildungsjahr" dataDxfId="100"/>
    <tableColumn id="6" xr3:uid="{00000000-0010-0000-1C00-000006000000}" name="darunter im _x000a_2. Ausbildungsjahr" dataDxfId="99"/>
    <tableColumn id="7" xr3:uid="{00000000-0010-0000-1C00-000007000000}" name="darunter im _x000a_3. Ausbildungsjahr" dataDxfId="98"/>
    <tableColumn id="8" xr3:uid="{00000000-0010-0000-1C00-000008000000}" name="Neu abgeschlossene _x000a_Ausbildungsverhältnisse_x000a_ im Berichtszeitraum" dataDxfId="97"/>
    <tableColumn id="9" xr3:uid="{00000000-0010-0000-1C00-000009000000}" name="Vorzeitig gelöste _x000a_Ausbildungsverhältnisse_x000a_ im Berichtszeitraum" dataDxfId="96"/>
  </tableColumns>
  <tableStyleInfo showFirstColumn="0" showLastColumn="0" showRowStripes="1" showColumnStripes="0"/>
  <extLst>
    <ext xmlns:x14="http://schemas.microsoft.com/office/spreadsheetml/2009/9/main" uri="{504A1905-F514-4f6f-8877-14C23A59335A}">
      <x14:table altText="14a. Milchwirtschaftliche(r) Laborant/-in" altTextSummary="Auszubildende am 31.12.202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FachkraftAgrarservice_Auszubildende" displayName="FachkraftAgrarservice_Auszubildende" ref="A4:I21" totalsRowShown="0" headerRowDxfId="418" dataDxfId="416" headerRowBorderDxfId="417" tableBorderDxfId="415">
  <tableColumns count="9">
    <tableColumn id="1" xr3:uid="{00000000-0010-0000-0200-000001000000}" name="Land" dataDxfId="414"/>
    <tableColumn id="2" xr3:uid="{00000000-0010-0000-0200-000002000000}" name="insgesamt" dataDxfId="413"/>
    <tableColumn id="3" xr3:uid="{00000000-0010-0000-0200-000003000000}" name="darunter männlich" dataDxfId="412"/>
    <tableColumn id="4" xr3:uid="{00000000-0010-0000-0200-000004000000}" name="darunter weiblich" dataDxfId="411"/>
    <tableColumn id="5" xr3:uid="{00000000-0010-0000-0200-000005000000}" name="darunter im _x000a_1. Ausbildungsjahr" dataDxfId="410"/>
    <tableColumn id="6" xr3:uid="{00000000-0010-0000-0200-000006000000}" name="darunter im _x000a_2. Ausbildungsjahr" dataDxfId="409"/>
    <tableColumn id="7" xr3:uid="{00000000-0010-0000-0200-000007000000}" name="darunter im _x000a_3. Ausbildungsjahr" dataDxfId="408"/>
    <tableColumn id="8" xr3:uid="{00000000-0010-0000-0200-000008000000}" name="Neu abgeschlossene _x000a_Ausbildungsverhältnisse_x000a_ im Berichtszeitraum" dataDxfId="407"/>
    <tableColumn id="9" xr3:uid="{00000000-0010-0000-0200-000009000000}" name="Vorzeitig gelöste _x000a_Ausbildungsverhältnisse_x000a_ im Berichtszeitraum" dataDxfId="406"/>
  </tableColumns>
  <tableStyleInfo showFirstColumn="0" showLastColumn="0" showRowStripes="1" showColumnStripes="0"/>
  <extLst>
    <ext xmlns:x14="http://schemas.microsoft.com/office/spreadsheetml/2009/9/main" uri="{504A1905-F514-4f6f-8877-14C23A59335A}">
      <x14:table altText="2a. Fachkraft Agrarservice" altTextSummary="Auszubildende am 31.12.2021"/>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D000000}" name="MilchwirtschaftlicherLaborant_TeilnehmerAbschlussprüfung" displayName="MilchwirtschaftlicherLaborant_TeilnehmerAbschlussprüfung" ref="A23:G40" totalsRowShown="0" headerRowDxfId="95" dataDxfId="93" headerRowBorderDxfId="94" tableBorderDxfId="92" headerRowCellStyle="Standard 2">
  <autoFilter ref="A23:G40" xr:uid="{00000000-0009-0000-0100-00001F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1D00-000001000000}" name="Land" dataDxfId="91" dataCellStyle="Standard 2"/>
    <tableColumn id="2" xr3:uid="{00000000-0010-0000-1D00-000002000000}" name="insgesamt" dataDxfId="90"/>
    <tableColumn id="3" xr3:uid="{00000000-0010-0000-1D00-000003000000}" name="männlich" dataDxfId="89"/>
    <tableColumn id="4" xr3:uid="{00000000-0010-0000-1D00-000004000000}" name="weiblich" dataDxfId="88"/>
    <tableColumn id="5" xr3:uid="{00000000-0010-0000-1D00-000005000000}" name="darunter mit bestandener _x000a_Prüfung _x000a_insgesamt" dataDxfId="87"/>
    <tableColumn id="6" xr3:uid="{00000000-0010-0000-1D00-000006000000}" name="darunter mit bestandener _x000a_Prüfung darunter männlich" dataDxfId="86"/>
    <tableColumn id="7" xr3:uid="{00000000-0010-0000-1D00-000007000000}" name="darunter mit bestandener _x000a_Prüfung darunter weiblich" dataDxfId="85"/>
  </tableColumns>
  <tableStyleInfo showFirstColumn="0" showLastColumn="0" showRowStripes="1" showColumnStripes="0"/>
  <extLst>
    <ext xmlns:x14="http://schemas.microsoft.com/office/spreadsheetml/2009/9/main" uri="{504A1905-F514-4f6f-8877-14C23A59335A}">
      <x14:table altText="14b. Milchwirtschaftliche(r) Laborant/-in" altTextSummary="Teilnehmer an Abschlussprüfungen"/>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E000000}" name="Hauswirtschafter_Auszubildende" displayName="Hauswirtschafter_Auszubildende" ref="A4:I21" totalsRowShown="0" headerRowDxfId="84" dataDxfId="82" headerRowBorderDxfId="83" tableBorderDxfId="81" headerRowCellStyle="Standard 2">
  <autoFilter ref="A4:I21" xr:uid="{00000000-0009-0000-0100-00002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E00-000001000000}" name="Land" dataDxfId="80" dataCellStyle="Standard 2"/>
    <tableColumn id="2" xr3:uid="{00000000-0010-0000-1E00-000002000000}" name="insgesamt" dataDxfId="79"/>
    <tableColumn id="3" xr3:uid="{00000000-0010-0000-1E00-000003000000}" name="darunter männlich" dataDxfId="78"/>
    <tableColumn id="4" xr3:uid="{00000000-0010-0000-1E00-000004000000}" name="darunter weiblich" dataDxfId="77"/>
    <tableColumn id="5" xr3:uid="{00000000-0010-0000-1E00-000005000000}" name="darunter im _x000a_1. Ausbildungsjahr" dataDxfId="76"/>
    <tableColumn id="6" xr3:uid="{00000000-0010-0000-1E00-000006000000}" name="darunter im _x000a_2. Ausbildungsjahr" dataDxfId="75"/>
    <tableColumn id="7" xr3:uid="{00000000-0010-0000-1E00-000007000000}" name="darunter im _x000a_3. Ausbildungsjahr" dataDxfId="74"/>
    <tableColumn id="8" xr3:uid="{00000000-0010-0000-1E00-000008000000}" name="Neu abgeschlossene _x000a_Ausbildungsverhältnisse_x000a_ im Berichtszeitraum" dataDxfId="73"/>
    <tableColumn id="9" xr3:uid="{00000000-0010-0000-1E00-000009000000}" name="Vorzeitig gelöste _x000a_Ausbildungsverhältnisse_x000a_ im Berichtszeitraum" dataDxfId="72"/>
  </tableColumns>
  <tableStyleInfo showFirstColumn="0" showLastColumn="0" showRowStripes="1" showColumnStripes="0"/>
  <extLst>
    <ext xmlns:x14="http://schemas.microsoft.com/office/spreadsheetml/2009/9/main" uri="{504A1905-F514-4f6f-8877-14C23A59335A}">
      <x14:table altText="15a. Hauswirtschaftler/-in" altTextSummary="Auszubildende am 31.12.2021"/>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F000000}" name="Hauswirtschafter_TeilnehmerAbschlussprüfung" displayName="Hauswirtschafter_TeilnehmerAbschlussprüfung" ref="A23:G40" totalsRowShown="0" headerRowDxfId="71" headerRowBorderDxfId="70" tableBorderDxfId="69" headerRowCellStyle="Standard 2">
  <autoFilter ref="A23:G40" xr:uid="{00000000-0009-0000-0100-000021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1F00-000001000000}" name="Land" dataDxfId="68" dataCellStyle="Standard 2"/>
    <tableColumn id="2" xr3:uid="{00000000-0010-0000-1F00-000002000000}" name="insgesamt" dataDxfId="67"/>
    <tableColumn id="3" xr3:uid="{00000000-0010-0000-1F00-000003000000}" name="männlich" dataDxfId="66"/>
    <tableColumn id="4" xr3:uid="{00000000-0010-0000-1F00-000004000000}" name="weiblich" dataDxfId="65"/>
    <tableColumn id="5" xr3:uid="{00000000-0010-0000-1F00-000005000000}" name="darunter mit bestandener _x000a_Prüfung _x000a_insgesamt" dataDxfId="64"/>
    <tableColumn id="6" xr3:uid="{00000000-0010-0000-1F00-000006000000}" name="darunter mit bestandener _x000a_Prüfung darunter männlich" dataDxfId="63"/>
    <tableColumn id="7" xr3:uid="{00000000-0010-0000-1F00-000007000000}" name="darunter mit bestandener _x000a_Prüfung darunter weiblich" dataDxfId="62"/>
  </tableColumns>
  <tableStyleInfo showFirstColumn="0" showLastColumn="0" showRowStripes="1" showColumnStripes="0"/>
  <extLst>
    <ext xmlns:x14="http://schemas.microsoft.com/office/spreadsheetml/2009/9/main" uri="{504A1905-F514-4f6f-8877-14C23A59335A}">
      <x14:table altText="15b. Hauswirtschafter/-in" altTextSummary="Teilnehmer an Abschlussprüfungen"/>
    </ext>
  </extLst>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0000000}" name="Entwicklung_Ausbildungsberufe1" displayName="Entwicklung_Ausbildungsberufe1" ref="A3:H201" totalsRowShown="0" headerRowBorderDxfId="61" tableBorderDxfId="60">
  <autoFilter ref="A3:H201" xr:uid="{00000000-0009-0000-0100-00002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2000-000001000000}" name="Beruf" dataDxfId="59" dataCellStyle="Standard 2"/>
    <tableColumn id="2" xr3:uid="{00000000-0010-0000-2000-000002000000}" name="Fußnote" dataDxfId="58" dataCellStyle="Standard 2"/>
    <tableColumn id="3" xr3:uid="{00000000-0010-0000-2000-000003000000}" name="Jahr" dataDxfId="57" dataCellStyle="Standard 2"/>
    <tableColumn id="4" xr3:uid="{00000000-0010-0000-2000-000004000000}" name="insgesamt" dataDxfId="56" dataCellStyle="Standard 2"/>
    <tableColumn id="5" xr3:uid="{00000000-0010-0000-2000-000005000000}" name="darunter _x000a_weiblich" dataDxfId="55" dataCellStyle="Standard 2"/>
    <tableColumn id="6" xr3:uid="{00000000-0010-0000-2000-000006000000}" name="mit neu _x000a_abgeschlossenem_x000a_ Ausbildungsvertrag" dataDxfId="54" dataCellStyle="Standard 2"/>
    <tableColumn id="7" xr3:uid="{00000000-0010-0000-2000-000007000000}" name="Prüflinge mit bestandener _x000a_Abschlussprüfung " dataDxfId="53" dataCellStyle="Standard 2"/>
    <tableColumn id="8" xr3:uid="{00000000-0010-0000-2000-000008000000}" name="Prüflinge mit bestandener _x000a_Meisterprüfung " dataDxfId="52" dataCellStyle="Standard 2"/>
  </tableColumns>
  <tableStyleInfo showFirstColumn="0" showLastColumn="0" showRowStripes="1" showColumnStripes="0"/>
  <extLst>
    <ext xmlns:x14="http://schemas.microsoft.com/office/spreadsheetml/2009/9/main" uri="{504A1905-F514-4f6f-8877-14C23A59335A}">
      <x14:table altText="B. Entwicklung der Ausbildungsberufe in der Landwirtschaft (1)" altTextSummary="Auszubildende am 31. Dezember. Zeitreihe beginnend mit dem Jahr 2001. Auszubildende der Berufe Landwirt/-in, Fachkraft Agrarservice, Winzer/-in, Landwirtschaftsfachwerker/-in, Tierwirt/-in, Fischwirt/-in, Pferdewirt/-in, Gärtner/-in und Gartenbaufachwerker/-in."/>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1000000}" name="Enwicklung_Ausbildungsberufe2" displayName="Enwicklung_Ausbildungsberufe2" ref="A3:H207" totalsRowShown="0" headerRowDxfId="51" dataDxfId="49" headerRowBorderDxfId="50" tableBorderDxfId="48" dataCellStyle="Standard 2">
  <autoFilter ref="A3:H207" xr:uid="{00000000-0009-0000-0100-00002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2100-000001000000}" name="Beruf" dataDxfId="47" dataCellStyle="Standard 2"/>
    <tableColumn id="2" xr3:uid="{00000000-0010-0000-2100-000002000000}" name="Fußnote" dataDxfId="46" dataCellStyle="Standard 2"/>
    <tableColumn id="3" xr3:uid="{00000000-0010-0000-2100-000003000000}" name="Jahr" dataDxfId="45" dataCellStyle="Standard 2"/>
    <tableColumn id="4" xr3:uid="{00000000-0010-0000-2100-000004000000}" name="insgesamt" dataDxfId="44" dataCellStyle="Standard 2"/>
    <tableColumn id="5" xr3:uid="{00000000-0010-0000-2100-000005000000}" name="darunter _x000a_weiblich" dataDxfId="43" dataCellStyle="Standard 2"/>
    <tableColumn id="6" xr3:uid="{00000000-0010-0000-2100-000006000000}" name="mit neu _x000a_abgeschlossenem_x000a_ Ausbildungsvertrag" dataDxfId="42" dataCellStyle="Standard 2"/>
    <tableColumn id="7" xr3:uid="{00000000-0010-0000-2100-000007000000}" name="Prüflinge mit bestandener _x000a_Abschlussprüfung " dataDxfId="41" dataCellStyle="Standard 2"/>
    <tableColumn id="8" xr3:uid="{00000000-0010-0000-2100-000008000000}" name="Prüflinge mit bestandener _x000a_Meisterprüfung " dataDxfId="40" dataCellStyle="Standard 2"/>
  </tableColumns>
  <tableStyleInfo showFirstColumn="0" showLastColumn="0" showRowStripes="1" showColumnStripes="0"/>
  <extLst>
    <ext xmlns:x14="http://schemas.microsoft.com/office/spreadsheetml/2009/9/main" uri="{504A1905-F514-4f6f-8877-14C23A59335A}">
      <x14:table altText="B. Entwicklung der Ausbildungsberufe in der Landwirtschaft (2)" altTextSummary="Auszubildende am 31. Dezember. Zeitreihe beginnend mit dem Jahr 2001. Auszubildende der Berufe Revierjäger/-in, Forstwirt/-in (Waldfacharbeiter/-in), Werker/-in der Forstwirtschaft - Wald- und Landschaftspflege, Molkereifach-mann/-frau, Pflanzentechnologe/-technologin, Landwirtschaftlich-technische (r) Laborant/-in, Milchtechnologe/-technologin, Milchwirtschaftliche (r) Laborant/-in, Hauswirtschafter/-in und Ausbildungsberufe der Land- und Forstwirtschaft und Fischerei insgesamt"/>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2000000}" name="Auszubildende_neueAusbildunsverträge" displayName="Auszubildende_neueAusbildunsverträge" ref="A3:M20" totalsRowShown="0" headerRowDxfId="39" headerRowBorderDxfId="38">
  <autoFilter ref="A3:M20" xr:uid="{00000000-0009-0000-0100-00002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2200-000001000000}" name="Land" dataDxfId="37" dataCellStyle="Standard 2"/>
    <tableColumn id="2" xr3:uid="{00000000-0010-0000-2200-000002000000}" name="Insgesamt" dataDxfId="36"/>
    <tableColumn id="3" xr3:uid="{00000000-0010-0000-2200-000003000000}" name="darunter_x000a_ männlich" dataDxfId="35"/>
    <tableColumn id="4" xr3:uid="{00000000-0010-0000-2200-000004000000}" name="darunter _x000a_weiblich" dataDxfId="34"/>
    <tableColumn id="5" xr3:uid="{00000000-0010-0000-2200-000005000000}" name="davon ohne _x000a_Hauptschulabschluss _x000a_einschließlich Abgänger von Sonderschulen ohne Hauptschulabschluss." dataDxfId="33"/>
    <tableColumn id="6" xr3:uid="{00000000-0010-0000-2200-000006000000}" name="davon Hauptschul-_x000a_abschluss" dataDxfId="32"/>
    <tableColumn id="7" xr3:uid="{00000000-0010-0000-2200-000007000000}" name="davon Realschul- _x000a_oder gleichwertiger Abschluss" dataDxfId="31"/>
    <tableColumn id="8" xr3:uid="{00000000-0010-0000-2200-000008000000}" name=" davon Hochschul-, _x000a_Fachhochschulreife_x000a_ Allgemeine bzw. fachgebundene Fachhochschulreife." dataDxfId="30"/>
    <tableColumn id="9" xr3:uid="{00000000-0010-0000-2200-000009000000}" name="davon Schulischen _x000a_Berufsgrund_x000a_bildungsjahres" dataDxfId="29"/>
    <tableColumn id="10" xr3:uid="{00000000-0010-0000-2200-00000A000000}" name="davon _x000a_Berufsfachschule" dataDxfId="28"/>
    <tableColumn id="11" xr3:uid="{00000000-0010-0000-2200-00000B000000}" name="davon Berufs-_x000a_ vorbereitungs_x000a_jahres" dataDxfId="27"/>
    <tableColumn id="12" xr3:uid="{00000000-0010-0000-2200-00000C000000}" name="davon Sonstige" dataDxfId="26"/>
    <tableColumn id="13" xr3:uid="{00000000-0010-0000-2200-00000D000000}" name="davon _x000a_ ohne Angabe" dataDxfId="25"/>
  </tableColumns>
  <tableStyleInfo showFirstColumn="0" showLastColumn="0" showRowStripes="1" showColumnStripes="0"/>
  <extLst>
    <ext xmlns:x14="http://schemas.microsoft.com/office/spreadsheetml/2009/9/main" uri="{504A1905-F514-4f6f-8877-14C23A59335A}">
      <x14:table altText="C. Auszubildende 2020 mit neu abgeschlossenen Ausbildungsverträgen nach schulischer Vorbildung" altTextSummary="Auszubildende am 31.12.2021"/>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3000000}" name="VorzeitiggelösteAusbildunsverhältnisse" displayName="VorzeitiggelösteAusbildunsverhältnisse" ref="A2:I18" totalsRowShown="0" headerRowDxfId="24" tableBorderDxfId="23">
  <autoFilter ref="A2:I18" xr:uid="{00000000-0009-0000-0100-00002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2300-000001000000}" name="Ausbildungsberuf"/>
    <tableColumn id="2" xr3:uid="{00000000-0010-0000-2300-000002000000}" name="Fußnote"/>
    <tableColumn id="3" xr3:uid="{00000000-0010-0000-2300-000003000000}" name="insgesamt" dataDxfId="22"/>
    <tableColumn id="4" xr3:uid="{00000000-0010-0000-2300-000004000000}" name="männlich" dataDxfId="21"/>
    <tableColumn id="5" xr3:uid="{00000000-0010-0000-2300-000005000000}" name="weiblich" dataDxfId="20"/>
    <tableColumn id="6" xr3:uid="{00000000-0010-0000-2300-000006000000}" name="darunter im ersten_x000a_Ausbildungsjahr gelöst" dataDxfId="19"/>
    <tableColumn id="7" xr3:uid="{00000000-0010-0000-2300-000007000000}" name="darunter im zweiten_x000a_Ausbildungsjahr gelöst" dataDxfId="18"/>
    <tableColumn id="8" xr3:uid="{00000000-0010-0000-2300-000008000000}" name="darunter im dritten_x000a_Ausbildungsjahr gelöst" dataDxfId="17"/>
    <tableColumn id="9" xr3:uid="{00000000-0010-0000-2300-000009000000}" name="darunter in der _x000a_Probezeit gelöst" dataDxfId="16"/>
  </tableColumns>
  <tableStyleInfo showFirstColumn="0" showLastColumn="0" showRowStripes="1" showColumnStripes="0"/>
  <extLst>
    <ext xmlns:x14="http://schemas.microsoft.com/office/spreadsheetml/2009/9/main" uri="{504A1905-F514-4f6f-8877-14C23A59335A}">
      <x14:table altText="D. Vorzeitig gelöste Ausbildungsverhältnisse 2021 nach Ausbildungsberufen Deutschland insgesamt"/>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4000000}" name="AusländischeAuszubildende" displayName="AusländischeAuszubildende" ref="A2:D70" totalsRowShown="0" headerRowDxfId="15" tableBorderDxfId="14">
  <tableColumns count="4">
    <tableColumn id="1" xr3:uid="{00000000-0010-0000-2400-000001000000}" name="Ausländische Auszubildende am 31.12.2024"/>
    <tableColumn id="2" xr3:uid="{00000000-0010-0000-2400-000002000000}" name="zusammen"/>
    <tableColumn id="3" xr3:uid="{00000000-0010-0000-2400-000003000000}" name="männlich"/>
    <tableColumn id="4" xr3:uid="{00000000-0010-0000-2400-000004000000}" name="weiblich" dataDxfId="13"/>
  </tableColumns>
  <tableStyleInfo showFirstColumn="0" showLastColumn="0" showRowStripes="1" showColumnStripes="0"/>
  <extLst>
    <ext xmlns:x14="http://schemas.microsoft.com/office/spreadsheetml/2009/9/main" uri="{504A1905-F514-4f6f-8877-14C23A59335A}">
      <x14:table altText="E. Ausländische Auszubildende nach dem Land der Staatsangehörigkeit 2021 in Deutschland" altTextSummary="Ausländische Auszubildende am 31.12.2021"/>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Prüfungen_beruflicheFortbildung" displayName="Prüfungen_beruflicheFortbildung" ref="A2:J91" totalsRowShown="0" headerRowDxfId="12" headerRowBorderDxfId="11" tableBorderDxfId="10" headerRowCellStyle="Standard 2">
  <autoFilter ref="A2:J91" xr:uid="{00000000-0009-0000-0100-00002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2500-000001000000}" name="Land" dataDxfId="9" dataCellStyle="Standard 2"/>
    <tableColumn id="2" xr3:uid="{00000000-0010-0000-2500-000002000000}" name="Fortbildungsberuf Teilbereich" dataDxfId="8" dataCellStyle="Standard 2"/>
    <tableColumn id="3" xr3:uid="{00000000-0010-0000-2500-000003000000}" name="Teilnehmer an Fortbildungsprüfungen_x000a_ insgesamt" dataDxfId="7" dataCellStyle="Standard 2"/>
    <tableColumn id="4" xr3:uid="{00000000-0010-0000-2500-000004000000}" name="Teilnehmer an Fortbildungsprüfungen _x000a_darunter männlich" dataDxfId="6" dataCellStyle="Standard 2"/>
    <tableColumn id="5" xr3:uid="{00000000-0010-0000-2500-000005000000}" name="Teilnehmer an Fortbildungsprüfungen _x000a_darunter weiblich" dataDxfId="5" dataCellStyle="Standard 2"/>
    <tableColumn id="6" xr3:uid="{00000000-0010-0000-2500-000006000000}" name="darunter mit _x000a_bestandener Prüfung " dataDxfId="4" dataCellStyle="Standard 2"/>
    <tableColumn id="7" xr3:uid="{00000000-0010-0000-2500-000007000000}" name="  darunter Teilnehmer an  Wiederholungsprüfungen_x000a_ insgesamt" dataDxfId="3"/>
    <tableColumn id="8" xr3:uid="{00000000-0010-0000-2500-000008000000}" name="  darunter Teilnehmer an  Wiederholungsprüfungen_x000a_ männlich" dataDxfId="2"/>
    <tableColumn id="9" xr3:uid="{00000000-0010-0000-2500-000009000000}" name="  darunter Teilnehmer an  Wiederholungsprüfungen_x000a_ weiblich " dataDxfId="1"/>
    <tableColumn id="10" xr3:uid="{00000000-0010-0000-2500-00000A000000}" name="  darunter Teilnehmer an  Wiederholungsprüfungen _x000a_mit bestandener_x000a_Prüfung" dataDxfId="0"/>
  </tableColumns>
  <tableStyleInfo showFirstColumn="0" showLastColumn="0" showRowStripes="1" showColumnStripes="0"/>
  <extLst>
    <ext xmlns:x14="http://schemas.microsoft.com/office/spreadsheetml/2009/9/main" uri="{504A1905-F514-4f6f-8877-14C23A59335A}">
      <x14:table altText="F. Prüfungen in der beruflichen Fortbildung 2021 (§ 53 BBiG)"/>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FachkraftAgrarservice_TeilnehmerAbschlussprüfungen" displayName="FachkraftAgrarservice_TeilnehmerAbschlussprüfungen" ref="A23:G40" totalsRowShown="0" headerRowDxfId="405" dataDxfId="403" headerRowBorderDxfId="404" tableBorderDxfId="402" headerRowCellStyle="Standard 2">
  <autoFilter ref="A23:G40" xr:uid="{00000000-0009-0000-0100-000004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300-000001000000}" name="Land" dataDxfId="401" dataCellStyle="Standard 2"/>
    <tableColumn id="2" xr3:uid="{00000000-0010-0000-0300-000002000000}" name="insgesamt" dataDxfId="400"/>
    <tableColumn id="3" xr3:uid="{00000000-0010-0000-0300-000003000000}" name="männlich" dataDxfId="399"/>
    <tableColumn id="4" xr3:uid="{00000000-0010-0000-0300-000004000000}" name="weiblich" dataDxfId="398"/>
    <tableColumn id="5" xr3:uid="{00000000-0010-0000-0300-000005000000}" name="darunter mit bestandener _x000a_Prüfung_x000a_ insgesamt" dataDxfId="397"/>
    <tableColumn id="6" xr3:uid="{00000000-0010-0000-0300-000006000000}" name="darunter mit bestandener _x000a_Prüfung darunter männlich" dataDxfId="396"/>
    <tableColumn id="7" xr3:uid="{00000000-0010-0000-0300-000007000000}" name="darunter mit bestandener _x000a_Prüfung darunter weiblich" dataDxfId="395"/>
  </tableColumns>
  <tableStyleInfo showFirstColumn="0" showLastColumn="0" showRowStripes="1" showColumnStripes="0"/>
  <extLst>
    <ext xmlns:x14="http://schemas.microsoft.com/office/spreadsheetml/2009/9/main" uri="{504A1905-F514-4f6f-8877-14C23A59335A}">
      <x14:table altText="2b. Fachkraft Agrarservice" altTextSummary="Teilnehmer an Abschlussprüfungen"/>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Winzer_Auszubildende" displayName="Winzer_Auszubildende" ref="A4:J21" totalsRowShown="0" headerRowDxfId="394" headerRowBorderDxfId="393" tableBorderDxfId="392" headerRowCellStyle="Standard 2">
  <autoFilter ref="A4:J21"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400-000001000000}" name="Land" dataDxfId="391" dataCellStyle="Standard 2"/>
    <tableColumn id="2" xr3:uid="{00000000-0010-0000-0400-000002000000}" name="Fußnote" dataDxfId="390" dataCellStyle="Standard 2"/>
    <tableColumn id="3" xr3:uid="{00000000-0010-0000-0400-000003000000}" name="insgesamt" dataDxfId="389" dataCellStyle="Standard 2"/>
    <tableColumn id="4" xr3:uid="{00000000-0010-0000-0400-000004000000}" name="darunter männlich" dataDxfId="388" dataCellStyle="Standard 2"/>
    <tableColumn id="5" xr3:uid="{00000000-0010-0000-0400-000005000000}" name="darunter weiblich" dataDxfId="387" dataCellStyle="Standard 2"/>
    <tableColumn id="6" xr3:uid="{00000000-0010-0000-0400-000006000000}" name="darunter im _x000a_1. Ausbildungsjahr" dataDxfId="386" dataCellStyle="Standard 2"/>
    <tableColumn id="7" xr3:uid="{00000000-0010-0000-0400-000007000000}" name="darunter im _x000a_2. Ausbildungsjahr" dataDxfId="385" dataCellStyle="Standard 2"/>
    <tableColumn id="8" xr3:uid="{00000000-0010-0000-0400-000008000000}" name="darunter im _x000a_3. Ausbildungsjahr" dataDxfId="384" dataCellStyle="Standard 2"/>
    <tableColumn id="9" xr3:uid="{00000000-0010-0000-0400-000009000000}" name="Neu abgeschlossene _x000a_Ausbildungsverhältnisse_x000a_ im Berichtszeitraum" dataDxfId="383" dataCellStyle="Standard 2"/>
    <tableColumn id="10" xr3:uid="{00000000-0010-0000-0400-00000A000000}" name="Vorzeitig gelöste _x000a_Ausbildungsverhältnisse_x000a_ im Berichtszeitraum"/>
  </tableColumns>
  <tableStyleInfo showFirstColumn="0" showLastColumn="0" showRowStripes="1" showColumnStripes="0"/>
  <extLst>
    <ext xmlns:x14="http://schemas.microsoft.com/office/spreadsheetml/2009/9/main" uri="{504A1905-F514-4f6f-8877-14C23A59335A}">
      <x14:table altText="3a. Winzer/-in" altTextSummary="Auszubildende am 31.12.2021"/>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Winzer_TeilnehmerAbschlussprüfungen" displayName="Winzer_TeilnehmerAbschlussprüfungen" ref="A23:H40" totalsRowShown="0" headerRowDxfId="382" dataDxfId="380" headerRowBorderDxfId="381" tableBorderDxfId="379" headerRowCellStyle="Standard 2">
  <autoFilter ref="A23:H40"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500-000001000000}" name="Land" dataDxfId="378" dataCellStyle="Standard 2"/>
    <tableColumn id="2" xr3:uid="{00000000-0010-0000-0500-000002000000}" name="Fußnote" dataDxfId="377" dataCellStyle="Standard 2"/>
    <tableColumn id="3" xr3:uid="{00000000-0010-0000-0500-000003000000}" name="insgesamt" dataDxfId="376"/>
    <tableColumn id="4" xr3:uid="{00000000-0010-0000-0500-000004000000}" name="männlich" dataDxfId="375"/>
    <tableColumn id="5" xr3:uid="{00000000-0010-0000-0500-000005000000}" name="weiblich" dataDxfId="374"/>
    <tableColumn id="6" xr3:uid="{00000000-0010-0000-0500-000006000000}" name="darunter mit bestandener _x000a_Prüfung _x000a_insgesamt" dataDxfId="373"/>
    <tableColumn id="7" xr3:uid="{00000000-0010-0000-0500-000007000000}" name="darunter mit bestandener _x000a_Prüfung darunter männlich" dataDxfId="372"/>
    <tableColumn id="8" xr3:uid="{00000000-0010-0000-0500-000008000000}" name="darunter mit bestandener _x000a_Prüfung darunter weiblich" dataDxfId="371"/>
  </tableColumns>
  <tableStyleInfo showFirstColumn="0" showLastColumn="0" showRowStripes="1" showColumnStripes="0"/>
  <extLst>
    <ext xmlns:x14="http://schemas.microsoft.com/office/spreadsheetml/2009/9/main" uri="{504A1905-F514-4f6f-8877-14C23A59335A}">
      <x14:table altText="3b. Winzer/-in" altTextSummary="Teilnehmer an Abschlussprüfungen"/>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Landwirtschaftsfachwerker_Auszubildende" displayName="Landwirtschaftsfachwerker_Auszubildende" ref="A4:J21" totalsRowShown="0" headerRowDxfId="370" headerRowBorderDxfId="369" tableBorderDxfId="368" headerRowCellStyle="Standard 2">
  <autoFilter ref="A4:J21"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600-000001000000}" name="Land" dataDxfId="367" dataCellStyle="Standard 2"/>
    <tableColumn id="2" xr3:uid="{00000000-0010-0000-0600-000002000000}" name="Fußnote" dataDxfId="366" dataCellStyle="Standard 2"/>
    <tableColumn id="3" xr3:uid="{00000000-0010-0000-0600-000003000000}" name="insgesamt" dataDxfId="365"/>
    <tableColumn id="4" xr3:uid="{00000000-0010-0000-0600-000004000000}" name="darunter männlich" dataDxfId="364"/>
    <tableColumn id="5" xr3:uid="{00000000-0010-0000-0600-000005000000}" name="darunter weiblich" dataDxfId="363"/>
    <tableColumn id="6" xr3:uid="{00000000-0010-0000-0600-000006000000}" name="darunter im _x000a_1. Ausbildungsjahr" dataDxfId="362"/>
    <tableColumn id="7" xr3:uid="{00000000-0010-0000-0600-000007000000}" name="darunter im _x000a_2. Ausbildungsjahr" dataDxfId="361"/>
    <tableColumn id="8" xr3:uid="{00000000-0010-0000-0600-000008000000}" name="darunter im _x000a_3. Ausbildungsjahr" dataDxfId="360"/>
    <tableColumn id="9" xr3:uid="{00000000-0010-0000-0600-000009000000}" name="Neu abgeschlossene _x000a_Ausbildungsverhältnisse_x000a_ im Berichtszeitraum"/>
    <tableColumn id="10" xr3:uid="{00000000-0010-0000-0600-00000A000000}" name="Vorzeitig gelöste _x000a_Ausbildungsverhältnisse_x000a_ im Berichtszeitraum" dataDxfId="359"/>
  </tableColumns>
  <tableStyleInfo showFirstColumn="0" showLastColumn="0" showRowStripes="1" showColumnStripes="0"/>
  <extLst>
    <ext xmlns:x14="http://schemas.microsoft.com/office/spreadsheetml/2009/9/main" uri="{504A1905-F514-4f6f-8877-14C23A59335A}">
      <x14:table altText="4a. Landwirtschaftsfachwerker/-in" altTextSummary="Auszubildende am 31.12.2021"/>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Landwirtschaftsfachwerker_TeilnehmerAbschlussprüfung" displayName="Landwirtschaftsfachwerker_TeilnehmerAbschlussprüfung" ref="A23:H40" totalsRowShown="0" headerRowDxfId="358" dataDxfId="356" headerRowBorderDxfId="357" tableBorderDxfId="355" headerRowCellStyle="Standard 2">
  <autoFilter ref="A23:H40"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700-000001000000}" name="Land" dataDxfId="354" dataCellStyle="Standard 2"/>
    <tableColumn id="2" xr3:uid="{00000000-0010-0000-0700-000002000000}" name="Fußnote" dataDxfId="353" dataCellStyle="Standard 2"/>
    <tableColumn id="3" xr3:uid="{00000000-0010-0000-0700-000003000000}" name="insgesamt" dataDxfId="352"/>
    <tableColumn id="4" xr3:uid="{00000000-0010-0000-0700-000004000000}" name="männlich" dataDxfId="351"/>
    <tableColumn id="5" xr3:uid="{00000000-0010-0000-0700-000005000000}" name="weiblich" dataDxfId="350"/>
    <tableColumn id="6" xr3:uid="{00000000-0010-0000-0700-000006000000}" name="darunter mit bestandener _x000a_Prüfung _x000a_insgesamt" dataDxfId="349"/>
    <tableColumn id="7" xr3:uid="{00000000-0010-0000-0700-000007000000}" name="darunter mit bestandener _x000a_Prüfung darunter männlich" dataDxfId="348"/>
    <tableColumn id="8" xr3:uid="{00000000-0010-0000-0700-000008000000}" name="darunter mit bestandener _x000a_Prüfung darunter weiblich" dataDxfId="347"/>
  </tableColumns>
  <tableStyleInfo showFirstColumn="0" showLastColumn="0" showRowStripes="1" showColumnStripes="0"/>
  <extLst>
    <ext xmlns:x14="http://schemas.microsoft.com/office/spreadsheetml/2009/9/main" uri="{504A1905-F514-4f6f-8877-14C23A59335A}">
      <x14:table altText="4b. Landwirtschaftsfachwerker/-in" altTextSummary="Teilnehmer an Abschlussprüfungen"/>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ierwirt_Auszubildende" displayName="Tierwirt_Auszubildende" ref="A4:K106" totalsRowShown="0" headerRowDxfId="346" headerRowBorderDxfId="345" tableBorderDxfId="344" headerRowCellStyle="Standard 2">
  <tableColumns count="11">
    <tableColumn id="1" xr3:uid="{00000000-0010-0000-0800-000001000000}" name="Land" dataDxfId="343" dataCellStyle="Standard 2"/>
    <tableColumn id="2" xr3:uid="{00000000-0010-0000-0800-000002000000}" name="Ausbildungsberuf _x000a_Schwerpunkt" dataDxfId="342"/>
    <tableColumn id="3" xr3:uid="{00000000-0010-0000-0800-000003000000}" name="Fußnote" dataDxfId="341"/>
    <tableColumn id="4" xr3:uid="{00000000-0010-0000-0800-000004000000}" name="insgesamt" dataDxfId="340" dataCellStyle="Standard 5"/>
    <tableColumn id="5" xr3:uid="{00000000-0010-0000-0800-000005000000}" name="darunter männlich" dataDxfId="339" dataCellStyle="Standard 5"/>
    <tableColumn id="6" xr3:uid="{00000000-0010-0000-0800-000006000000}" name="darunter weiblich" dataDxfId="338" dataCellStyle="Standard 5"/>
    <tableColumn id="7" xr3:uid="{00000000-0010-0000-0800-000007000000}" name="darunter im _x000a_1. Ausbildungsjahr" dataDxfId="337" dataCellStyle="Standard 5"/>
    <tableColumn id="8" xr3:uid="{00000000-0010-0000-0800-000008000000}" name="darunter im _x000a_2. Ausbildungsjahr" dataDxfId="336" dataCellStyle="Standard 5"/>
    <tableColumn id="9" xr3:uid="{00000000-0010-0000-0800-000009000000}" name="darunter im _x000a_3. Ausbildungsjahr" dataDxfId="335" dataCellStyle="Standard 5"/>
    <tableColumn id="10" xr3:uid="{00000000-0010-0000-0800-00000A000000}" name="Neu abgeschlossene _x000a_Ausbildungsverhältnisse_x000a_ im Berichtszeitraum" dataDxfId="334"/>
    <tableColumn id="11" xr3:uid="{00000000-0010-0000-0800-00000B000000}" name="Vorzeitig gelöste _x000a_Ausbildungsverhältnisse_x000a_ im Berichtszeitraum" dataDxfId="333"/>
  </tableColumns>
  <tableStyleInfo showFirstColumn="0" showLastColumn="0" showRowStripes="1" showColumnStripes="0"/>
  <extLst>
    <ext xmlns:x14="http://schemas.microsoft.com/office/spreadsheetml/2009/9/main" uri="{504A1905-F514-4f6f-8877-14C23A59335A}">
      <x14:table altText="5a. Tierwirt/-in" altTextSummary="Auszubildende am 31.12.2021"/>
    </ext>
  </extLst>
</table>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table" Target="../tables/table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table" Target="../tables/table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table" Target="../tables/table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table" Target="../tables/table2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table" Target="../tables/table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table" Target="../tables/table2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table" Target="../tables/table3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C39"/>
  <sheetViews>
    <sheetView tabSelected="1" zoomScaleNormal="100" zoomScaleSheetLayoutView="100" workbookViewId="0"/>
  </sheetViews>
  <sheetFormatPr baseColWidth="10" defaultColWidth="105.42578125" defaultRowHeight="16.5"/>
  <cols>
    <col min="1" max="1" width="113.5703125" style="1391" customWidth="1"/>
    <col min="2" max="16384" width="105.42578125" style="1391"/>
  </cols>
  <sheetData>
    <row r="1" spans="1:3" ht="86.25" customHeight="1">
      <c r="A1" s="1391" t="s">
        <v>40</v>
      </c>
    </row>
    <row r="2" spans="1:3" ht="24.75" customHeight="1">
      <c r="A2" s="1430" t="s">
        <v>119</v>
      </c>
      <c r="B2" s="1426"/>
    </row>
    <row r="3" spans="1:3" ht="20.100000000000001" customHeight="1">
      <c r="A3" s="1914" t="s">
        <v>558</v>
      </c>
    </row>
    <row r="4" spans="1:3" ht="19.5" customHeight="1">
      <c r="A4" s="1431" t="s">
        <v>214</v>
      </c>
    </row>
    <row r="5" spans="1:3" ht="19.5" customHeight="1">
      <c r="A5" s="1948" t="s">
        <v>586</v>
      </c>
      <c r="B5" s="1427"/>
      <c r="C5" s="1428"/>
    </row>
    <row r="6" spans="1:3" ht="17.25">
      <c r="A6" s="1429" t="s">
        <v>151</v>
      </c>
    </row>
    <row r="7" spans="1:3">
      <c r="A7" s="1425" t="s">
        <v>424</v>
      </c>
    </row>
    <row r="8" spans="1:3">
      <c r="A8" s="1764" t="s">
        <v>42</v>
      </c>
    </row>
    <row r="9" spans="1:3">
      <c r="A9" s="1765" t="s">
        <v>197</v>
      </c>
    </row>
    <row r="10" spans="1:3">
      <c r="A10" s="1764" t="s">
        <v>153</v>
      </c>
    </row>
    <row r="11" spans="1:3">
      <c r="A11" s="1764" t="s">
        <v>154</v>
      </c>
    </row>
    <row r="12" spans="1:3">
      <c r="A12" s="1764" t="s">
        <v>155</v>
      </c>
    </row>
    <row r="13" spans="1:3">
      <c r="A13" s="1764" t="s">
        <v>430</v>
      </c>
    </row>
    <row r="14" spans="1:3">
      <c r="A14" s="1764" t="s">
        <v>549</v>
      </c>
    </row>
    <row r="15" spans="1:3">
      <c r="A15" s="1764" t="s">
        <v>548</v>
      </c>
    </row>
    <row r="16" spans="1:3">
      <c r="A16" s="1764" t="s">
        <v>157</v>
      </c>
    </row>
    <row r="17" spans="1:1">
      <c r="A17" s="1764" t="s">
        <v>431</v>
      </c>
    </row>
    <row r="18" spans="1:1">
      <c r="A18" s="1764" t="s">
        <v>159</v>
      </c>
    </row>
    <row r="19" spans="1:1">
      <c r="A19" s="1764" t="s">
        <v>432</v>
      </c>
    </row>
    <row r="20" spans="1:1">
      <c r="A20" s="1764" t="s">
        <v>405</v>
      </c>
    </row>
    <row r="21" spans="1:1">
      <c r="A21" s="1764" t="s">
        <v>198</v>
      </c>
    </row>
    <row r="22" spans="1:1">
      <c r="A22" s="1765" t="s">
        <v>433</v>
      </c>
    </row>
    <row r="23" spans="1:1">
      <c r="A23" s="1764" t="s">
        <v>434</v>
      </c>
    </row>
    <row r="24" spans="1:1">
      <c r="A24" s="1766" t="s">
        <v>550</v>
      </c>
    </row>
    <row r="25" spans="1:1">
      <c r="A25" s="1766" t="s">
        <v>425</v>
      </c>
    </row>
    <row r="26" spans="1:1">
      <c r="A26" s="1766" t="s">
        <v>426</v>
      </c>
    </row>
    <row r="27" spans="1:1">
      <c r="A27" s="1766" t="s">
        <v>427</v>
      </c>
    </row>
    <row r="28" spans="1:1">
      <c r="A28" s="1766" t="s">
        <v>541</v>
      </c>
    </row>
    <row r="29" spans="1:1" ht="34.5" customHeight="1">
      <c r="A29" s="1432" t="s">
        <v>428</v>
      </c>
    </row>
    <row r="30" spans="1:1" ht="74.25" customHeight="1">
      <c r="A30" s="1433" t="s">
        <v>435</v>
      </c>
    </row>
    <row r="31" spans="1:1" ht="108" customHeight="1">
      <c r="A31" s="1433" t="s">
        <v>429</v>
      </c>
    </row>
    <row r="32" spans="1:1" ht="17.25">
      <c r="A32" s="1431" t="s">
        <v>95</v>
      </c>
    </row>
    <row r="33" spans="1:1" ht="17.25">
      <c r="A33" s="1431" t="s">
        <v>96</v>
      </c>
    </row>
    <row r="34" spans="1:1" ht="17.25">
      <c r="A34" s="1431" t="s">
        <v>97</v>
      </c>
    </row>
    <row r="35" spans="1:1" ht="17.25">
      <c r="A35" s="1431" t="s">
        <v>542</v>
      </c>
    </row>
    <row r="36" spans="1:1" ht="17.25">
      <c r="A36" s="1431" t="s">
        <v>587</v>
      </c>
    </row>
    <row r="37" spans="1:1" ht="88.5" customHeight="1">
      <c r="A37" s="1433" t="s">
        <v>436</v>
      </c>
    </row>
    <row r="38" spans="1:1" ht="17.25">
      <c r="A38" s="1431" t="s">
        <v>551</v>
      </c>
    </row>
    <row r="39" spans="1:1" ht="17.25">
      <c r="A39" s="1431"/>
    </row>
  </sheetData>
  <hyperlinks>
    <hyperlink ref="A8" location="'24-A. Landwirt'!A1" display="1. Landwirt/-in" xr:uid="{00000000-0004-0000-0000-000000000000}"/>
    <hyperlink ref="A9" location="'24-A. Fachkraft Agrarservice '!A1" display="2. Fachkraft Agrarservice" xr:uid="{00000000-0004-0000-0000-000001000000}"/>
    <hyperlink ref="A10" location="'24- A. Winzer'!A1" display="3. Winzer/-in" xr:uid="{00000000-0004-0000-0000-000002000000}"/>
    <hyperlink ref="A11" location="'24-A. LW-Fachwerker '!A1" display="4. Landwirtschaftsfachwerker/-in" xr:uid="{00000000-0004-0000-0000-000003000000}"/>
    <hyperlink ref="A12" location="'24-A. Tierwirt'!A1" display="5. Tierwirt/-in" xr:uid="{00000000-0004-0000-0000-000004000000}"/>
    <hyperlink ref="A13" location="'24-A. Fischwirt'!A1" display="6. Fischwirt/-in" xr:uid="{00000000-0004-0000-0000-000005000000}"/>
    <hyperlink ref="A14" location="'24-A. Pferdewirt Monoberuf'!A1" display="7a. Pferdewirt/-in Monoberuf" xr:uid="{00000000-0004-0000-0000-000006000000}"/>
    <hyperlink ref="A16" location="'24-1A. Gärtner'!A1" display="8. Gärtner/-in" xr:uid="{00000000-0004-0000-0000-000007000000}"/>
    <hyperlink ref="A17" location="'24-A. Gaba - Fachwerker'!A1" display="9. Gartenbaufachwerker/-in" xr:uid="{00000000-0004-0000-0000-000008000000}"/>
    <hyperlink ref="A18" location="'24-A. Revierjäger'!A1" display="10. Revierjäger/-in" xr:uid="{00000000-0004-0000-0000-000009000000}"/>
    <hyperlink ref="A19" location="'24-A. Forstwirt '!A1" display="11. Forstwirt/-in" xr:uid="{00000000-0004-0000-0000-00000A000000}"/>
    <hyperlink ref="A20" location="'24-A. Pflanzentechnologe'!A1" display="12. Pflanzentechnologe/-technologin" xr:uid="{00000000-0004-0000-0000-00000B000000}"/>
    <hyperlink ref="A21" location="'24-A. Milchtechnologe'!A1" display="13. Milchtechnologe/-technologin" xr:uid="{00000000-0004-0000-0000-00000C000000}"/>
    <hyperlink ref="A23" location="'24-A. Hauswirtschaft'!A1" display="15. Hauswirtschafter/-in" xr:uid="{00000000-0004-0000-0000-00000D000000}"/>
    <hyperlink ref="A24" location="'24-1B. Entwicklung'!A1" display="B. Entwicklung der Ausbildungsberufe" xr:uid="{00000000-0004-0000-0000-00000E000000}"/>
    <hyperlink ref="A25" location="'24-C. Verträge nach Vorbild '!A1" display="C. Auszubildende mit neu abgeschlossenen Ausbildungsverträgen nach schulischer Vorbildung" xr:uid="{00000000-0004-0000-0000-00000F000000}"/>
    <hyperlink ref="A26" location="'24-D. Vorz.gel.AVe'!A1" display="D. Vorzeitig gelöste Ausbildungsverhältnisse nach Ausbildungsjahren und Ausbildungsberufen" xr:uid="{00000000-0004-0000-0000-000010000000}"/>
    <hyperlink ref="A27" location="'24-E. Ausl. Auszubildende'!A1" display="E. Ausländische Auszubildende nach Staatsangehörigkeit" xr:uid="{00000000-0004-0000-0000-000011000000}"/>
    <hyperlink ref="A28" location="'24-F. Prüf.i.d.berufl. Fort'!A1" display="F. Prüfungen in der beruflichen Fortbildung 2023 (§ 53 BBiG)" xr:uid="{00000000-0004-0000-0000-000012000000}"/>
    <hyperlink ref="A22" location="'24-A. Milchw. Laborant '!A1" display="14. Milchwirtschaftliche(r)  Laborant/-in" xr:uid="{00000000-0004-0000-0000-000013000000}"/>
    <hyperlink ref="A15" location="'24-A. Pferdewirt 2'!A1" display="7b. Pferdewirte/-in Fachrichtung: Klassische Reitausbildung, Pferdehaltung u. Service, Pferderennen, Pferdezucht, Spezialreitweisen." xr:uid="{00000000-0004-0000-0000-000014000000}"/>
  </hyperlinks>
  <printOptions horizontalCentered="1" verticalCentered="1"/>
  <pageMargins left="0.39370078740157483" right="0.39370078740157483" top="0.39370078740157483" bottom="0.35433070866141736" header="0.35433070866141736" footer="0.15748031496062992"/>
  <pageSetup paperSize="9" scale="93" fitToHeight="2" orientation="landscape" horizontalDpi="300" verticalDpi="300" r:id="rId1"/>
  <headerFooter alignWithMargins="0">
    <oddHeader xml:space="preserve">&amp;R
</oddHeader>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K354"/>
  <sheetViews>
    <sheetView topLeftCell="B1" zoomScaleNormal="100" zoomScaleSheetLayoutView="100" workbookViewId="0">
      <selection activeCell="B1" sqref="B1"/>
    </sheetView>
  </sheetViews>
  <sheetFormatPr baseColWidth="10" defaultColWidth="11.42578125" defaultRowHeight="16.5"/>
  <cols>
    <col min="1" max="1" width="19.85546875" style="1575" customWidth="1"/>
    <col min="2" max="2" width="16.5703125" style="1575" customWidth="1"/>
    <col min="3" max="3" width="8.42578125" style="1575" customWidth="1"/>
    <col min="4" max="4" width="9.42578125" style="1571" customWidth="1"/>
    <col min="5" max="5" width="14.5703125" style="1571" customWidth="1"/>
    <col min="6" max="6" width="14" style="1571" customWidth="1"/>
    <col min="7" max="9" width="13.42578125" style="1571" customWidth="1"/>
    <col min="10" max="10" width="17.140625" style="1571" customWidth="1"/>
    <col min="11" max="11" width="18.5703125" style="1571" customWidth="1"/>
    <col min="12" max="16384" width="11.42578125" style="1398"/>
  </cols>
  <sheetData>
    <row r="1" spans="1:11" ht="18">
      <c r="A1" s="1599" t="s">
        <v>424</v>
      </c>
      <c r="B1" s="1423"/>
      <c r="C1" s="1423"/>
      <c r="D1" s="1423"/>
      <c r="E1" s="1423"/>
      <c r="F1" s="1423"/>
      <c r="G1" s="1423"/>
      <c r="H1" s="1423"/>
      <c r="I1" s="1423"/>
      <c r="J1" s="1423"/>
      <c r="K1" s="1423"/>
    </row>
    <row r="2" spans="1:11" ht="18">
      <c r="A2" s="1600" t="s">
        <v>155</v>
      </c>
      <c r="B2" s="1423"/>
      <c r="C2" s="1423"/>
      <c r="D2" s="1423"/>
      <c r="E2" s="1423"/>
      <c r="F2" s="1423"/>
      <c r="G2" s="1423"/>
      <c r="H2" s="1423"/>
      <c r="I2" s="1423"/>
      <c r="J2" s="1423"/>
      <c r="K2" s="1423"/>
    </row>
    <row r="3" spans="1:11" ht="18">
      <c r="A3" s="1600" t="s">
        <v>559</v>
      </c>
      <c r="B3" s="1424"/>
      <c r="C3" s="1424"/>
      <c r="D3" s="1423"/>
      <c r="E3" s="1423"/>
      <c r="F3" s="1423"/>
      <c r="G3" s="1423"/>
      <c r="H3" s="1423"/>
      <c r="I3" s="1423"/>
      <c r="J3" s="1423"/>
      <c r="K3" s="1423"/>
    </row>
    <row r="4" spans="1:11" ht="66">
      <c r="A4" s="1821" t="s">
        <v>43</v>
      </c>
      <c r="B4" s="1822" t="s">
        <v>465</v>
      </c>
      <c r="C4" s="1822" t="s">
        <v>475</v>
      </c>
      <c r="D4" s="1823" t="s">
        <v>94</v>
      </c>
      <c r="E4" s="1824" t="s">
        <v>416</v>
      </c>
      <c r="F4" s="1821" t="s">
        <v>417</v>
      </c>
      <c r="G4" s="1786" t="s">
        <v>419</v>
      </c>
      <c r="H4" s="1786" t="s">
        <v>420</v>
      </c>
      <c r="I4" s="1786" t="s">
        <v>421</v>
      </c>
      <c r="J4" s="1786" t="s">
        <v>414</v>
      </c>
      <c r="K4" s="1419" t="s">
        <v>415</v>
      </c>
    </row>
    <row r="5" spans="1:11">
      <c r="A5" s="1434" t="s">
        <v>437</v>
      </c>
      <c r="B5" s="1611" t="s">
        <v>303</v>
      </c>
      <c r="C5" s="1633"/>
      <c r="D5" s="1612">
        <f>SUM(D6:D10)</f>
        <v>15</v>
      </c>
      <c r="E5" s="1613">
        <f t="shared" ref="E5:K5" si="0">SUM(E6:E10)</f>
        <v>6</v>
      </c>
      <c r="F5" s="1614">
        <f t="shared" si="0"/>
        <v>9</v>
      </c>
      <c r="G5" s="1612">
        <f t="shared" si="0"/>
        <v>3</v>
      </c>
      <c r="H5" s="1613">
        <f t="shared" si="0"/>
        <v>12</v>
      </c>
      <c r="I5" s="1614">
        <f t="shared" si="0"/>
        <v>0</v>
      </c>
      <c r="J5" s="1614">
        <f t="shared" si="0"/>
        <v>6</v>
      </c>
      <c r="K5" s="1614">
        <f t="shared" si="0"/>
        <v>0</v>
      </c>
    </row>
    <row r="6" spans="1:11">
      <c r="A6" s="1711" t="s">
        <v>437</v>
      </c>
      <c r="B6" s="1616" t="s">
        <v>98</v>
      </c>
      <c r="C6" s="1634"/>
      <c r="D6" s="1617">
        <v>6</v>
      </c>
      <c r="E6" s="1572">
        <v>0</v>
      </c>
      <c r="F6" s="1618">
        <v>6</v>
      </c>
      <c r="G6" s="1624">
        <v>3</v>
      </c>
      <c r="H6" s="1572">
        <v>3</v>
      </c>
      <c r="I6" s="1618">
        <v>0</v>
      </c>
      <c r="J6" s="1805">
        <v>3</v>
      </c>
      <c r="K6" s="1618">
        <v>0</v>
      </c>
    </row>
    <row r="7" spans="1:11">
      <c r="A7" s="1711" t="s">
        <v>437</v>
      </c>
      <c r="B7" s="1619" t="s">
        <v>99</v>
      </c>
      <c r="C7" s="1635"/>
      <c r="D7" s="1617">
        <v>0</v>
      </c>
      <c r="E7" s="1572">
        <v>0</v>
      </c>
      <c r="F7" s="1618">
        <v>0</v>
      </c>
      <c r="G7" s="1572">
        <v>0</v>
      </c>
      <c r="H7" s="1572">
        <v>0</v>
      </c>
      <c r="I7" s="1618">
        <v>0</v>
      </c>
      <c r="J7" s="1618">
        <v>0</v>
      </c>
      <c r="K7" s="1618">
        <v>0</v>
      </c>
    </row>
    <row r="8" spans="1:11">
      <c r="A8" s="1711" t="s">
        <v>437</v>
      </c>
      <c r="B8" s="1616" t="s">
        <v>100</v>
      </c>
      <c r="C8" s="1634"/>
      <c r="D8" s="1617">
        <v>9</v>
      </c>
      <c r="E8" s="1572">
        <v>6</v>
      </c>
      <c r="F8" s="1618">
        <v>3</v>
      </c>
      <c r="G8" s="1572">
        <v>0</v>
      </c>
      <c r="H8" s="1572">
        <v>9</v>
      </c>
      <c r="I8" s="1618">
        <v>0</v>
      </c>
      <c r="J8" s="1805">
        <v>3</v>
      </c>
      <c r="K8" s="1618">
        <v>0</v>
      </c>
    </row>
    <row r="9" spans="1:11">
      <c r="A9" s="1711" t="s">
        <v>437</v>
      </c>
      <c r="B9" s="1616" t="s">
        <v>101</v>
      </c>
      <c r="C9" s="1634"/>
      <c r="D9" s="1617">
        <v>0</v>
      </c>
      <c r="E9" s="1572">
        <v>0</v>
      </c>
      <c r="F9" s="1618">
        <v>0</v>
      </c>
      <c r="G9" s="1572">
        <v>0</v>
      </c>
      <c r="H9" s="1572">
        <v>0</v>
      </c>
      <c r="I9" s="1618">
        <v>0</v>
      </c>
      <c r="J9" s="1805">
        <v>0</v>
      </c>
      <c r="K9" s="1618">
        <v>0</v>
      </c>
    </row>
    <row r="10" spans="1:11">
      <c r="A10" s="1711" t="s">
        <v>437</v>
      </c>
      <c r="B10" s="1620" t="s">
        <v>102</v>
      </c>
      <c r="C10" s="1636"/>
      <c r="D10" s="1621">
        <v>0</v>
      </c>
      <c r="E10" s="1622">
        <v>0</v>
      </c>
      <c r="F10" s="1623">
        <v>0</v>
      </c>
      <c r="G10" s="1622">
        <v>0</v>
      </c>
      <c r="H10" s="1622">
        <v>0</v>
      </c>
      <c r="I10" s="1623">
        <v>0</v>
      </c>
      <c r="J10" s="1828">
        <v>0</v>
      </c>
      <c r="K10" s="1623">
        <v>0</v>
      </c>
    </row>
    <row r="11" spans="1:11">
      <c r="A11" s="1434" t="s">
        <v>438</v>
      </c>
      <c r="B11" s="1611" t="s">
        <v>303</v>
      </c>
      <c r="C11" s="1633"/>
      <c r="D11" s="1612">
        <f>SUM(D12:D16)</f>
        <v>0</v>
      </c>
      <c r="E11" s="1613">
        <f t="shared" ref="E11:K11" si="1">SUM(E12:E16)</f>
        <v>0</v>
      </c>
      <c r="F11" s="1614">
        <f t="shared" si="1"/>
        <v>0</v>
      </c>
      <c r="G11" s="1612">
        <f t="shared" si="1"/>
        <v>0</v>
      </c>
      <c r="H11" s="1613">
        <f t="shared" si="1"/>
        <v>0</v>
      </c>
      <c r="I11" s="1614">
        <f t="shared" si="1"/>
        <v>0</v>
      </c>
      <c r="J11" s="1614">
        <f t="shared" si="1"/>
        <v>0</v>
      </c>
      <c r="K11" s="1615">
        <f t="shared" si="1"/>
        <v>0</v>
      </c>
    </row>
    <row r="12" spans="1:11">
      <c r="A12" s="1711" t="s">
        <v>438</v>
      </c>
      <c r="B12" s="1616" t="s">
        <v>98</v>
      </c>
      <c r="C12" s="1634"/>
      <c r="D12" s="1617">
        <v>0</v>
      </c>
      <c r="E12" s="1572">
        <v>0</v>
      </c>
      <c r="F12" s="1618">
        <v>0</v>
      </c>
      <c r="G12" s="1624">
        <v>0</v>
      </c>
      <c r="H12" s="1572">
        <v>0</v>
      </c>
      <c r="I12" s="1618">
        <v>0</v>
      </c>
      <c r="J12" s="1625">
        <v>0</v>
      </c>
      <c r="K12" s="1918">
        <v>0</v>
      </c>
    </row>
    <row r="13" spans="1:11">
      <c r="A13" s="1711" t="s">
        <v>438</v>
      </c>
      <c r="B13" s="1616" t="s">
        <v>99</v>
      </c>
      <c r="C13" s="1634"/>
      <c r="D13" s="1617">
        <v>0</v>
      </c>
      <c r="E13" s="1572">
        <v>0</v>
      </c>
      <c r="F13" s="1618">
        <v>0</v>
      </c>
      <c r="G13" s="1572">
        <v>0</v>
      </c>
      <c r="H13" s="1572">
        <v>0</v>
      </c>
      <c r="I13" s="1618">
        <v>0</v>
      </c>
      <c r="J13" s="1625">
        <v>0</v>
      </c>
      <c r="K13" s="1918">
        <v>0</v>
      </c>
    </row>
    <row r="14" spans="1:11">
      <c r="A14" s="1711" t="s">
        <v>438</v>
      </c>
      <c r="B14" s="1616" t="s">
        <v>100</v>
      </c>
      <c r="C14" s="1634"/>
      <c r="D14" s="1617">
        <v>0</v>
      </c>
      <c r="E14" s="1572">
        <v>0</v>
      </c>
      <c r="F14" s="1618">
        <v>0</v>
      </c>
      <c r="G14" s="1572">
        <v>0</v>
      </c>
      <c r="H14" s="1572">
        <v>0</v>
      </c>
      <c r="I14" s="1618">
        <v>0</v>
      </c>
      <c r="J14" s="1625">
        <v>0</v>
      </c>
      <c r="K14" s="1918">
        <v>0</v>
      </c>
    </row>
    <row r="15" spans="1:11">
      <c r="A15" s="1711" t="s">
        <v>438</v>
      </c>
      <c r="B15" s="1626" t="s">
        <v>101</v>
      </c>
      <c r="C15" s="1637"/>
      <c r="D15" s="1617">
        <v>0</v>
      </c>
      <c r="E15" s="1572">
        <v>0</v>
      </c>
      <c r="F15" s="1618">
        <v>0</v>
      </c>
      <c r="G15" s="1572">
        <v>0</v>
      </c>
      <c r="H15" s="1572">
        <v>0</v>
      </c>
      <c r="I15" s="1618">
        <v>0</v>
      </c>
      <c r="J15" s="1625">
        <v>0</v>
      </c>
      <c r="K15" s="1918">
        <v>0</v>
      </c>
    </row>
    <row r="16" spans="1:11">
      <c r="A16" s="1711" t="s">
        <v>438</v>
      </c>
      <c r="B16" s="1627" t="s">
        <v>102</v>
      </c>
      <c r="C16" s="1638"/>
      <c r="D16" s="1621">
        <v>0</v>
      </c>
      <c r="E16" s="1622">
        <v>0</v>
      </c>
      <c r="F16" s="1623">
        <v>0</v>
      </c>
      <c r="G16" s="1622">
        <v>0</v>
      </c>
      <c r="H16" s="1622">
        <v>0</v>
      </c>
      <c r="I16" s="1623">
        <v>0</v>
      </c>
      <c r="J16" s="1628">
        <v>0</v>
      </c>
      <c r="K16" s="1919">
        <v>0</v>
      </c>
    </row>
    <row r="17" spans="1:11">
      <c r="A17" s="1434" t="s">
        <v>439</v>
      </c>
      <c r="B17" s="1611" t="s">
        <v>303</v>
      </c>
      <c r="C17" s="1633"/>
      <c r="D17" s="1612">
        <f>SUM(D18:D22)</f>
        <v>27</v>
      </c>
      <c r="E17" s="1613">
        <f t="shared" ref="E17:K17" si="2">SUM(E18:E22)</f>
        <v>9</v>
      </c>
      <c r="F17" s="1614">
        <f t="shared" si="2"/>
        <v>15</v>
      </c>
      <c r="G17" s="1612">
        <f t="shared" si="2"/>
        <v>3</v>
      </c>
      <c r="H17" s="1613">
        <f t="shared" si="2"/>
        <v>9</v>
      </c>
      <c r="I17" s="1614">
        <f t="shared" si="2"/>
        <v>9</v>
      </c>
      <c r="J17" s="1614">
        <f t="shared" si="2"/>
        <v>9</v>
      </c>
      <c r="K17" s="1615">
        <f t="shared" si="2"/>
        <v>12</v>
      </c>
    </row>
    <row r="18" spans="1:11">
      <c r="A18" s="1711" t="s">
        <v>439</v>
      </c>
      <c r="B18" s="1626" t="s">
        <v>98</v>
      </c>
      <c r="C18" s="1637"/>
      <c r="D18" s="1617">
        <v>3</v>
      </c>
      <c r="E18" s="1572">
        <v>0</v>
      </c>
      <c r="F18" s="1618">
        <v>3</v>
      </c>
      <c r="G18" s="1624">
        <v>0</v>
      </c>
      <c r="H18" s="1572">
        <v>0</v>
      </c>
      <c r="I18" s="1618">
        <v>0</v>
      </c>
      <c r="J18" s="1618">
        <v>0</v>
      </c>
      <c r="K18" s="1618">
        <v>0</v>
      </c>
    </row>
    <row r="19" spans="1:11">
      <c r="A19" s="1711" t="s">
        <v>439</v>
      </c>
      <c r="B19" s="1616" t="s">
        <v>99</v>
      </c>
      <c r="C19" s="1634"/>
      <c r="D19" s="1617">
        <v>3</v>
      </c>
      <c r="E19" s="1572">
        <v>3</v>
      </c>
      <c r="F19" s="1618">
        <v>0</v>
      </c>
      <c r="G19" s="1572">
        <v>0</v>
      </c>
      <c r="H19" s="1572">
        <v>3</v>
      </c>
      <c r="I19" s="1618">
        <v>0</v>
      </c>
      <c r="J19" s="1805">
        <v>3</v>
      </c>
      <c r="K19" s="1819">
        <v>3</v>
      </c>
    </row>
    <row r="20" spans="1:11">
      <c r="A20" s="1711" t="s">
        <v>439</v>
      </c>
      <c r="B20" s="1616" t="s">
        <v>100</v>
      </c>
      <c r="C20" s="1634"/>
      <c r="D20" s="1617">
        <v>6</v>
      </c>
      <c r="E20" s="1572">
        <v>0</v>
      </c>
      <c r="F20" s="1618">
        <v>6</v>
      </c>
      <c r="G20" s="1572">
        <v>0</v>
      </c>
      <c r="H20" s="1572">
        <v>3</v>
      </c>
      <c r="I20" s="1618">
        <v>3</v>
      </c>
      <c r="J20" s="1805">
        <v>3</v>
      </c>
      <c r="K20" s="1819">
        <v>3</v>
      </c>
    </row>
    <row r="21" spans="1:11">
      <c r="A21" s="1711" t="s">
        <v>439</v>
      </c>
      <c r="B21" s="1616" t="s">
        <v>101</v>
      </c>
      <c r="C21" s="1634"/>
      <c r="D21" s="1617">
        <v>6</v>
      </c>
      <c r="E21" s="1572">
        <v>3</v>
      </c>
      <c r="F21" s="1618">
        <v>3</v>
      </c>
      <c r="G21" s="1572">
        <v>3</v>
      </c>
      <c r="H21" s="1572">
        <v>0</v>
      </c>
      <c r="I21" s="1618">
        <v>3</v>
      </c>
      <c r="J21" s="1805">
        <v>3</v>
      </c>
      <c r="K21" s="1819">
        <v>6</v>
      </c>
    </row>
    <row r="22" spans="1:11">
      <c r="A22" s="1711" t="s">
        <v>439</v>
      </c>
      <c r="B22" s="1620" t="s">
        <v>102</v>
      </c>
      <c r="C22" s="1636"/>
      <c r="D22" s="1621">
        <v>9</v>
      </c>
      <c r="E22" s="1622">
        <v>3</v>
      </c>
      <c r="F22" s="1623">
        <v>3</v>
      </c>
      <c r="G22" s="1622">
        <v>0</v>
      </c>
      <c r="H22" s="1622">
        <v>3</v>
      </c>
      <c r="I22" s="1623">
        <v>3</v>
      </c>
      <c r="J22" s="1828">
        <v>0</v>
      </c>
      <c r="K22" s="1828">
        <v>0</v>
      </c>
    </row>
    <row r="23" spans="1:11">
      <c r="A23" s="1434" t="s">
        <v>440</v>
      </c>
      <c r="B23" s="1611" t="s">
        <v>303</v>
      </c>
      <c r="C23" s="1633"/>
      <c r="D23" s="1612">
        <f>SUM(D24:D28)</f>
        <v>0</v>
      </c>
      <c r="E23" s="1613">
        <f t="shared" ref="E23:K23" si="3">SUM(E24:E28)</f>
        <v>0</v>
      </c>
      <c r="F23" s="1614">
        <f t="shared" si="3"/>
        <v>0</v>
      </c>
      <c r="G23" s="1612">
        <f t="shared" si="3"/>
        <v>0</v>
      </c>
      <c r="H23" s="1613">
        <f t="shared" si="3"/>
        <v>0</v>
      </c>
      <c r="I23" s="1614">
        <f t="shared" si="3"/>
        <v>0</v>
      </c>
      <c r="J23" s="1614">
        <f t="shared" si="3"/>
        <v>0</v>
      </c>
      <c r="K23" s="1615">
        <f t="shared" si="3"/>
        <v>0</v>
      </c>
    </row>
    <row r="24" spans="1:11">
      <c r="A24" s="1711" t="s">
        <v>440</v>
      </c>
      <c r="B24" s="1616" t="s">
        <v>98</v>
      </c>
      <c r="C24" s="1634"/>
      <c r="D24" s="1617">
        <v>0</v>
      </c>
      <c r="E24" s="1572">
        <v>0</v>
      </c>
      <c r="F24" s="1618">
        <v>0</v>
      </c>
      <c r="G24" s="1624">
        <v>0</v>
      </c>
      <c r="H24" s="1572">
        <v>0</v>
      </c>
      <c r="I24" s="1618">
        <v>0</v>
      </c>
      <c r="J24" s="1625">
        <v>0</v>
      </c>
      <c r="K24" s="1918">
        <v>0</v>
      </c>
    </row>
    <row r="25" spans="1:11">
      <c r="A25" s="1711" t="s">
        <v>440</v>
      </c>
      <c r="B25" s="1616" t="s">
        <v>99</v>
      </c>
      <c r="C25" s="1634"/>
      <c r="D25" s="1617">
        <v>0</v>
      </c>
      <c r="E25" s="1572">
        <v>0</v>
      </c>
      <c r="F25" s="1618">
        <v>0</v>
      </c>
      <c r="G25" s="1572">
        <v>0</v>
      </c>
      <c r="H25" s="1572">
        <v>0</v>
      </c>
      <c r="I25" s="1618">
        <v>0</v>
      </c>
      <c r="J25" s="1625">
        <v>0</v>
      </c>
      <c r="K25" s="1918">
        <v>0</v>
      </c>
    </row>
    <row r="26" spans="1:11">
      <c r="A26" s="1711" t="s">
        <v>440</v>
      </c>
      <c r="B26" s="1616" t="s">
        <v>100</v>
      </c>
      <c r="C26" s="1634"/>
      <c r="D26" s="1617">
        <v>0</v>
      </c>
      <c r="E26" s="1572">
        <v>0</v>
      </c>
      <c r="F26" s="1618">
        <v>0</v>
      </c>
      <c r="G26" s="1624">
        <v>0</v>
      </c>
      <c r="H26" s="1572">
        <v>0</v>
      </c>
      <c r="I26" s="1618">
        <v>0</v>
      </c>
      <c r="J26" s="1625">
        <v>0</v>
      </c>
      <c r="K26" s="1918">
        <v>0</v>
      </c>
    </row>
    <row r="27" spans="1:11">
      <c r="A27" s="1711" t="s">
        <v>440</v>
      </c>
      <c r="B27" s="1616" t="s">
        <v>101</v>
      </c>
      <c r="C27" s="1634"/>
      <c r="D27" s="1617">
        <v>0</v>
      </c>
      <c r="E27" s="1572">
        <v>0</v>
      </c>
      <c r="F27" s="1618">
        <v>0</v>
      </c>
      <c r="G27" s="1572">
        <v>0</v>
      </c>
      <c r="H27" s="1572">
        <v>0</v>
      </c>
      <c r="I27" s="1618">
        <v>0</v>
      </c>
      <c r="J27" s="1625">
        <v>0</v>
      </c>
      <c r="K27" s="1918">
        <v>0</v>
      </c>
    </row>
    <row r="28" spans="1:11">
      <c r="A28" s="1726" t="s">
        <v>440</v>
      </c>
      <c r="B28" s="1620" t="s">
        <v>102</v>
      </c>
      <c r="C28" s="1636"/>
      <c r="D28" s="1621">
        <v>0</v>
      </c>
      <c r="E28" s="1622">
        <v>0</v>
      </c>
      <c r="F28" s="1623">
        <v>0</v>
      </c>
      <c r="G28" s="1622">
        <v>0</v>
      </c>
      <c r="H28" s="1622">
        <v>0</v>
      </c>
      <c r="I28" s="1623">
        <v>0</v>
      </c>
      <c r="J28" s="1628">
        <v>0</v>
      </c>
      <c r="K28" s="1919">
        <v>0</v>
      </c>
    </row>
    <row r="29" spans="1:11">
      <c r="A29" s="1434" t="s">
        <v>441</v>
      </c>
      <c r="B29" s="1611" t="s">
        <v>303</v>
      </c>
      <c r="C29" s="1633"/>
      <c r="D29" s="1612">
        <f>SUM(D30:D34)</f>
        <v>9</v>
      </c>
      <c r="E29" s="1613">
        <f t="shared" ref="E29:K29" si="4">SUM(E30:E34)</f>
        <v>6</v>
      </c>
      <c r="F29" s="1614">
        <f t="shared" si="4"/>
        <v>3</v>
      </c>
      <c r="G29" s="1612">
        <f t="shared" si="4"/>
        <v>3</v>
      </c>
      <c r="H29" s="1613">
        <f t="shared" si="4"/>
        <v>0</v>
      </c>
      <c r="I29" s="1614">
        <f t="shared" si="4"/>
        <v>6</v>
      </c>
      <c r="J29" s="1614">
        <f t="shared" si="4"/>
        <v>3</v>
      </c>
      <c r="K29" s="1615">
        <f t="shared" si="4"/>
        <v>0</v>
      </c>
    </row>
    <row r="30" spans="1:11">
      <c r="A30" s="1711" t="s">
        <v>441</v>
      </c>
      <c r="B30" s="1616" t="s">
        <v>98</v>
      </c>
      <c r="C30" s="1634"/>
      <c r="D30" s="1617">
        <v>0</v>
      </c>
      <c r="E30" s="1572">
        <v>0</v>
      </c>
      <c r="F30" s="1618">
        <v>0</v>
      </c>
      <c r="G30" s="1624">
        <v>0</v>
      </c>
      <c r="H30" s="1572">
        <v>0</v>
      </c>
      <c r="I30" s="1618">
        <v>0</v>
      </c>
      <c r="J30" s="1618">
        <v>0</v>
      </c>
      <c r="K30" s="1918">
        <v>0</v>
      </c>
    </row>
    <row r="31" spans="1:11">
      <c r="A31" s="1711" t="s">
        <v>441</v>
      </c>
      <c r="B31" s="1616" t="s">
        <v>99</v>
      </c>
      <c r="C31" s="1634"/>
      <c r="D31" s="1617">
        <v>0</v>
      </c>
      <c r="E31" s="1572">
        <v>0</v>
      </c>
      <c r="F31" s="1618">
        <v>0</v>
      </c>
      <c r="G31" s="1572">
        <v>0</v>
      </c>
      <c r="H31" s="1572">
        <v>0</v>
      </c>
      <c r="I31" s="1618">
        <v>0</v>
      </c>
      <c r="J31" s="1625">
        <v>0</v>
      </c>
      <c r="K31" s="1918">
        <v>0</v>
      </c>
    </row>
    <row r="32" spans="1:11">
      <c r="A32" s="1711" t="s">
        <v>441</v>
      </c>
      <c r="B32" s="1616" t="s">
        <v>100</v>
      </c>
      <c r="C32" s="1634"/>
      <c r="D32" s="1617">
        <v>3</v>
      </c>
      <c r="E32" s="1572">
        <v>3</v>
      </c>
      <c r="F32" s="1618">
        <v>0</v>
      </c>
      <c r="G32" s="1624">
        <v>0</v>
      </c>
      <c r="H32" s="1572">
        <v>0</v>
      </c>
      <c r="I32" s="1618">
        <v>3</v>
      </c>
      <c r="J32" s="1618">
        <v>0</v>
      </c>
      <c r="K32" s="1918">
        <v>0</v>
      </c>
    </row>
    <row r="33" spans="1:11">
      <c r="A33" s="1711" t="s">
        <v>441</v>
      </c>
      <c r="B33" s="1616" t="s">
        <v>101</v>
      </c>
      <c r="C33" s="1634"/>
      <c r="D33" s="1617">
        <v>0</v>
      </c>
      <c r="E33" s="1572">
        <v>0</v>
      </c>
      <c r="F33" s="1618">
        <v>0</v>
      </c>
      <c r="G33" s="1572">
        <v>0</v>
      </c>
      <c r="H33" s="1572">
        <v>0</v>
      </c>
      <c r="I33" s="1618">
        <v>0</v>
      </c>
      <c r="J33" s="1625">
        <v>0</v>
      </c>
      <c r="K33" s="1918">
        <v>0</v>
      </c>
    </row>
    <row r="34" spans="1:11">
      <c r="A34" s="1758" t="s">
        <v>441</v>
      </c>
      <c r="B34" s="1620" t="s">
        <v>102</v>
      </c>
      <c r="C34" s="1636"/>
      <c r="D34" s="1621">
        <v>6</v>
      </c>
      <c r="E34" s="1622">
        <v>3</v>
      </c>
      <c r="F34" s="1623">
        <v>3</v>
      </c>
      <c r="G34" s="1622">
        <v>3</v>
      </c>
      <c r="H34" s="1622">
        <v>0</v>
      </c>
      <c r="I34" s="1623">
        <v>3</v>
      </c>
      <c r="J34" s="1623">
        <v>3</v>
      </c>
      <c r="K34" s="1919">
        <v>0</v>
      </c>
    </row>
    <row r="35" spans="1:11">
      <c r="A35" s="1811" t="s">
        <v>442</v>
      </c>
      <c r="B35" s="1642" t="s">
        <v>303</v>
      </c>
      <c r="C35" s="1829"/>
      <c r="D35" s="1612">
        <f>SUM(D36:D40)</f>
        <v>15</v>
      </c>
      <c r="E35" s="1613">
        <f t="shared" ref="E35:K35" si="5">SUM(E36:E40)</f>
        <v>3</v>
      </c>
      <c r="F35" s="1614">
        <f t="shared" si="5"/>
        <v>9</v>
      </c>
      <c r="G35" s="1612">
        <f t="shared" si="5"/>
        <v>3</v>
      </c>
      <c r="H35" s="1613">
        <f t="shared" si="5"/>
        <v>6</v>
      </c>
      <c r="I35" s="1614">
        <f t="shared" si="5"/>
        <v>6</v>
      </c>
      <c r="J35" s="1614">
        <f t="shared" si="5"/>
        <v>9</v>
      </c>
      <c r="K35" s="1615">
        <f t="shared" si="5"/>
        <v>3</v>
      </c>
    </row>
    <row r="36" spans="1:11">
      <c r="A36" s="1711" t="s">
        <v>442</v>
      </c>
      <c r="B36" s="1616" t="s">
        <v>98</v>
      </c>
      <c r="C36" s="1634"/>
      <c r="D36" s="1617">
        <v>0</v>
      </c>
      <c r="E36" s="1572">
        <v>0</v>
      </c>
      <c r="F36" s="1618">
        <v>0</v>
      </c>
      <c r="G36" s="1624">
        <v>0</v>
      </c>
      <c r="H36" s="1572">
        <v>0</v>
      </c>
      <c r="I36" s="1618">
        <v>0</v>
      </c>
      <c r="J36" s="1618">
        <v>0</v>
      </c>
      <c r="K36" s="1918">
        <v>0</v>
      </c>
    </row>
    <row r="37" spans="1:11">
      <c r="A37" s="1711" t="s">
        <v>442</v>
      </c>
      <c r="B37" s="1616" t="s">
        <v>99</v>
      </c>
      <c r="C37" s="1634"/>
      <c r="D37" s="1617">
        <v>0</v>
      </c>
      <c r="E37" s="1572">
        <v>0</v>
      </c>
      <c r="F37" s="1618">
        <v>0</v>
      </c>
      <c r="G37" s="1572">
        <v>0</v>
      </c>
      <c r="H37" s="1572">
        <v>0</v>
      </c>
      <c r="I37" s="1618">
        <v>0</v>
      </c>
      <c r="J37" s="1625">
        <v>0</v>
      </c>
      <c r="K37" s="1918">
        <v>0</v>
      </c>
    </row>
    <row r="38" spans="1:11">
      <c r="A38" s="1711" t="s">
        <v>442</v>
      </c>
      <c r="B38" s="1616" t="s">
        <v>100</v>
      </c>
      <c r="C38" s="1634"/>
      <c r="D38" s="1617">
        <v>6</v>
      </c>
      <c r="E38" s="1572">
        <v>0</v>
      </c>
      <c r="F38" s="1618">
        <v>3</v>
      </c>
      <c r="G38" s="1624">
        <v>3</v>
      </c>
      <c r="H38" s="1572">
        <v>3</v>
      </c>
      <c r="I38" s="1618">
        <v>0</v>
      </c>
      <c r="J38" s="1618">
        <v>6</v>
      </c>
      <c r="K38" s="1918">
        <v>3</v>
      </c>
    </row>
    <row r="39" spans="1:11">
      <c r="A39" s="1711" t="s">
        <v>442</v>
      </c>
      <c r="B39" s="1616" t="s">
        <v>101</v>
      </c>
      <c r="C39" s="1634"/>
      <c r="D39" s="1617">
        <v>0</v>
      </c>
      <c r="E39" s="1572">
        <v>0</v>
      </c>
      <c r="F39" s="1618">
        <v>0</v>
      </c>
      <c r="G39" s="1572">
        <v>0</v>
      </c>
      <c r="H39" s="1572">
        <v>0</v>
      </c>
      <c r="I39" s="1618">
        <v>0</v>
      </c>
      <c r="J39" s="1625">
        <v>0</v>
      </c>
      <c r="K39" s="1918">
        <v>0</v>
      </c>
    </row>
    <row r="40" spans="1:11">
      <c r="A40" s="1711" t="s">
        <v>442</v>
      </c>
      <c r="B40" s="1620" t="s">
        <v>102</v>
      </c>
      <c r="C40" s="1636"/>
      <c r="D40" s="1621">
        <v>9</v>
      </c>
      <c r="E40" s="1622">
        <v>3</v>
      </c>
      <c r="F40" s="1623">
        <v>6</v>
      </c>
      <c r="G40" s="1622">
        <v>0</v>
      </c>
      <c r="H40" s="1622">
        <v>3</v>
      </c>
      <c r="I40" s="1623">
        <v>6</v>
      </c>
      <c r="J40" s="1828">
        <v>3</v>
      </c>
      <c r="K40" s="1921">
        <v>0</v>
      </c>
    </row>
    <row r="41" spans="1:11">
      <c r="A41" s="1434" t="s">
        <v>443</v>
      </c>
      <c r="B41" s="1611" t="s">
        <v>303</v>
      </c>
      <c r="C41" s="1633"/>
      <c r="D41" s="1612">
        <f>SUM(D42:D46)</f>
        <v>3</v>
      </c>
      <c r="E41" s="1613">
        <f t="shared" ref="E41:K41" si="6">SUM(E42:E46)</f>
        <v>3</v>
      </c>
      <c r="F41" s="1614">
        <f t="shared" si="6"/>
        <v>0</v>
      </c>
      <c r="G41" s="1612">
        <f t="shared" si="6"/>
        <v>0</v>
      </c>
      <c r="H41" s="1613">
        <f t="shared" si="6"/>
        <v>3</v>
      </c>
      <c r="I41" s="1614">
        <f t="shared" si="6"/>
        <v>0</v>
      </c>
      <c r="J41" s="1614">
        <f t="shared" si="6"/>
        <v>3</v>
      </c>
      <c r="K41" s="1615">
        <f t="shared" si="6"/>
        <v>0</v>
      </c>
    </row>
    <row r="42" spans="1:11">
      <c r="A42" s="1711" t="s">
        <v>443</v>
      </c>
      <c r="B42" s="1616" t="s">
        <v>98</v>
      </c>
      <c r="C42" s="1634"/>
      <c r="D42" s="1617">
        <v>0</v>
      </c>
      <c r="E42" s="1572">
        <v>0</v>
      </c>
      <c r="F42" s="1618">
        <v>0</v>
      </c>
      <c r="G42" s="1624">
        <v>0</v>
      </c>
      <c r="H42" s="1572">
        <v>0</v>
      </c>
      <c r="I42" s="1618">
        <v>0</v>
      </c>
      <c r="J42" s="1625">
        <v>0</v>
      </c>
      <c r="K42" s="1918">
        <v>0</v>
      </c>
    </row>
    <row r="43" spans="1:11">
      <c r="A43" s="1711" t="s">
        <v>443</v>
      </c>
      <c r="B43" s="1616" t="s">
        <v>99</v>
      </c>
      <c r="C43" s="1634"/>
      <c r="D43" s="1617">
        <v>0</v>
      </c>
      <c r="E43" s="1572">
        <v>0</v>
      </c>
      <c r="F43" s="1618">
        <v>0</v>
      </c>
      <c r="G43" s="1624">
        <v>0</v>
      </c>
      <c r="H43" s="1572">
        <v>0</v>
      </c>
      <c r="I43" s="1618">
        <v>0</v>
      </c>
      <c r="J43" s="1625">
        <v>0</v>
      </c>
      <c r="K43" s="1918">
        <v>0</v>
      </c>
    </row>
    <row r="44" spans="1:11">
      <c r="A44" s="1711" t="s">
        <v>443</v>
      </c>
      <c r="B44" s="1616" t="s">
        <v>100</v>
      </c>
      <c r="C44" s="1634"/>
      <c r="D44" s="1617">
        <v>0</v>
      </c>
      <c r="E44" s="1572">
        <v>0</v>
      </c>
      <c r="F44" s="1618">
        <v>0</v>
      </c>
      <c r="G44" s="1624">
        <v>0</v>
      </c>
      <c r="H44" s="1572">
        <v>0</v>
      </c>
      <c r="I44" s="1618">
        <v>0</v>
      </c>
      <c r="J44" s="1625">
        <v>0</v>
      </c>
      <c r="K44" s="1918">
        <v>0</v>
      </c>
    </row>
    <row r="45" spans="1:11">
      <c r="A45" s="1711" t="s">
        <v>443</v>
      </c>
      <c r="B45" s="1616" t="s">
        <v>101</v>
      </c>
      <c r="C45" s="1634"/>
      <c r="D45" s="1617">
        <v>0</v>
      </c>
      <c r="E45" s="1572">
        <v>0</v>
      </c>
      <c r="F45" s="1618">
        <v>0</v>
      </c>
      <c r="G45" s="1624">
        <v>0</v>
      </c>
      <c r="H45" s="1572">
        <v>0</v>
      </c>
      <c r="I45" s="1618">
        <v>0</v>
      </c>
      <c r="J45" s="1625">
        <v>0</v>
      </c>
      <c r="K45" s="1918">
        <v>0</v>
      </c>
    </row>
    <row r="46" spans="1:11">
      <c r="A46" s="1711" t="s">
        <v>443</v>
      </c>
      <c r="B46" s="1620" t="s">
        <v>102</v>
      </c>
      <c r="C46" s="1636"/>
      <c r="D46" s="1621">
        <v>3</v>
      </c>
      <c r="E46" s="1622">
        <v>3</v>
      </c>
      <c r="F46" s="1623">
        <v>0</v>
      </c>
      <c r="G46" s="1622">
        <v>0</v>
      </c>
      <c r="H46" s="1622">
        <v>3</v>
      </c>
      <c r="I46" s="1623">
        <v>0</v>
      </c>
      <c r="J46" s="1623">
        <v>3</v>
      </c>
      <c r="K46" s="1921">
        <v>0</v>
      </c>
    </row>
    <row r="47" spans="1:11">
      <c r="A47" s="1434" t="s">
        <v>444</v>
      </c>
      <c r="B47" s="1611" t="s">
        <v>303</v>
      </c>
      <c r="C47" s="1633"/>
      <c r="D47" s="1612">
        <f>SUM(D48:D52)</f>
        <v>9</v>
      </c>
      <c r="E47" s="1613">
        <f t="shared" ref="E47:K47" si="7">SUM(E48:E52)</f>
        <v>6</v>
      </c>
      <c r="F47" s="1614">
        <f t="shared" si="7"/>
        <v>3</v>
      </c>
      <c r="G47" s="1612">
        <f t="shared" si="7"/>
        <v>0</v>
      </c>
      <c r="H47" s="1613">
        <f t="shared" si="7"/>
        <v>3</v>
      </c>
      <c r="I47" s="1614">
        <f t="shared" si="7"/>
        <v>3</v>
      </c>
      <c r="J47" s="1614">
        <f t="shared" si="7"/>
        <v>3</v>
      </c>
      <c r="K47" s="1615">
        <f t="shared" si="7"/>
        <v>3</v>
      </c>
    </row>
    <row r="48" spans="1:11">
      <c r="A48" s="1711" t="s">
        <v>444</v>
      </c>
      <c r="B48" s="1616" t="s">
        <v>98</v>
      </c>
      <c r="C48" s="1634"/>
      <c r="D48" s="1617">
        <v>0</v>
      </c>
      <c r="E48" s="1572">
        <v>0</v>
      </c>
      <c r="F48" s="1618">
        <v>0</v>
      </c>
      <c r="G48" s="1624">
        <v>0</v>
      </c>
      <c r="H48" s="1572">
        <v>0</v>
      </c>
      <c r="I48" s="1618">
        <v>0</v>
      </c>
      <c r="J48" s="1805">
        <v>0</v>
      </c>
      <c r="K48" s="1819">
        <v>0</v>
      </c>
    </row>
    <row r="49" spans="1:11">
      <c r="A49" s="1711" t="s">
        <v>444</v>
      </c>
      <c r="B49" s="1616" t="s">
        <v>99</v>
      </c>
      <c r="C49" s="1634"/>
      <c r="D49" s="1617">
        <v>0</v>
      </c>
      <c r="E49" s="1572">
        <v>0</v>
      </c>
      <c r="F49" s="1618">
        <v>0</v>
      </c>
      <c r="G49" s="1624">
        <v>0</v>
      </c>
      <c r="H49" s="1572">
        <v>0</v>
      </c>
      <c r="I49" s="1618">
        <v>0</v>
      </c>
      <c r="J49" s="1805">
        <v>0</v>
      </c>
      <c r="K49" s="1819">
        <v>0</v>
      </c>
    </row>
    <row r="50" spans="1:11">
      <c r="A50" s="1711" t="s">
        <v>444</v>
      </c>
      <c r="B50" s="1616" t="s">
        <v>100</v>
      </c>
      <c r="C50" s="1634"/>
      <c r="D50" s="1617">
        <v>3</v>
      </c>
      <c r="E50" s="1572">
        <v>0</v>
      </c>
      <c r="F50" s="1618">
        <v>3</v>
      </c>
      <c r="G50" s="1624">
        <v>0</v>
      </c>
      <c r="H50" s="1572">
        <v>0</v>
      </c>
      <c r="I50" s="1618">
        <v>3</v>
      </c>
      <c r="J50" s="1618">
        <v>0</v>
      </c>
      <c r="K50" s="1819">
        <v>3</v>
      </c>
    </row>
    <row r="51" spans="1:11">
      <c r="A51" s="1711" t="s">
        <v>444</v>
      </c>
      <c r="B51" s="1616" t="s">
        <v>101</v>
      </c>
      <c r="C51" s="1634"/>
      <c r="D51" s="1617">
        <v>0</v>
      </c>
      <c r="E51" s="1572">
        <v>0</v>
      </c>
      <c r="F51" s="1618">
        <v>0</v>
      </c>
      <c r="G51" s="1624">
        <v>0</v>
      </c>
      <c r="H51" s="1572">
        <v>0</v>
      </c>
      <c r="I51" s="1618">
        <v>0</v>
      </c>
      <c r="J51" s="1805">
        <v>0</v>
      </c>
      <c r="K51" s="1819">
        <v>0</v>
      </c>
    </row>
    <row r="52" spans="1:11">
      <c r="A52" s="1711" t="s">
        <v>444</v>
      </c>
      <c r="B52" s="1620" t="s">
        <v>102</v>
      </c>
      <c r="C52" s="1636"/>
      <c r="D52" s="1621">
        <v>6</v>
      </c>
      <c r="E52" s="1622">
        <v>6</v>
      </c>
      <c r="F52" s="1623">
        <v>0</v>
      </c>
      <c r="G52" s="1622">
        <v>0</v>
      </c>
      <c r="H52" s="1622">
        <v>3</v>
      </c>
      <c r="I52" s="1623">
        <v>0</v>
      </c>
      <c r="J52" s="1828">
        <v>3</v>
      </c>
      <c r="K52" s="1921">
        <v>0</v>
      </c>
    </row>
    <row r="53" spans="1:11">
      <c r="A53" s="1434" t="s">
        <v>445</v>
      </c>
      <c r="B53" s="1611" t="s">
        <v>303</v>
      </c>
      <c r="C53" s="1633"/>
      <c r="D53" s="1612">
        <f>SUM(D54:D58)</f>
        <v>12</v>
      </c>
      <c r="E53" s="1613">
        <f t="shared" ref="E53:K53" si="8">SUM(E54:E58)</f>
        <v>9</v>
      </c>
      <c r="F53" s="1614">
        <f t="shared" si="8"/>
        <v>0</v>
      </c>
      <c r="G53" s="1612">
        <f t="shared" si="8"/>
        <v>3</v>
      </c>
      <c r="H53" s="1613">
        <f t="shared" si="8"/>
        <v>6</v>
      </c>
      <c r="I53" s="1614">
        <f t="shared" si="8"/>
        <v>3</v>
      </c>
      <c r="J53" s="1614">
        <f t="shared" si="8"/>
        <v>9</v>
      </c>
      <c r="K53" s="1615">
        <f t="shared" si="8"/>
        <v>0</v>
      </c>
    </row>
    <row r="54" spans="1:11">
      <c r="A54" s="1711" t="s">
        <v>445</v>
      </c>
      <c r="B54" s="1616" t="s">
        <v>98</v>
      </c>
      <c r="C54" s="1634"/>
      <c r="D54" s="1617">
        <v>0</v>
      </c>
      <c r="E54" s="1572">
        <v>0</v>
      </c>
      <c r="F54" s="1618">
        <v>0</v>
      </c>
      <c r="G54" s="1624">
        <v>0</v>
      </c>
      <c r="H54" s="1572">
        <v>0</v>
      </c>
      <c r="I54" s="1618">
        <v>0</v>
      </c>
      <c r="J54" s="1618">
        <v>0</v>
      </c>
      <c r="K54" s="1918">
        <v>0</v>
      </c>
    </row>
    <row r="55" spans="1:11">
      <c r="A55" s="1711" t="s">
        <v>445</v>
      </c>
      <c r="B55" s="1616" t="s">
        <v>99</v>
      </c>
      <c r="C55" s="1634"/>
      <c r="D55" s="1617">
        <v>0</v>
      </c>
      <c r="E55" s="1572">
        <v>0</v>
      </c>
      <c r="F55" s="1618">
        <v>0</v>
      </c>
      <c r="G55" s="1624">
        <v>0</v>
      </c>
      <c r="H55" s="1572">
        <v>0</v>
      </c>
      <c r="I55" s="1618">
        <v>0</v>
      </c>
      <c r="J55" s="1618">
        <v>0</v>
      </c>
      <c r="K55" s="1918">
        <v>0</v>
      </c>
    </row>
    <row r="56" spans="1:11">
      <c r="A56" s="1711" t="s">
        <v>445</v>
      </c>
      <c r="B56" s="1616" t="s">
        <v>100</v>
      </c>
      <c r="C56" s="1634"/>
      <c r="D56" s="1617">
        <v>3</v>
      </c>
      <c r="E56" s="1572">
        <v>3</v>
      </c>
      <c r="F56" s="1618">
        <v>0</v>
      </c>
      <c r="G56" s="1624">
        <v>0</v>
      </c>
      <c r="H56" s="1572">
        <v>3</v>
      </c>
      <c r="I56" s="1618">
        <v>0</v>
      </c>
      <c r="J56" s="1618">
        <v>3</v>
      </c>
      <c r="K56" s="1918">
        <v>0</v>
      </c>
    </row>
    <row r="57" spans="1:11">
      <c r="A57" s="1711" t="s">
        <v>445</v>
      </c>
      <c r="B57" s="1616" t="s">
        <v>101</v>
      </c>
      <c r="C57" s="1634"/>
      <c r="D57" s="1617">
        <v>6</v>
      </c>
      <c r="E57" s="1572">
        <v>3</v>
      </c>
      <c r="F57" s="1618">
        <v>0</v>
      </c>
      <c r="G57" s="1624">
        <v>3</v>
      </c>
      <c r="H57" s="1572">
        <v>0</v>
      </c>
      <c r="I57" s="1618">
        <v>3</v>
      </c>
      <c r="J57" s="1805">
        <v>3</v>
      </c>
      <c r="K57" s="1918">
        <v>0</v>
      </c>
    </row>
    <row r="58" spans="1:11">
      <c r="A58" s="1711" t="s">
        <v>445</v>
      </c>
      <c r="B58" s="1620" t="s">
        <v>102</v>
      </c>
      <c r="C58" s="1636"/>
      <c r="D58" s="1621">
        <v>3</v>
      </c>
      <c r="E58" s="1622">
        <v>3</v>
      </c>
      <c r="F58" s="1623">
        <v>0</v>
      </c>
      <c r="G58" s="1622">
        <v>0</v>
      </c>
      <c r="H58" s="1622">
        <v>3</v>
      </c>
      <c r="I58" s="1623">
        <v>0</v>
      </c>
      <c r="J58" s="1623">
        <v>3</v>
      </c>
      <c r="K58" s="1921">
        <v>0</v>
      </c>
    </row>
    <row r="59" spans="1:11">
      <c r="A59" s="1434" t="s">
        <v>446</v>
      </c>
      <c r="B59" s="1611" t="s">
        <v>303</v>
      </c>
      <c r="C59" s="1633"/>
      <c r="D59" s="1612">
        <f>SUM(D60:D64)</f>
        <v>0</v>
      </c>
      <c r="E59" s="1613">
        <f t="shared" ref="E59:K59" si="9">SUM(E60:E64)</f>
        <v>0</v>
      </c>
      <c r="F59" s="1614">
        <f t="shared" si="9"/>
        <v>0</v>
      </c>
      <c r="G59" s="1613">
        <f t="shared" si="9"/>
        <v>0</v>
      </c>
      <c r="H59" s="1613">
        <f t="shared" si="9"/>
        <v>0</v>
      </c>
      <c r="I59" s="1614">
        <f t="shared" si="9"/>
        <v>0</v>
      </c>
      <c r="J59" s="1614">
        <f t="shared" si="9"/>
        <v>0</v>
      </c>
      <c r="K59" s="1615">
        <f t="shared" si="9"/>
        <v>0</v>
      </c>
    </row>
    <row r="60" spans="1:11">
      <c r="A60" s="1711" t="s">
        <v>446</v>
      </c>
      <c r="B60" s="1616" t="s">
        <v>98</v>
      </c>
      <c r="C60" s="1634"/>
      <c r="D60" s="1617">
        <v>0</v>
      </c>
      <c r="E60" s="1572">
        <v>0</v>
      </c>
      <c r="F60" s="1618">
        <v>0</v>
      </c>
      <c r="G60" s="1624">
        <v>0</v>
      </c>
      <c r="H60" s="1572">
        <v>0</v>
      </c>
      <c r="I60" s="1618">
        <v>0</v>
      </c>
      <c r="J60" s="1618">
        <v>0</v>
      </c>
      <c r="K60" s="1819">
        <v>0</v>
      </c>
    </row>
    <row r="61" spans="1:11">
      <c r="A61" s="1711" t="s">
        <v>446</v>
      </c>
      <c r="B61" s="1616" t="s">
        <v>99</v>
      </c>
      <c r="C61" s="1634"/>
      <c r="D61" s="1617">
        <v>0</v>
      </c>
      <c r="E61" s="1572">
        <v>0</v>
      </c>
      <c r="F61" s="1618">
        <v>0</v>
      </c>
      <c r="G61" s="1572">
        <v>0</v>
      </c>
      <c r="H61" s="1572">
        <v>0</v>
      </c>
      <c r="I61" s="1618">
        <v>0</v>
      </c>
      <c r="J61" s="1618">
        <v>0</v>
      </c>
      <c r="K61" s="1819">
        <v>0</v>
      </c>
    </row>
    <row r="62" spans="1:11">
      <c r="A62" s="1711" t="s">
        <v>446</v>
      </c>
      <c r="B62" s="1616" t="s">
        <v>100</v>
      </c>
      <c r="C62" s="1634"/>
      <c r="D62" s="1617">
        <v>0</v>
      </c>
      <c r="E62" s="1572">
        <v>0</v>
      </c>
      <c r="F62" s="1618">
        <v>0</v>
      </c>
      <c r="G62" s="1572">
        <v>0</v>
      </c>
      <c r="H62" s="1572">
        <v>0</v>
      </c>
      <c r="I62" s="1618">
        <v>0</v>
      </c>
      <c r="J62" s="1618">
        <v>0</v>
      </c>
      <c r="K62" s="1819">
        <v>0</v>
      </c>
    </row>
    <row r="63" spans="1:11">
      <c r="A63" s="1711" t="s">
        <v>446</v>
      </c>
      <c r="B63" s="1616" t="s">
        <v>101</v>
      </c>
      <c r="C63" s="1634"/>
      <c r="D63" s="1617">
        <v>0</v>
      </c>
      <c r="E63" s="1572">
        <v>0</v>
      </c>
      <c r="F63" s="1618">
        <v>0</v>
      </c>
      <c r="G63" s="1572">
        <v>0</v>
      </c>
      <c r="H63" s="1572">
        <v>0</v>
      </c>
      <c r="I63" s="1618">
        <v>0</v>
      </c>
      <c r="J63" s="1618">
        <v>0</v>
      </c>
      <c r="K63" s="1819">
        <v>0</v>
      </c>
    </row>
    <row r="64" spans="1:11">
      <c r="A64" s="1711" t="s">
        <v>446</v>
      </c>
      <c r="B64" s="1620" t="s">
        <v>102</v>
      </c>
      <c r="C64" s="1636"/>
      <c r="D64" s="1621">
        <v>0</v>
      </c>
      <c r="E64" s="1622">
        <v>0</v>
      </c>
      <c r="F64" s="1623">
        <v>0</v>
      </c>
      <c r="G64" s="1622">
        <v>0</v>
      </c>
      <c r="H64" s="1622">
        <v>0</v>
      </c>
      <c r="I64" s="1623">
        <v>0</v>
      </c>
      <c r="J64" s="1623">
        <v>0</v>
      </c>
      <c r="K64" s="1623">
        <v>0</v>
      </c>
    </row>
    <row r="65" spans="1:11">
      <c r="A65" s="1434" t="s">
        <v>447</v>
      </c>
      <c r="B65" s="1611" t="s">
        <v>303</v>
      </c>
      <c r="C65" s="1633"/>
      <c r="D65" s="1612">
        <f>SUM(D66:D70)</f>
        <v>6</v>
      </c>
      <c r="E65" s="1613">
        <f t="shared" ref="E65:K65" si="10">SUM(E66:E70)</f>
        <v>0</v>
      </c>
      <c r="F65" s="1614">
        <f t="shared" si="10"/>
        <v>6</v>
      </c>
      <c r="G65" s="1613">
        <f t="shared" si="10"/>
        <v>0</v>
      </c>
      <c r="H65" s="1613">
        <f t="shared" si="10"/>
        <v>3</v>
      </c>
      <c r="I65" s="1614">
        <f t="shared" si="10"/>
        <v>0</v>
      </c>
      <c r="J65" s="1614">
        <f t="shared" si="10"/>
        <v>0</v>
      </c>
      <c r="K65" s="1615">
        <f t="shared" si="10"/>
        <v>0</v>
      </c>
    </row>
    <row r="66" spans="1:11">
      <c r="A66" s="1711" t="s">
        <v>447</v>
      </c>
      <c r="B66" s="1616" t="s">
        <v>98</v>
      </c>
      <c r="C66" s="1634"/>
      <c r="D66" s="1617">
        <v>0</v>
      </c>
      <c r="E66" s="1572">
        <v>0</v>
      </c>
      <c r="F66" s="1618">
        <v>0</v>
      </c>
      <c r="G66" s="1624">
        <v>0</v>
      </c>
      <c r="H66" s="1572">
        <v>0</v>
      </c>
      <c r="I66" s="1618">
        <v>0</v>
      </c>
      <c r="J66" s="1618">
        <v>0</v>
      </c>
      <c r="K66" s="1819">
        <v>0</v>
      </c>
    </row>
    <row r="67" spans="1:11">
      <c r="A67" s="1711" t="s">
        <v>447</v>
      </c>
      <c r="B67" s="1616" t="s">
        <v>99</v>
      </c>
      <c r="C67" s="1634"/>
      <c r="D67" s="1617">
        <v>0</v>
      </c>
      <c r="E67" s="1572">
        <v>0</v>
      </c>
      <c r="F67" s="1618">
        <v>0</v>
      </c>
      <c r="G67" s="1572">
        <v>0</v>
      </c>
      <c r="H67" s="1572">
        <v>0</v>
      </c>
      <c r="I67" s="1618">
        <v>0</v>
      </c>
      <c r="J67" s="1618">
        <v>0</v>
      </c>
      <c r="K67" s="1819">
        <v>0</v>
      </c>
    </row>
    <row r="68" spans="1:11">
      <c r="A68" s="1711" t="s">
        <v>447</v>
      </c>
      <c r="B68" s="1616" t="s">
        <v>100</v>
      </c>
      <c r="C68" s="1634"/>
      <c r="D68" s="1617">
        <v>3</v>
      </c>
      <c r="E68" s="1572">
        <v>0</v>
      </c>
      <c r="F68" s="1618">
        <v>3</v>
      </c>
      <c r="G68" s="1572">
        <v>0</v>
      </c>
      <c r="H68" s="1572">
        <v>3</v>
      </c>
      <c r="I68" s="1618">
        <v>0</v>
      </c>
      <c r="J68" s="1618">
        <v>0</v>
      </c>
      <c r="K68" s="1819">
        <v>0</v>
      </c>
    </row>
    <row r="69" spans="1:11">
      <c r="A69" s="1711" t="s">
        <v>447</v>
      </c>
      <c r="B69" s="1616" t="s">
        <v>101</v>
      </c>
      <c r="C69" s="1634"/>
      <c r="D69" s="1617">
        <v>0</v>
      </c>
      <c r="E69" s="1572">
        <v>0</v>
      </c>
      <c r="F69" s="1618">
        <v>0</v>
      </c>
      <c r="G69" s="1572">
        <v>0</v>
      </c>
      <c r="H69" s="1572">
        <v>0</v>
      </c>
      <c r="I69" s="1618">
        <v>0</v>
      </c>
      <c r="J69" s="1618">
        <v>0</v>
      </c>
      <c r="K69" s="1819">
        <v>0</v>
      </c>
    </row>
    <row r="70" spans="1:11">
      <c r="A70" s="1830" t="s">
        <v>447</v>
      </c>
      <c r="B70" s="1620" t="s">
        <v>102</v>
      </c>
      <c r="C70" s="1636"/>
      <c r="D70" s="1621">
        <v>3</v>
      </c>
      <c r="E70" s="1622">
        <v>0</v>
      </c>
      <c r="F70" s="1623">
        <v>3</v>
      </c>
      <c r="G70" s="1622">
        <v>0</v>
      </c>
      <c r="H70" s="1622">
        <v>0</v>
      </c>
      <c r="I70" s="1623">
        <v>0</v>
      </c>
      <c r="J70" s="1828">
        <v>0</v>
      </c>
      <c r="K70" s="1623">
        <v>0</v>
      </c>
    </row>
    <row r="71" spans="1:11">
      <c r="A71" s="1811" t="s">
        <v>448</v>
      </c>
      <c r="B71" s="1642" t="s">
        <v>303</v>
      </c>
      <c r="C71" s="1829"/>
      <c r="D71" s="1612">
        <f>SUM(D72:D76)</f>
        <v>96</v>
      </c>
      <c r="E71" s="1613">
        <f t="shared" ref="E71:K71" si="11">SUM(E72:E76)</f>
        <v>42</v>
      </c>
      <c r="F71" s="1614">
        <f t="shared" si="11"/>
        <v>51</v>
      </c>
      <c r="G71" s="1613">
        <f t="shared" si="11"/>
        <v>27</v>
      </c>
      <c r="H71" s="1613">
        <f t="shared" si="11"/>
        <v>39</v>
      </c>
      <c r="I71" s="1614">
        <f t="shared" si="11"/>
        <v>30</v>
      </c>
      <c r="J71" s="1614">
        <f t="shared" si="11"/>
        <v>30</v>
      </c>
      <c r="K71" s="1615">
        <f t="shared" si="11"/>
        <v>15</v>
      </c>
    </row>
    <row r="72" spans="1:11">
      <c r="A72" s="1711" t="s">
        <v>448</v>
      </c>
      <c r="B72" s="1616" t="s">
        <v>479</v>
      </c>
      <c r="C72" s="1634">
        <v>1</v>
      </c>
      <c r="D72" s="1617">
        <f>75+3</f>
        <v>78</v>
      </c>
      <c r="E72" s="1572">
        <f>30+3</f>
        <v>33</v>
      </c>
      <c r="F72" s="1618">
        <v>45</v>
      </c>
      <c r="G72" s="1624">
        <v>24</v>
      </c>
      <c r="H72" s="1572">
        <v>30</v>
      </c>
      <c r="I72" s="1618">
        <f>21+3</f>
        <v>24</v>
      </c>
      <c r="J72" s="1618">
        <v>27</v>
      </c>
      <c r="K72" s="1819">
        <v>12</v>
      </c>
    </row>
    <row r="73" spans="1:11">
      <c r="A73" s="1711" t="s">
        <v>448</v>
      </c>
      <c r="B73" s="1616" t="s">
        <v>99</v>
      </c>
      <c r="C73" s="1634"/>
      <c r="D73" s="1617">
        <v>0</v>
      </c>
      <c r="E73" s="1572">
        <v>0</v>
      </c>
      <c r="F73" s="1618">
        <v>0</v>
      </c>
      <c r="G73" s="1572">
        <v>0</v>
      </c>
      <c r="H73" s="1572">
        <v>0</v>
      </c>
      <c r="I73" s="1618">
        <v>0</v>
      </c>
      <c r="J73" s="1618">
        <v>0</v>
      </c>
      <c r="K73" s="1819">
        <v>0</v>
      </c>
    </row>
    <row r="74" spans="1:11">
      <c r="A74" s="1711" t="s">
        <v>448</v>
      </c>
      <c r="B74" s="1616" t="s">
        <v>100</v>
      </c>
      <c r="C74" s="1634"/>
      <c r="D74" s="1617">
        <v>3</v>
      </c>
      <c r="E74" s="1572">
        <v>3</v>
      </c>
      <c r="F74" s="1618">
        <v>0</v>
      </c>
      <c r="G74" s="1572">
        <v>0</v>
      </c>
      <c r="H74" s="1572">
        <v>3</v>
      </c>
      <c r="I74" s="1618">
        <v>0</v>
      </c>
      <c r="J74" s="1618">
        <v>0</v>
      </c>
      <c r="K74" s="1819">
        <v>0</v>
      </c>
    </row>
    <row r="75" spans="1:11">
      <c r="A75" s="1711" t="s">
        <v>448</v>
      </c>
      <c r="B75" s="1616" t="s">
        <v>101</v>
      </c>
      <c r="C75" s="1634"/>
      <c r="D75" s="1617">
        <v>12</v>
      </c>
      <c r="E75" s="1572">
        <v>6</v>
      </c>
      <c r="F75" s="1618">
        <v>6</v>
      </c>
      <c r="G75" s="1572">
        <v>3</v>
      </c>
      <c r="H75" s="1572">
        <v>6</v>
      </c>
      <c r="I75" s="1618">
        <v>6</v>
      </c>
      <c r="J75" s="1618">
        <v>3</v>
      </c>
      <c r="K75" s="1819">
        <v>3</v>
      </c>
    </row>
    <row r="76" spans="1:11">
      <c r="A76" s="1711" t="s">
        <v>448</v>
      </c>
      <c r="B76" s="1620" t="s">
        <v>102</v>
      </c>
      <c r="C76" s="1636"/>
      <c r="D76" s="1621">
        <v>3</v>
      </c>
      <c r="E76" s="1622">
        <v>0</v>
      </c>
      <c r="F76" s="1623">
        <v>0</v>
      </c>
      <c r="G76" s="1622">
        <v>0</v>
      </c>
      <c r="H76" s="1622">
        <v>0</v>
      </c>
      <c r="I76" s="1623">
        <v>0</v>
      </c>
      <c r="J76" s="1828">
        <v>0</v>
      </c>
      <c r="K76" s="1623">
        <v>0</v>
      </c>
    </row>
    <row r="77" spans="1:11">
      <c r="A77" s="1434" t="s">
        <v>449</v>
      </c>
      <c r="B77" s="1611" t="s">
        <v>303</v>
      </c>
      <c r="C77" s="1633"/>
      <c r="D77" s="1612">
        <f>SUM(D78:D82)</f>
        <v>60</v>
      </c>
      <c r="E77" s="1613">
        <f t="shared" ref="E77:K77" si="12">SUM(E78:E82)</f>
        <v>21</v>
      </c>
      <c r="F77" s="1614">
        <f t="shared" si="12"/>
        <v>36</v>
      </c>
      <c r="G77" s="1613">
        <f t="shared" si="12"/>
        <v>15</v>
      </c>
      <c r="H77" s="1613">
        <f t="shared" si="12"/>
        <v>21</v>
      </c>
      <c r="I77" s="1614">
        <f t="shared" si="12"/>
        <v>21</v>
      </c>
      <c r="J77" s="1614">
        <f t="shared" si="12"/>
        <v>18</v>
      </c>
      <c r="K77" s="1615">
        <f t="shared" si="12"/>
        <v>15</v>
      </c>
    </row>
    <row r="78" spans="1:11">
      <c r="A78" s="1711" t="s">
        <v>449</v>
      </c>
      <c r="B78" s="1616" t="s">
        <v>98</v>
      </c>
      <c r="C78" s="1634"/>
      <c r="D78" s="1617">
        <v>51</v>
      </c>
      <c r="E78" s="1572">
        <v>21</v>
      </c>
      <c r="F78" s="1618">
        <v>30</v>
      </c>
      <c r="G78" s="1624">
        <v>15</v>
      </c>
      <c r="H78" s="1572">
        <v>18</v>
      </c>
      <c r="I78" s="1618">
        <v>18</v>
      </c>
      <c r="J78" s="1618">
        <v>18</v>
      </c>
      <c r="K78" s="1819">
        <v>12</v>
      </c>
    </row>
    <row r="79" spans="1:11">
      <c r="A79" s="1711" t="s">
        <v>449</v>
      </c>
      <c r="B79" s="1616" t="s">
        <v>99</v>
      </c>
      <c r="C79" s="1634"/>
      <c r="D79" s="1617">
        <v>3</v>
      </c>
      <c r="E79" s="1572">
        <v>0</v>
      </c>
      <c r="F79" s="1618">
        <v>3</v>
      </c>
      <c r="G79" s="1572">
        <v>0</v>
      </c>
      <c r="H79" s="1572">
        <v>3</v>
      </c>
      <c r="I79" s="1618">
        <v>0</v>
      </c>
      <c r="J79" s="1618">
        <v>0</v>
      </c>
      <c r="K79" s="1819">
        <v>3</v>
      </c>
    </row>
    <row r="80" spans="1:11">
      <c r="A80" s="1711" t="s">
        <v>449</v>
      </c>
      <c r="B80" s="1616" t="s">
        <v>100</v>
      </c>
      <c r="C80" s="1634"/>
      <c r="D80" s="1617">
        <v>0</v>
      </c>
      <c r="E80" s="1572">
        <v>0</v>
      </c>
      <c r="F80" s="1618">
        <v>0</v>
      </c>
      <c r="G80" s="1572">
        <v>0</v>
      </c>
      <c r="H80" s="1572">
        <v>0</v>
      </c>
      <c r="I80" s="1618">
        <v>0</v>
      </c>
      <c r="J80" s="1618">
        <v>0</v>
      </c>
      <c r="K80" s="1618">
        <v>0</v>
      </c>
    </row>
    <row r="81" spans="1:11">
      <c r="A81" s="1711" t="s">
        <v>449</v>
      </c>
      <c r="B81" s="1616" t="s">
        <v>101</v>
      </c>
      <c r="C81" s="1634"/>
      <c r="D81" s="1617">
        <v>3</v>
      </c>
      <c r="E81" s="1572">
        <v>0</v>
      </c>
      <c r="F81" s="1618">
        <v>3</v>
      </c>
      <c r="G81" s="1572">
        <v>0</v>
      </c>
      <c r="H81" s="1572">
        <v>0</v>
      </c>
      <c r="I81" s="1618">
        <v>3</v>
      </c>
      <c r="J81" s="1618">
        <v>0</v>
      </c>
      <c r="K81" s="1819">
        <v>0</v>
      </c>
    </row>
    <row r="82" spans="1:11">
      <c r="A82" s="1711" t="s">
        <v>449</v>
      </c>
      <c r="B82" s="1620" t="s">
        <v>102</v>
      </c>
      <c r="C82" s="1636"/>
      <c r="D82" s="1621">
        <v>3</v>
      </c>
      <c r="E82" s="1622">
        <v>0</v>
      </c>
      <c r="F82" s="1623">
        <v>0</v>
      </c>
      <c r="G82" s="1622">
        <v>0</v>
      </c>
      <c r="H82" s="1622">
        <v>0</v>
      </c>
      <c r="I82" s="1623">
        <v>0</v>
      </c>
      <c r="J82" s="1828">
        <v>0</v>
      </c>
      <c r="K82" s="1623">
        <v>0</v>
      </c>
    </row>
    <row r="83" spans="1:11">
      <c r="A83" s="1434" t="s">
        <v>450</v>
      </c>
      <c r="B83" s="1611" t="s">
        <v>303</v>
      </c>
      <c r="C83" s="1633"/>
      <c r="D83" s="1612">
        <f>SUM(D84:D88)</f>
        <v>186</v>
      </c>
      <c r="E83" s="1613">
        <f t="shared" ref="E83:K83" si="13">SUM(E84:E88)</f>
        <v>78</v>
      </c>
      <c r="F83" s="1614">
        <f t="shared" si="13"/>
        <v>108</v>
      </c>
      <c r="G83" s="1613">
        <f t="shared" si="13"/>
        <v>48</v>
      </c>
      <c r="H83" s="1613">
        <f t="shared" si="13"/>
        <v>66</v>
      </c>
      <c r="I83" s="1614">
        <f t="shared" si="13"/>
        <v>72</v>
      </c>
      <c r="J83" s="1614">
        <f t="shared" si="13"/>
        <v>57</v>
      </c>
      <c r="K83" s="1615">
        <f t="shared" si="13"/>
        <v>42</v>
      </c>
    </row>
    <row r="84" spans="1:11">
      <c r="A84" s="1711" t="s">
        <v>450</v>
      </c>
      <c r="B84" s="1616" t="s">
        <v>98</v>
      </c>
      <c r="C84" s="1634"/>
      <c r="D84" s="1617">
        <v>171</v>
      </c>
      <c r="E84" s="1572">
        <v>72</v>
      </c>
      <c r="F84" s="1618">
        <v>99</v>
      </c>
      <c r="G84" s="1624">
        <v>42</v>
      </c>
      <c r="H84" s="1572">
        <v>63</v>
      </c>
      <c r="I84" s="1618">
        <v>66</v>
      </c>
      <c r="J84" s="1618">
        <v>51</v>
      </c>
      <c r="K84" s="1819">
        <v>42</v>
      </c>
    </row>
    <row r="85" spans="1:11">
      <c r="A85" s="1711" t="s">
        <v>450</v>
      </c>
      <c r="B85" s="1616" t="s">
        <v>99</v>
      </c>
      <c r="C85" s="1634"/>
      <c r="D85" s="1617">
        <v>6</v>
      </c>
      <c r="E85" s="1572">
        <v>3</v>
      </c>
      <c r="F85" s="1618">
        <v>3</v>
      </c>
      <c r="G85" s="1572">
        <v>3</v>
      </c>
      <c r="H85" s="1572">
        <v>3</v>
      </c>
      <c r="I85" s="1618">
        <v>0</v>
      </c>
      <c r="J85" s="1618">
        <v>3</v>
      </c>
      <c r="K85" s="1819">
        <v>0</v>
      </c>
    </row>
    <row r="86" spans="1:11">
      <c r="A86" s="1711" t="s">
        <v>450</v>
      </c>
      <c r="B86" s="1616" t="s">
        <v>100</v>
      </c>
      <c r="C86" s="1634"/>
      <c r="D86" s="1617">
        <v>6</v>
      </c>
      <c r="E86" s="1572">
        <v>3</v>
      </c>
      <c r="F86" s="1618">
        <v>3</v>
      </c>
      <c r="G86" s="1572">
        <v>3</v>
      </c>
      <c r="H86" s="1572">
        <v>0</v>
      </c>
      <c r="I86" s="1618">
        <v>3</v>
      </c>
      <c r="J86" s="1618">
        <v>3</v>
      </c>
      <c r="K86" s="1819">
        <v>0</v>
      </c>
    </row>
    <row r="87" spans="1:11">
      <c r="A87" s="1711" t="s">
        <v>450</v>
      </c>
      <c r="B87" s="1616" t="s">
        <v>101</v>
      </c>
      <c r="C87" s="1634"/>
      <c r="D87" s="1617">
        <v>3</v>
      </c>
      <c r="E87" s="1572">
        <v>0</v>
      </c>
      <c r="F87" s="1618">
        <v>3</v>
      </c>
      <c r="G87" s="1572">
        <v>0</v>
      </c>
      <c r="H87" s="1572">
        <v>0</v>
      </c>
      <c r="I87" s="1618">
        <v>3</v>
      </c>
      <c r="J87" s="1618">
        <v>0</v>
      </c>
      <c r="K87" s="1819">
        <v>0</v>
      </c>
    </row>
    <row r="88" spans="1:11">
      <c r="A88" s="1711" t="s">
        <v>450</v>
      </c>
      <c r="B88" s="1620" t="s">
        <v>102</v>
      </c>
      <c r="C88" s="1636"/>
      <c r="D88" s="1621">
        <v>0</v>
      </c>
      <c r="E88" s="1622">
        <v>0</v>
      </c>
      <c r="F88" s="1623">
        <v>0</v>
      </c>
      <c r="G88" s="1622">
        <v>0</v>
      </c>
      <c r="H88" s="1622">
        <v>0</v>
      </c>
      <c r="I88" s="1623">
        <v>0</v>
      </c>
      <c r="J88" s="1623">
        <v>0</v>
      </c>
      <c r="K88" s="1623">
        <v>0</v>
      </c>
    </row>
    <row r="89" spans="1:11">
      <c r="A89" s="1434" t="s">
        <v>451</v>
      </c>
      <c r="B89" s="1611" t="s">
        <v>303</v>
      </c>
      <c r="C89" s="1633"/>
      <c r="D89" s="1612">
        <f>SUM(D90:D94)</f>
        <v>90</v>
      </c>
      <c r="E89" s="1613">
        <f t="shared" ref="E89:K89" si="14">SUM(E90:E94)</f>
        <v>48</v>
      </c>
      <c r="F89" s="1614">
        <f t="shared" si="14"/>
        <v>39</v>
      </c>
      <c r="G89" s="1613">
        <f t="shared" si="14"/>
        <v>27</v>
      </c>
      <c r="H89" s="1613">
        <f t="shared" si="14"/>
        <v>30</v>
      </c>
      <c r="I89" s="1614">
        <f t="shared" si="14"/>
        <v>36</v>
      </c>
      <c r="J89" s="1614">
        <f t="shared" si="14"/>
        <v>33</v>
      </c>
      <c r="K89" s="1615">
        <f t="shared" si="14"/>
        <v>24</v>
      </c>
    </row>
    <row r="90" spans="1:11">
      <c r="A90" s="1711" t="s">
        <v>451</v>
      </c>
      <c r="B90" s="1616" t="s">
        <v>98</v>
      </c>
      <c r="C90" s="1634"/>
      <c r="D90" s="1617">
        <v>66</v>
      </c>
      <c r="E90" s="1572">
        <v>33</v>
      </c>
      <c r="F90" s="1618">
        <v>36</v>
      </c>
      <c r="G90" s="1624">
        <v>18</v>
      </c>
      <c r="H90" s="1572">
        <v>24</v>
      </c>
      <c r="I90" s="1618">
        <v>27</v>
      </c>
      <c r="J90" s="1618">
        <v>24</v>
      </c>
      <c r="K90" s="1819">
        <v>15</v>
      </c>
    </row>
    <row r="91" spans="1:11">
      <c r="A91" s="1711" t="s">
        <v>451</v>
      </c>
      <c r="B91" s="1616" t="s">
        <v>99</v>
      </c>
      <c r="C91" s="1634"/>
      <c r="D91" s="1617">
        <v>12</v>
      </c>
      <c r="E91" s="1572">
        <v>6</v>
      </c>
      <c r="F91" s="1618">
        <v>3</v>
      </c>
      <c r="G91" s="1572">
        <v>3</v>
      </c>
      <c r="H91" s="1572">
        <v>3</v>
      </c>
      <c r="I91" s="1618">
        <v>6</v>
      </c>
      <c r="J91" s="1618">
        <v>3</v>
      </c>
      <c r="K91" s="1618">
        <v>3</v>
      </c>
    </row>
    <row r="92" spans="1:11">
      <c r="A92" s="1711" t="s">
        <v>451</v>
      </c>
      <c r="B92" s="1616" t="s">
        <v>100</v>
      </c>
      <c r="C92" s="1634"/>
      <c r="D92" s="1617">
        <v>3</v>
      </c>
      <c r="E92" s="1572">
        <v>3</v>
      </c>
      <c r="F92" s="1618">
        <v>0</v>
      </c>
      <c r="G92" s="1572">
        <v>3</v>
      </c>
      <c r="H92" s="1572">
        <v>0</v>
      </c>
      <c r="I92" s="1618">
        <v>0</v>
      </c>
      <c r="J92" s="1618">
        <v>3</v>
      </c>
      <c r="K92" s="1618">
        <v>3</v>
      </c>
    </row>
    <row r="93" spans="1:11">
      <c r="A93" s="1711" t="s">
        <v>451</v>
      </c>
      <c r="B93" s="1616" t="s">
        <v>101</v>
      </c>
      <c r="C93" s="1634"/>
      <c r="D93" s="1617">
        <v>9</v>
      </c>
      <c r="E93" s="1572">
        <v>6</v>
      </c>
      <c r="F93" s="1618">
        <v>0</v>
      </c>
      <c r="G93" s="1572">
        <v>3</v>
      </c>
      <c r="H93" s="1572">
        <v>3</v>
      </c>
      <c r="I93" s="1618">
        <v>3</v>
      </c>
      <c r="J93" s="1618">
        <v>3</v>
      </c>
      <c r="K93" s="1618">
        <v>3</v>
      </c>
    </row>
    <row r="94" spans="1:11">
      <c r="A94" s="1711" t="s">
        <v>451</v>
      </c>
      <c r="B94" s="1620" t="s">
        <v>102</v>
      </c>
      <c r="C94" s="1636"/>
      <c r="D94" s="1621">
        <v>0</v>
      </c>
      <c r="E94" s="1622">
        <v>0</v>
      </c>
      <c r="F94" s="1623">
        <v>0</v>
      </c>
      <c r="G94" s="1622">
        <v>0</v>
      </c>
      <c r="H94" s="1622">
        <v>0</v>
      </c>
      <c r="I94" s="1623">
        <v>0</v>
      </c>
      <c r="J94" s="1623">
        <v>0</v>
      </c>
      <c r="K94" s="1623">
        <v>0</v>
      </c>
    </row>
    <row r="95" spans="1:11">
      <c r="A95" s="1434" t="s">
        <v>452</v>
      </c>
      <c r="B95" s="1611" t="s">
        <v>303</v>
      </c>
      <c r="C95" s="1633"/>
      <c r="D95" s="1612">
        <f>SUM(D96:D100)</f>
        <v>147</v>
      </c>
      <c r="E95" s="1613">
        <f t="shared" ref="E95:K95" si="15">SUM(E96:E100)</f>
        <v>72</v>
      </c>
      <c r="F95" s="1614">
        <f t="shared" si="15"/>
        <v>75</v>
      </c>
      <c r="G95" s="1613">
        <f t="shared" si="15"/>
        <v>54</v>
      </c>
      <c r="H95" s="1613">
        <f t="shared" si="15"/>
        <v>51</v>
      </c>
      <c r="I95" s="1614">
        <f t="shared" si="15"/>
        <v>42</v>
      </c>
      <c r="J95" s="1614">
        <f t="shared" si="15"/>
        <v>60</v>
      </c>
      <c r="K95" s="1615">
        <f t="shared" si="15"/>
        <v>30</v>
      </c>
    </row>
    <row r="96" spans="1:11">
      <c r="A96" s="1711" t="s">
        <v>452</v>
      </c>
      <c r="B96" s="1616" t="s">
        <v>98</v>
      </c>
      <c r="C96" s="1634"/>
      <c r="D96" s="1617">
        <v>111</v>
      </c>
      <c r="E96" s="1572">
        <v>51</v>
      </c>
      <c r="F96" s="1618">
        <v>63</v>
      </c>
      <c r="G96" s="1624">
        <v>45</v>
      </c>
      <c r="H96" s="1572">
        <v>36</v>
      </c>
      <c r="I96" s="1618">
        <v>33</v>
      </c>
      <c r="J96" s="1618">
        <v>45</v>
      </c>
      <c r="K96" s="1819">
        <v>27</v>
      </c>
    </row>
    <row r="97" spans="1:14">
      <c r="A97" s="1711" t="s">
        <v>452</v>
      </c>
      <c r="B97" s="1616" t="s">
        <v>99</v>
      </c>
      <c r="C97" s="1634"/>
      <c r="D97" s="1617">
        <v>24</v>
      </c>
      <c r="E97" s="1572">
        <v>15</v>
      </c>
      <c r="F97" s="1618">
        <v>9</v>
      </c>
      <c r="G97" s="1572">
        <v>9</v>
      </c>
      <c r="H97" s="1572">
        <v>12</v>
      </c>
      <c r="I97" s="1618">
        <v>3</v>
      </c>
      <c r="J97" s="1618">
        <v>12</v>
      </c>
      <c r="K97" s="1819">
        <v>0</v>
      </c>
    </row>
    <row r="98" spans="1:14">
      <c r="A98" s="1711" t="s">
        <v>452</v>
      </c>
      <c r="B98" s="1616" t="s">
        <v>100</v>
      </c>
      <c r="C98" s="1634"/>
      <c r="D98" s="1617">
        <v>9</v>
      </c>
      <c r="E98" s="1572">
        <v>3</v>
      </c>
      <c r="F98" s="1618">
        <v>3</v>
      </c>
      <c r="G98" s="1572">
        <v>0</v>
      </c>
      <c r="H98" s="1572">
        <v>3</v>
      </c>
      <c r="I98" s="1618">
        <v>3</v>
      </c>
      <c r="J98" s="1618">
        <v>3</v>
      </c>
      <c r="K98" s="1618">
        <v>3</v>
      </c>
    </row>
    <row r="99" spans="1:14">
      <c r="A99" s="1711" t="s">
        <v>452</v>
      </c>
      <c r="B99" s="1616" t="s">
        <v>101</v>
      </c>
      <c r="C99" s="1634"/>
      <c r="D99" s="1617">
        <v>3</v>
      </c>
      <c r="E99" s="1572">
        <v>3</v>
      </c>
      <c r="F99" s="1618">
        <v>0</v>
      </c>
      <c r="G99" s="1572">
        <v>0</v>
      </c>
      <c r="H99" s="1572">
        <v>0</v>
      </c>
      <c r="I99" s="1618">
        <v>3</v>
      </c>
      <c r="J99" s="1618">
        <v>0</v>
      </c>
      <c r="K99" s="1819">
        <v>0</v>
      </c>
    </row>
    <row r="100" spans="1:14">
      <c r="A100" s="1711" t="s">
        <v>452</v>
      </c>
      <c r="B100" s="1620" t="s">
        <v>102</v>
      </c>
      <c r="C100" s="1636"/>
      <c r="D100" s="1621">
        <v>0</v>
      </c>
      <c r="E100" s="1622">
        <v>0</v>
      </c>
      <c r="F100" s="1623">
        <v>0</v>
      </c>
      <c r="G100" s="1622">
        <v>0</v>
      </c>
      <c r="H100" s="1622">
        <v>0</v>
      </c>
      <c r="I100" s="1623">
        <v>0</v>
      </c>
      <c r="J100" s="1623">
        <v>0</v>
      </c>
      <c r="K100" s="1623">
        <v>0</v>
      </c>
    </row>
    <row r="101" spans="1:14">
      <c r="A101" s="1531" t="s">
        <v>418</v>
      </c>
      <c r="B101" s="1611" t="s">
        <v>303</v>
      </c>
      <c r="C101" s="1642"/>
      <c r="D101" s="2196">
        <v>678</v>
      </c>
      <c r="E101" s="2195">
        <v>318</v>
      </c>
      <c r="F101" s="2197">
        <v>360</v>
      </c>
      <c r="G101" s="2195">
        <v>192</v>
      </c>
      <c r="H101" s="2195">
        <v>252</v>
      </c>
      <c r="I101" s="2197">
        <v>234</v>
      </c>
      <c r="J101" s="2197">
        <v>243</v>
      </c>
      <c r="K101" s="2198">
        <v>144</v>
      </c>
    </row>
    <row r="102" spans="1:14">
      <c r="A102" s="1712" t="s">
        <v>418</v>
      </c>
      <c r="B102" s="1639" t="s">
        <v>98</v>
      </c>
      <c r="C102" s="1639"/>
      <c r="D102" s="1617">
        <v>489</v>
      </c>
      <c r="E102" s="1572">
        <v>213</v>
      </c>
      <c r="F102" s="1618">
        <v>279</v>
      </c>
      <c r="G102" s="1624">
        <v>147</v>
      </c>
      <c r="H102" s="1572">
        <v>171</v>
      </c>
      <c r="I102" s="1618">
        <v>171</v>
      </c>
      <c r="J102" s="1618">
        <v>171</v>
      </c>
      <c r="K102" s="1819">
        <v>108</v>
      </c>
    </row>
    <row r="103" spans="1:14">
      <c r="A103" s="1712" t="s">
        <v>418</v>
      </c>
      <c r="B103" s="1639" t="s">
        <v>99</v>
      </c>
      <c r="C103" s="1639"/>
      <c r="D103" s="1617">
        <v>54</v>
      </c>
      <c r="E103" s="1572">
        <v>33</v>
      </c>
      <c r="F103" s="1618">
        <v>21</v>
      </c>
      <c r="G103" s="1572">
        <v>15</v>
      </c>
      <c r="H103" s="1572">
        <v>27</v>
      </c>
      <c r="I103" s="1618">
        <v>12</v>
      </c>
      <c r="J103" s="1618">
        <v>21</v>
      </c>
      <c r="K103" s="1819">
        <v>6</v>
      </c>
    </row>
    <row r="104" spans="1:14">
      <c r="A104" s="1712" t="s">
        <v>418</v>
      </c>
      <c r="B104" s="1639" t="s">
        <v>100</v>
      </c>
      <c r="C104" s="1639"/>
      <c r="D104" s="1617">
        <v>51</v>
      </c>
      <c r="E104" s="1572">
        <v>24</v>
      </c>
      <c r="F104" s="1618">
        <v>30</v>
      </c>
      <c r="G104" s="1572">
        <v>9</v>
      </c>
      <c r="H104" s="1572">
        <v>27</v>
      </c>
      <c r="I104" s="1618">
        <v>18</v>
      </c>
      <c r="J104" s="1618">
        <v>24</v>
      </c>
      <c r="K104" s="1618">
        <v>15</v>
      </c>
    </row>
    <row r="105" spans="1:14">
      <c r="A105" s="1712" t="s">
        <v>418</v>
      </c>
      <c r="B105" s="1639" t="s">
        <v>101</v>
      </c>
      <c r="C105" s="1639"/>
      <c r="D105" s="1617">
        <v>42</v>
      </c>
      <c r="E105" s="1572">
        <v>24</v>
      </c>
      <c r="F105" s="1618">
        <v>15</v>
      </c>
      <c r="G105" s="1572">
        <v>9</v>
      </c>
      <c r="H105" s="1572">
        <v>12</v>
      </c>
      <c r="I105" s="1618">
        <v>21</v>
      </c>
      <c r="J105" s="1618">
        <v>12</v>
      </c>
      <c r="K105" s="1819">
        <v>12</v>
      </c>
    </row>
    <row r="106" spans="1:14">
      <c r="A106" s="1715" t="s">
        <v>418</v>
      </c>
      <c r="B106" s="1639" t="s">
        <v>102</v>
      </c>
      <c r="C106" s="1639"/>
      <c r="D106" s="1621">
        <v>42</v>
      </c>
      <c r="E106" s="1622">
        <v>27</v>
      </c>
      <c r="F106" s="1623">
        <v>15</v>
      </c>
      <c r="G106" s="1622">
        <v>9</v>
      </c>
      <c r="H106" s="1622">
        <v>18</v>
      </c>
      <c r="I106" s="1623">
        <v>15</v>
      </c>
      <c r="J106" s="1623">
        <v>18</v>
      </c>
      <c r="K106" s="1623">
        <v>3</v>
      </c>
    </row>
    <row r="107" spans="1:14">
      <c r="A107" s="1601" t="s">
        <v>552</v>
      </c>
      <c r="B107" s="1412"/>
      <c r="C107" s="1412"/>
      <c r="D107" s="1412"/>
      <c r="E107" s="1412"/>
      <c r="F107" s="1412"/>
      <c r="G107" s="1412"/>
      <c r="H107" s="1412"/>
      <c r="I107" s="1794"/>
      <c r="J107" s="1572"/>
      <c r="K107" s="1572"/>
      <c r="M107" s="1952"/>
      <c r="N107" s="1613"/>
    </row>
    <row r="108" spans="1:14" ht="66">
      <c r="A108" s="1409" t="s">
        <v>43</v>
      </c>
      <c r="B108" s="1713" t="s">
        <v>465</v>
      </c>
      <c r="C108" s="1713" t="s">
        <v>475</v>
      </c>
      <c r="D108" s="1706" t="s">
        <v>94</v>
      </c>
      <c r="E108" s="1707" t="s">
        <v>92</v>
      </c>
      <c r="F108" s="1409" t="s">
        <v>93</v>
      </c>
      <c r="G108" s="1419" t="s">
        <v>480</v>
      </c>
      <c r="H108" s="1419" t="s">
        <v>422</v>
      </c>
      <c r="I108" s="1418" t="s">
        <v>423</v>
      </c>
      <c r="J108" s="1572"/>
      <c r="K108" s="1572"/>
    </row>
    <row r="109" spans="1:14">
      <c r="A109" s="1603" t="s">
        <v>437</v>
      </c>
      <c r="B109" s="1611" t="s">
        <v>303</v>
      </c>
      <c r="C109" s="1642"/>
      <c r="D109" s="1613">
        <f>SUM(D110:D114)</f>
        <v>6</v>
      </c>
      <c r="E109" s="1613">
        <f t="shared" ref="E109:I109" si="16">SUM(E110:E114)</f>
        <v>0</v>
      </c>
      <c r="F109" s="1613">
        <f t="shared" si="16"/>
        <v>6</v>
      </c>
      <c r="G109" s="1612">
        <f t="shared" si="16"/>
        <v>6</v>
      </c>
      <c r="H109" s="1613">
        <f t="shared" si="16"/>
        <v>0</v>
      </c>
      <c r="I109" s="1613">
        <f t="shared" si="16"/>
        <v>6</v>
      </c>
      <c r="J109" s="1572"/>
      <c r="K109" s="1572"/>
    </row>
    <row r="110" spans="1:14">
      <c r="A110" s="1684" t="s">
        <v>437</v>
      </c>
      <c r="B110" s="1616" t="s">
        <v>98</v>
      </c>
      <c r="C110" s="1616"/>
      <c r="D110" s="1640">
        <v>3</v>
      </c>
      <c r="E110" s="1572">
        <v>0</v>
      </c>
      <c r="F110" s="1572">
        <v>3</v>
      </c>
      <c r="G110" s="1624">
        <v>3</v>
      </c>
      <c r="H110" s="1572">
        <v>0</v>
      </c>
      <c r="I110" s="1572">
        <v>3</v>
      </c>
      <c r="J110" s="1572"/>
      <c r="K110" s="1572"/>
    </row>
    <row r="111" spans="1:14">
      <c r="A111" s="1684" t="s">
        <v>437</v>
      </c>
      <c r="B111" s="1619" t="s">
        <v>99</v>
      </c>
      <c r="C111" s="1619"/>
      <c r="D111" s="1640">
        <v>3</v>
      </c>
      <c r="E111" s="1572">
        <v>0</v>
      </c>
      <c r="F111" s="1572">
        <v>3</v>
      </c>
      <c r="G111" s="1624">
        <v>3</v>
      </c>
      <c r="H111" s="1572">
        <v>0</v>
      </c>
      <c r="I111" s="1572">
        <v>3</v>
      </c>
      <c r="J111" s="1572"/>
      <c r="K111" s="1572"/>
    </row>
    <row r="112" spans="1:14">
      <c r="A112" s="1684" t="s">
        <v>437</v>
      </c>
      <c r="B112" s="1616" t="s">
        <v>100</v>
      </c>
      <c r="C112" s="1616"/>
      <c r="D112" s="1640">
        <v>0</v>
      </c>
      <c r="E112" s="1572">
        <v>0</v>
      </c>
      <c r="F112" s="1572">
        <v>0</v>
      </c>
      <c r="G112" s="1624">
        <v>0</v>
      </c>
      <c r="H112" s="1572">
        <v>0</v>
      </c>
      <c r="I112" s="1572">
        <v>0</v>
      </c>
      <c r="J112" s="1572"/>
      <c r="K112" s="1572"/>
    </row>
    <row r="113" spans="1:11">
      <c r="A113" s="1684" t="s">
        <v>437</v>
      </c>
      <c r="B113" s="1616" t="s">
        <v>101</v>
      </c>
      <c r="C113" s="1616"/>
      <c r="D113" s="1640">
        <v>0</v>
      </c>
      <c r="E113" s="1572">
        <v>0</v>
      </c>
      <c r="F113" s="1572">
        <v>0</v>
      </c>
      <c r="G113" s="1624">
        <v>0</v>
      </c>
      <c r="H113" s="1572">
        <v>0</v>
      </c>
      <c r="I113" s="1572">
        <v>0</v>
      </c>
      <c r="J113" s="1572"/>
      <c r="K113" s="1572"/>
    </row>
    <row r="114" spans="1:11">
      <c r="A114" s="1684" t="s">
        <v>437</v>
      </c>
      <c r="B114" s="1620" t="s">
        <v>102</v>
      </c>
      <c r="C114" s="1620"/>
      <c r="D114" s="1641">
        <v>0</v>
      </c>
      <c r="E114" s="1622">
        <v>0</v>
      </c>
      <c r="F114" s="1622">
        <v>0</v>
      </c>
      <c r="G114" s="1629">
        <v>0</v>
      </c>
      <c r="H114" s="1622">
        <v>0</v>
      </c>
      <c r="I114" s="1622">
        <v>0</v>
      </c>
      <c r="J114" s="1572"/>
      <c r="K114" s="1572"/>
    </row>
    <row r="115" spans="1:11">
      <c r="A115" s="1603" t="s">
        <v>438</v>
      </c>
      <c r="B115" s="1611" t="s">
        <v>303</v>
      </c>
      <c r="C115" s="1611"/>
      <c r="D115" s="1613">
        <f>SUM(D116:D120)</f>
        <v>0</v>
      </c>
      <c r="E115" s="1613">
        <f t="shared" ref="E115" si="17">SUM(E116:E120)</f>
        <v>0</v>
      </c>
      <c r="F115" s="1613">
        <f t="shared" ref="F115" si="18">SUM(F116:F120)</f>
        <v>0</v>
      </c>
      <c r="G115" s="1612">
        <f t="shared" ref="G115" si="19">SUM(G116:G120)</f>
        <v>0</v>
      </c>
      <c r="H115" s="1613">
        <f t="shared" ref="H115" si="20">SUM(H116:H120)</f>
        <v>0</v>
      </c>
      <c r="I115" s="1613">
        <f t="shared" ref="I115" si="21">SUM(I116:I120)</f>
        <v>0</v>
      </c>
      <c r="J115" s="1572"/>
      <c r="K115" s="1572"/>
    </row>
    <row r="116" spans="1:11">
      <c r="A116" s="1684" t="s">
        <v>438</v>
      </c>
      <c r="B116" s="1616" t="s">
        <v>98</v>
      </c>
      <c r="C116" s="1616"/>
      <c r="D116" s="1640">
        <v>0</v>
      </c>
      <c r="E116" s="1572">
        <v>0</v>
      </c>
      <c r="F116" s="1572">
        <v>0</v>
      </c>
      <c r="G116" s="1624">
        <v>0</v>
      </c>
      <c r="H116" s="1572">
        <v>0</v>
      </c>
      <c r="I116" s="1572">
        <v>0</v>
      </c>
      <c r="J116" s="1572"/>
      <c r="K116" s="1572"/>
    </row>
    <row r="117" spans="1:11">
      <c r="A117" s="1684" t="s">
        <v>438</v>
      </c>
      <c r="B117" s="1616" t="s">
        <v>99</v>
      </c>
      <c r="C117" s="1616"/>
      <c r="D117" s="1640">
        <v>0</v>
      </c>
      <c r="E117" s="1572">
        <v>0</v>
      </c>
      <c r="F117" s="1572">
        <v>0</v>
      </c>
      <c r="G117" s="1624">
        <v>0</v>
      </c>
      <c r="H117" s="1572">
        <v>0</v>
      </c>
      <c r="I117" s="1572">
        <v>0</v>
      </c>
      <c r="J117" s="1572"/>
      <c r="K117" s="1572"/>
    </row>
    <row r="118" spans="1:11">
      <c r="A118" s="1684" t="s">
        <v>438</v>
      </c>
      <c r="B118" s="1616" t="s">
        <v>100</v>
      </c>
      <c r="C118" s="1616"/>
      <c r="D118" s="1640">
        <v>0</v>
      </c>
      <c r="E118" s="1572">
        <v>0</v>
      </c>
      <c r="F118" s="1572">
        <v>0</v>
      </c>
      <c r="G118" s="1624">
        <v>0</v>
      </c>
      <c r="H118" s="1572">
        <v>0</v>
      </c>
      <c r="I118" s="1572">
        <v>0</v>
      </c>
      <c r="J118" s="1572"/>
      <c r="K118" s="1572"/>
    </row>
    <row r="119" spans="1:11">
      <c r="A119" s="1684" t="s">
        <v>438</v>
      </c>
      <c r="B119" s="1626" t="s">
        <v>101</v>
      </c>
      <c r="C119" s="1626"/>
      <c r="D119" s="1640">
        <v>0</v>
      </c>
      <c r="E119" s="1572">
        <v>0</v>
      </c>
      <c r="F119" s="1572">
        <v>0</v>
      </c>
      <c r="G119" s="1624">
        <v>0</v>
      </c>
      <c r="H119" s="1572">
        <v>0</v>
      </c>
      <c r="I119" s="1572">
        <v>0</v>
      </c>
      <c r="J119" s="1572"/>
      <c r="K119" s="1572"/>
    </row>
    <row r="120" spans="1:11">
      <c r="A120" s="1684" t="s">
        <v>438</v>
      </c>
      <c r="B120" s="1627" t="s">
        <v>102</v>
      </c>
      <c r="C120" s="1627"/>
      <c r="D120" s="1641">
        <v>0</v>
      </c>
      <c r="E120" s="1622">
        <v>0</v>
      </c>
      <c r="F120" s="1622">
        <v>0</v>
      </c>
      <c r="G120" s="1629">
        <v>0</v>
      </c>
      <c r="H120" s="1622">
        <v>0</v>
      </c>
      <c r="I120" s="1622">
        <v>0</v>
      </c>
      <c r="J120" s="1572"/>
      <c r="K120" s="1572"/>
    </row>
    <row r="121" spans="1:11">
      <c r="A121" s="1603" t="s">
        <v>439</v>
      </c>
      <c r="B121" s="1611" t="s">
        <v>303</v>
      </c>
      <c r="C121" s="1611"/>
      <c r="D121" s="1613">
        <f>SUM(D122:D126)</f>
        <v>9</v>
      </c>
      <c r="E121" s="1613">
        <f t="shared" ref="E121:I121" si="22">SUM(E122:E126)</f>
        <v>6</v>
      </c>
      <c r="F121" s="1613">
        <f t="shared" si="22"/>
        <v>3</v>
      </c>
      <c r="G121" s="1612">
        <f t="shared" si="22"/>
        <v>9</v>
      </c>
      <c r="H121" s="1613">
        <f t="shared" si="22"/>
        <v>3</v>
      </c>
      <c r="I121" s="1613">
        <f t="shared" si="22"/>
        <v>3</v>
      </c>
      <c r="J121" s="1572"/>
      <c r="K121" s="1572"/>
    </row>
    <row r="122" spans="1:11">
      <c r="A122" s="1684" t="s">
        <v>439</v>
      </c>
      <c r="B122" s="1626" t="s">
        <v>98</v>
      </c>
      <c r="C122" s="1626"/>
      <c r="D122" s="1640">
        <v>0</v>
      </c>
      <c r="E122" s="1572">
        <v>0</v>
      </c>
      <c r="F122" s="1572">
        <v>0</v>
      </c>
      <c r="G122" s="1624">
        <v>0</v>
      </c>
      <c r="H122" s="1572">
        <v>0</v>
      </c>
      <c r="I122" s="1572">
        <v>0</v>
      </c>
      <c r="J122" s="1572"/>
      <c r="K122" s="1572"/>
    </row>
    <row r="123" spans="1:11">
      <c r="A123" s="1684" t="s">
        <v>439</v>
      </c>
      <c r="B123" s="1616" t="s">
        <v>99</v>
      </c>
      <c r="C123" s="1616"/>
      <c r="D123" s="1640">
        <v>0</v>
      </c>
      <c r="E123" s="1572">
        <v>0</v>
      </c>
      <c r="F123" s="1572">
        <v>0</v>
      </c>
      <c r="G123" s="1624">
        <v>0</v>
      </c>
      <c r="H123" s="1572">
        <v>0</v>
      </c>
      <c r="I123" s="1572">
        <v>0</v>
      </c>
      <c r="J123" s="1572"/>
      <c r="K123" s="1572"/>
    </row>
    <row r="124" spans="1:11">
      <c r="A124" s="1684" t="s">
        <v>439</v>
      </c>
      <c r="B124" s="1616" t="s">
        <v>100</v>
      </c>
      <c r="C124" s="1616"/>
      <c r="D124" s="1640">
        <v>3</v>
      </c>
      <c r="E124" s="1572">
        <v>0</v>
      </c>
      <c r="F124" s="1572">
        <v>0</v>
      </c>
      <c r="G124" s="1624">
        <v>3</v>
      </c>
      <c r="H124" s="1572">
        <v>0</v>
      </c>
      <c r="I124" s="1572">
        <v>0</v>
      </c>
      <c r="J124" s="1572"/>
      <c r="K124" s="1572"/>
    </row>
    <row r="125" spans="1:11">
      <c r="A125" s="1684" t="s">
        <v>439</v>
      </c>
      <c r="B125" s="1616" t="s">
        <v>101</v>
      </c>
      <c r="C125" s="1616"/>
      <c r="D125" s="1640">
        <v>3</v>
      </c>
      <c r="E125" s="1572">
        <v>3</v>
      </c>
      <c r="F125" s="1572">
        <v>3</v>
      </c>
      <c r="G125" s="1624">
        <v>3</v>
      </c>
      <c r="H125" s="1572">
        <v>0</v>
      </c>
      <c r="I125" s="1572">
        <v>3</v>
      </c>
      <c r="J125" s="1572"/>
      <c r="K125" s="1572"/>
    </row>
    <row r="126" spans="1:11">
      <c r="A126" s="1684" t="s">
        <v>439</v>
      </c>
      <c r="B126" s="1620" t="s">
        <v>102</v>
      </c>
      <c r="C126" s="1620"/>
      <c r="D126" s="1621">
        <v>3</v>
      </c>
      <c r="E126" s="1622">
        <v>3</v>
      </c>
      <c r="F126" s="1622">
        <v>0</v>
      </c>
      <c r="G126" s="1629">
        <v>3</v>
      </c>
      <c r="H126" s="1622">
        <v>3</v>
      </c>
      <c r="I126" s="1622">
        <v>0</v>
      </c>
      <c r="J126" s="1572"/>
      <c r="K126" s="1572"/>
    </row>
    <row r="127" spans="1:11">
      <c r="A127" s="1603" t="s">
        <v>440</v>
      </c>
      <c r="B127" s="1611" t="s">
        <v>303</v>
      </c>
      <c r="C127" s="1611"/>
      <c r="D127" s="1613">
        <f>SUM(D128:D132)</f>
        <v>0</v>
      </c>
      <c r="E127" s="1613">
        <f t="shared" ref="E127" si="23">SUM(E128:E132)</f>
        <v>0</v>
      </c>
      <c r="F127" s="1613">
        <f t="shared" ref="F127" si="24">SUM(F128:F132)</f>
        <v>0</v>
      </c>
      <c r="G127" s="1612">
        <f t="shared" ref="G127" si="25">SUM(G128:G132)</f>
        <v>0</v>
      </c>
      <c r="H127" s="1613">
        <f t="shared" ref="H127" si="26">SUM(H128:H132)</f>
        <v>0</v>
      </c>
      <c r="I127" s="1613">
        <f t="shared" ref="I127" si="27">SUM(I128:I132)</f>
        <v>0</v>
      </c>
      <c r="J127" s="1572"/>
      <c r="K127" s="1572"/>
    </row>
    <row r="128" spans="1:11">
      <c r="A128" s="1684" t="s">
        <v>440</v>
      </c>
      <c r="B128" s="1616" t="s">
        <v>98</v>
      </c>
      <c r="C128" s="1616"/>
      <c r="D128" s="1640">
        <v>0</v>
      </c>
      <c r="E128" s="1572">
        <v>0</v>
      </c>
      <c r="F128" s="1572">
        <v>0</v>
      </c>
      <c r="G128" s="1624">
        <v>0</v>
      </c>
      <c r="H128" s="1572">
        <v>0</v>
      </c>
      <c r="I128" s="1572">
        <v>0</v>
      </c>
      <c r="J128" s="1572"/>
      <c r="K128" s="1572"/>
    </row>
    <row r="129" spans="1:11">
      <c r="A129" s="1684" t="s">
        <v>440</v>
      </c>
      <c r="B129" s="1616" t="s">
        <v>99</v>
      </c>
      <c r="C129" s="1616"/>
      <c r="D129" s="1640">
        <v>0</v>
      </c>
      <c r="E129" s="1572">
        <v>0</v>
      </c>
      <c r="F129" s="1572">
        <v>0</v>
      </c>
      <c r="G129" s="1624">
        <v>0</v>
      </c>
      <c r="H129" s="1572">
        <v>0</v>
      </c>
      <c r="I129" s="1572">
        <v>0</v>
      </c>
      <c r="J129" s="1572"/>
      <c r="K129" s="1572"/>
    </row>
    <row r="130" spans="1:11">
      <c r="A130" s="1684" t="s">
        <v>440</v>
      </c>
      <c r="B130" s="1616" t="s">
        <v>100</v>
      </c>
      <c r="C130" s="1616"/>
      <c r="D130" s="1640">
        <v>0</v>
      </c>
      <c r="E130" s="1572">
        <v>0</v>
      </c>
      <c r="F130" s="1572">
        <v>0</v>
      </c>
      <c r="G130" s="1624">
        <v>0</v>
      </c>
      <c r="H130" s="1572">
        <v>0</v>
      </c>
      <c r="I130" s="1572">
        <v>0</v>
      </c>
      <c r="J130" s="1572"/>
      <c r="K130" s="1572"/>
    </row>
    <row r="131" spans="1:11">
      <c r="A131" s="1684" t="s">
        <v>440</v>
      </c>
      <c r="B131" s="1616" t="s">
        <v>101</v>
      </c>
      <c r="C131" s="1616"/>
      <c r="D131" s="1640">
        <v>0</v>
      </c>
      <c r="E131" s="1572">
        <v>0</v>
      </c>
      <c r="F131" s="1572">
        <v>0</v>
      </c>
      <c r="G131" s="1624">
        <v>0</v>
      </c>
      <c r="H131" s="1572">
        <v>0</v>
      </c>
      <c r="I131" s="1572">
        <v>0</v>
      </c>
      <c r="J131" s="1572"/>
      <c r="K131" s="1572"/>
    </row>
    <row r="132" spans="1:11">
      <c r="A132" s="1684" t="s">
        <v>440</v>
      </c>
      <c r="B132" s="1620" t="s">
        <v>102</v>
      </c>
      <c r="C132" s="1620"/>
      <c r="D132" s="1641">
        <v>0</v>
      </c>
      <c r="E132" s="1622">
        <v>0</v>
      </c>
      <c r="F132" s="1622">
        <v>0</v>
      </c>
      <c r="G132" s="1629">
        <v>0</v>
      </c>
      <c r="H132" s="1622">
        <v>0</v>
      </c>
      <c r="I132" s="1622">
        <v>0</v>
      </c>
    </row>
    <row r="133" spans="1:11">
      <c r="A133" s="1603" t="s">
        <v>441</v>
      </c>
      <c r="B133" s="1611" t="s">
        <v>303</v>
      </c>
      <c r="C133" s="1611"/>
      <c r="D133" s="1613">
        <f>SUM(D134:D138)</f>
        <v>3</v>
      </c>
      <c r="E133" s="1613">
        <f t="shared" ref="E133:I133" si="28">SUM(E134:E138)</f>
        <v>3</v>
      </c>
      <c r="F133" s="1613">
        <f t="shared" si="28"/>
        <v>0</v>
      </c>
      <c r="G133" s="1612">
        <f t="shared" si="28"/>
        <v>0</v>
      </c>
      <c r="H133" s="1613">
        <f t="shared" si="28"/>
        <v>0</v>
      </c>
      <c r="I133" s="1613">
        <f t="shared" si="28"/>
        <v>0</v>
      </c>
    </row>
    <row r="134" spans="1:11">
      <c r="A134" s="1684" t="s">
        <v>441</v>
      </c>
      <c r="B134" s="1616" t="s">
        <v>98</v>
      </c>
      <c r="C134" s="1616"/>
      <c r="D134" s="1640">
        <v>0</v>
      </c>
      <c r="E134" s="1572">
        <v>0</v>
      </c>
      <c r="F134" s="1572">
        <v>0</v>
      </c>
      <c r="G134" s="1624">
        <v>0</v>
      </c>
      <c r="H134" s="1572">
        <v>0</v>
      </c>
      <c r="I134" s="1572">
        <v>0</v>
      </c>
    </row>
    <row r="135" spans="1:11">
      <c r="A135" s="1684" t="s">
        <v>441</v>
      </c>
      <c r="B135" s="1616" t="s">
        <v>99</v>
      </c>
      <c r="C135" s="1616"/>
      <c r="D135" s="1640">
        <v>0</v>
      </c>
      <c r="E135" s="1572">
        <v>0</v>
      </c>
      <c r="F135" s="1572">
        <v>0</v>
      </c>
      <c r="G135" s="1624">
        <v>0</v>
      </c>
      <c r="H135" s="1572">
        <v>0</v>
      </c>
      <c r="I135" s="1572">
        <v>0</v>
      </c>
    </row>
    <row r="136" spans="1:11">
      <c r="A136" s="1684" t="s">
        <v>441</v>
      </c>
      <c r="B136" s="1616" t="s">
        <v>100</v>
      </c>
      <c r="C136" s="1616"/>
      <c r="D136" s="1640">
        <v>3</v>
      </c>
      <c r="E136" s="1572">
        <v>3</v>
      </c>
      <c r="F136" s="1572">
        <v>0</v>
      </c>
      <c r="G136" s="1624">
        <v>0</v>
      </c>
      <c r="H136" s="1572">
        <v>0</v>
      </c>
      <c r="I136" s="1572">
        <v>0</v>
      </c>
    </row>
    <row r="137" spans="1:11">
      <c r="A137" s="1684" t="s">
        <v>441</v>
      </c>
      <c r="B137" s="1616" t="s">
        <v>101</v>
      </c>
      <c r="C137" s="1616"/>
      <c r="D137" s="1640">
        <v>0</v>
      </c>
      <c r="E137" s="1572">
        <v>0</v>
      </c>
      <c r="F137" s="1572">
        <v>0</v>
      </c>
      <c r="G137" s="1624">
        <v>0</v>
      </c>
      <c r="H137" s="1572">
        <v>0</v>
      </c>
      <c r="I137" s="1572">
        <v>0</v>
      </c>
    </row>
    <row r="138" spans="1:11">
      <c r="A138" s="1684" t="s">
        <v>441</v>
      </c>
      <c r="B138" s="1620" t="s">
        <v>102</v>
      </c>
      <c r="C138" s="1620"/>
      <c r="D138" s="1641">
        <v>0</v>
      </c>
      <c r="E138" s="1622">
        <v>0</v>
      </c>
      <c r="F138" s="1622">
        <v>0</v>
      </c>
      <c r="G138" s="1629">
        <v>0</v>
      </c>
      <c r="H138" s="1622">
        <v>0</v>
      </c>
      <c r="I138" s="1622">
        <v>0</v>
      </c>
    </row>
    <row r="139" spans="1:11">
      <c r="A139" s="1603" t="s">
        <v>442</v>
      </c>
      <c r="B139" s="1611" t="s">
        <v>303</v>
      </c>
      <c r="C139" s="1611"/>
      <c r="D139" s="1613">
        <f>SUM(D140:D144)</f>
        <v>6</v>
      </c>
      <c r="E139" s="1613">
        <f t="shared" ref="E139:I139" si="29">SUM(E140:E144)</f>
        <v>0</v>
      </c>
      <c r="F139" s="1613">
        <f t="shared" si="29"/>
        <v>3</v>
      </c>
      <c r="G139" s="1612">
        <f t="shared" si="29"/>
        <v>3</v>
      </c>
      <c r="H139" s="1613">
        <f t="shared" si="29"/>
        <v>0</v>
      </c>
      <c r="I139" s="1613">
        <f t="shared" si="29"/>
        <v>0</v>
      </c>
    </row>
    <row r="140" spans="1:11">
      <c r="A140" s="1684" t="s">
        <v>442</v>
      </c>
      <c r="B140" s="1616" t="s">
        <v>98</v>
      </c>
      <c r="C140" s="1616"/>
      <c r="D140" s="1640">
        <v>0</v>
      </c>
      <c r="E140" s="1572">
        <v>0</v>
      </c>
      <c r="F140" s="1572">
        <v>0</v>
      </c>
      <c r="G140" s="1624">
        <v>0</v>
      </c>
      <c r="H140" s="1572">
        <v>0</v>
      </c>
      <c r="I140" s="1572">
        <v>0</v>
      </c>
    </row>
    <row r="141" spans="1:11">
      <c r="A141" s="1684" t="s">
        <v>442</v>
      </c>
      <c r="B141" s="1616" t="s">
        <v>99</v>
      </c>
      <c r="C141" s="1616"/>
      <c r="D141" s="1640">
        <v>0</v>
      </c>
      <c r="E141" s="1572">
        <v>0</v>
      </c>
      <c r="F141" s="1572">
        <v>0</v>
      </c>
      <c r="G141" s="1624">
        <v>0</v>
      </c>
      <c r="H141" s="1572">
        <v>0</v>
      </c>
      <c r="I141" s="1572">
        <v>0</v>
      </c>
    </row>
    <row r="142" spans="1:11">
      <c r="A142" s="1684" t="s">
        <v>442</v>
      </c>
      <c r="B142" s="1616" t="s">
        <v>100</v>
      </c>
      <c r="C142" s="1616"/>
      <c r="D142" s="1640">
        <v>3</v>
      </c>
      <c r="E142" s="1572">
        <v>0</v>
      </c>
      <c r="F142" s="1572">
        <v>3</v>
      </c>
      <c r="G142" s="1624">
        <v>0</v>
      </c>
      <c r="H142" s="1572">
        <v>0</v>
      </c>
      <c r="I142" s="1572">
        <v>0</v>
      </c>
    </row>
    <row r="143" spans="1:11">
      <c r="A143" s="1684" t="s">
        <v>442</v>
      </c>
      <c r="B143" s="1616" t="s">
        <v>101</v>
      </c>
      <c r="C143" s="1616"/>
      <c r="D143" s="1640">
        <v>0</v>
      </c>
      <c r="E143" s="1572">
        <v>0</v>
      </c>
      <c r="F143" s="1572">
        <v>0</v>
      </c>
      <c r="G143" s="1624">
        <v>0</v>
      </c>
      <c r="H143" s="1572">
        <v>0</v>
      </c>
      <c r="I143" s="1572">
        <v>0</v>
      </c>
    </row>
    <row r="144" spans="1:11">
      <c r="A144" s="1831" t="s">
        <v>442</v>
      </c>
      <c r="B144" s="1832" t="s">
        <v>102</v>
      </c>
      <c r="C144" s="1832"/>
      <c r="D144" s="1641">
        <v>3</v>
      </c>
      <c r="E144" s="1622">
        <v>0</v>
      </c>
      <c r="F144" s="1622">
        <v>0</v>
      </c>
      <c r="G144" s="1629">
        <v>3</v>
      </c>
      <c r="H144" s="1622">
        <v>0</v>
      </c>
      <c r="I144" s="1622">
        <v>0</v>
      </c>
    </row>
    <row r="145" spans="1:9">
      <c r="A145" s="1833" t="s">
        <v>443</v>
      </c>
      <c r="B145" s="1834" t="s">
        <v>303</v>
      </c>
      <c r="C145" s="1834"/>
      <c r="D145" s="1613">
        <f>SUM(D146:D150)</f>
        <v>0</v>
      </c>
      <c r="E145" s="1613">
        <f t="shared" ref="E145:I145" si="30">SUM(E146:E150)</f>
        <v>0</v>
      </c>
      <c r="F145" s="1613">
        <f t="shared" si="30"/>
        <v>0</v>
      </c>
      <c r="G145" s="1612">
        <f t="shared" si="30"/>
        <v>0</v>
      </c>
      <c r="H145" s="1613">
        <f t="shared" si="30"/>
        <v>0</v>
      </c>
      <c r="I145" s="1613">
        <f t="shared" si="30"/>
        <v>0</v>
      </c>
    </row>
    <row r="146" spans="1:9">
      <c r="A146" s="1684" t="s">
        <v>443</v>
      </c>
      <c r="B146" s="1616" t="s">
        <v>98</v>
      </c>
      <c r="C146" s="1616"/>
      <c r="D146" s="1640">
        <v>0</v>
      </c>
      <c r="E146" s="1572">
        <v>0</v>
      </c>
      <c r="F146" s="1572">
        <v>0</v>
      </c>
      <c r="G146" s="1624">
        <v>0</v>
      </c>
      <c r="H146" s="1572">
        <v>0</v>
      </c>
      <c r="I146" s="1572">
        <v>0</v>
      </c>
    </row>
    <row r="147" spans="1:9">
      <c r="A147" s="1684" t="s">
        <v>443</v>
      </c>
      <c r="B147" s="1616" t="s">
        <v>99</v>
      </c>
      <c r="C147" s="1616"/>
      <c r="D147" s="1640">
        <v>0</v>
      </c>
      <c r="E147" s="1572">
        <v>0</v>
      </c>
      <c r="F147" s="1572">
        <v>0</v>
      </c>
      <c r="G147" s="1624">
        <v>0</v>
      </c>
      <c r="H147" s="1572">
        <v>0</v>
      </c>
      <c r="I147" s="1572">
        <v>0</v>
      </c>
    </row>
    <row r="148" spans="1:9">
      <c r="A148" s="1684" t="s">
        <v>443</v>
      </c>
      <c r="B148" s="1616" t="s">
        <v>100</v>
      </c>
      <c r="C148" s="1616"/>
      <c r="D148" s="1640">
        <v>0</v>
      </c>
      <c r="E148" s="1572">
        <v>0</v>
      </c>
      <c r="F148" s="1572">
        <v>0</v>
      </c>
      <c r="G148" s="1624">
        <v>0</v>
      </c>
      <c r="H148" s="1572">
        <v>0</v>
      </c>
      <c r="I148" s="1572">
        <v>0</v>
      </c>
    </row>
    <row r="149" spans="1:9">
      <c r="A149" s="1684" t="s">
        <v>443</v>
      </c>
      <c r="B149" s="1616" t="s">
        <v>101</v>
      </c>
      <c r="C149" s="1616"/>
      <c r="D149" s="1640">
        <v>0</v>
      </c>
      <c r="E149" s="1572">
        <v>0</v>
      </c>
      <c r="F149" s="1572">
        <v>0</v>
      </c>
      <c r="G149" s="1624">
        <v>0</v>
      </c>
      <c r="H149" s="1572">
        <v>0</v>
      </c>
      <c r="I149" s="1572">
        <v>0</v>
      </c>
    </row>
    <row r="150" spans="1:9">
      <c r="A150" s="1684" t="s">
        <v>443</v>
      </c>
      <c r="B150" s="1620" t="s">
        <v>102</v>
      </c>
      <c r="C150" s="1620"/>
      <c r="D150" s="1641">
        <v>0</v>
      </c>
      <c r="E150" s="1622">
        <v>0</v>
      </c>
      <c r="F150" s="1622">
        <v>0</v>
      </c>
      <c r="G150" s="1629">
        <v>0</v>
      </c>
      <c r="H150" s="1622">
        <v>0</v>
      </c>
      <c r="I150" s="1622">
        <v>0</v>
      </c>
    </row>
    <row r="151" spans="1:9">
      <c r="A151" s="1603" t="s">
        <v>444</v>
      </c>
      <c r="B151" s="1611" t="s">
        <v>303</v>
      </c>
      <c r="C151" s="1611"/>
      <c r="D151" s="1613">
        <f>SUM(D152:D156)</f>
        <v>0</v>
      </c>
      <c r="E151" s="1613">
        <f t="shared" ref="E151:I151" si="31">SUM(E152:E156)</f>
        <v>0</v>
      </c>
      <c r="F151" s="1613">
        <f t="shared" si="31"/>
        <v>0</v>
      </c>
      <c r="G151" s="1612">
        <f t="shared" si="31"/>
        <v>0</v>
      </c>
      <c r="H151" s="1613">
        <f t="shared" si="31"/>
        <v>0</v>
      </c>
      <c r="I151" s="1613">
        <f t="shared" si="31"/>
        <v>0</v>
      </c>
    </row>
    <row r="152" spans="1:9">
      <c r="A152" s="1684" t="s">
        <v>444</v>
      </c>
      <c r="B152" s="1616" t="s">
        <v>98</v>
      </c>
      <c r="C152" s="1616"/>
      <c r="D152" s="1640">
        <v>0</v>
      </c>
      <c r="E152" s="1572">
        <v>0</v>
      </c>
      <c r="F152" s="1572">
        <v>0</v>
      </c>
      <c r="G152" s="1624">
        <v>0</v>
      </c>
      <c r="H152" s="1572">
        <v>0</v>
      </c>
      <c r="I152" s="1572">
        <v>0</v>
      </c>
    </row>
    <row r="153" spans="1:9">
      <c r="A153" s="1684" t="s">
        <v>444</v>
      </c>
      <c r="B153" s="1616" t="s">
        <v>99</v>
      </c>
      <c r="C153" s="1616"/>
      <c r="D153" s="1640">
        <v>0</v>
      </c>
      <c r="E153" s="1572">
        <v>0</v>
      </c>
      <c r="F153" s="1572">
        <v>0</v>
      </c>
      <c r="G153" s="1624">
        <v>0</v>
      </c>
      <c r="H153" s="1572">
        <v>0</v>
      </c>
      <c r="I153" s="1572">
        <v>0</v>
      </c>
    </row>
    <row r="154" spans="1:9">
      <c r="A154" s="1684" t="s">
        <v>444</v>
      </c>
      <c r="B154" s="1616" t="s">
        <v>100</v>
      </c>
      <c r="C154" s="1616"/>
      <c r="D154" s="1640">
        <v>0</v>
      </c>
      <c r="E154" s="1572">
        <v>0</v>
      </c>
      <c r="F154" s="1572">
        <v>0</v>
      </c>
      <c r="G154" s="1624">
        <v>0</v>
      </c>
      <c r="H154" s="1572">
        <v>0</v>
      </c>
      <c r="I154" s="1572">
        <v>0</v>
      </c>
    </row>
    <row r="155" spans="1:9">
      <c r="A155" s="1684" t="s">
        <v>444</v>
      </c>
      <c r="B155" s="1616" t="s">
        <v>101</v>
      </c>
      <c r="C155" s="1616"/>
      <c r="D155" s="1640">
        <v>0</v>
      </c>
      <c r="E155" s="1572">
        <v>0</v>
      </c>
      <c r="F155" s="1572">
        <v>0</v>
      </c>
      <c r="G155" s="1624">
        <v>0</v>
      </c>
      <c r="H155" s="1572">
        <v>0</v>
      </c>
      <c r="I155" s="1572">
        <v>0</v>
      </c>
    </row>
    <row r="156" spans="1:9">
      <c r="A156" s="1684" t="s">
        <v>444</v>
      </c>
      <c r="B156" s="1620" t="s">
        <v>102</v>
      </c>
      <c r="C156" s="1620"/>
      <c r="D156" s="1641">
        <v>0</v>
      </c>
      <c r="E156" s="1622">
        <v>0</v>
      </c>
      <c r="F156" s="1622">
        <v>0</v>
      </c>
      <c r="G156" s="1629">
        <v>0</v>
      </c>
      <c r="H156" s="1622">
        <v>0</v>
      </c>
      <c r="I156" s="1622">
        <v>0</v>
      </c>
    </row>
    <row r="157" spans="1:9">
      <c r="A157" s="1603" t="s">
        <v>445</v>
      </c>
      <c r="B157" s="1611" t="s">
        <v>303</v>
      </c>
      <c r="C157" s="1611"/>
      <c r="D157" s="1613">
        <f>SUM(D158:D162)</f>
        <v>6</v>
      </c>
      <c r="E157" s="1613">
        <f t="shared" ref="E157:I157" si="32">SUM(E158:E162)</f>
        <v>6</v>
      </c>
      <c r="F157" s="1613">
        <f t="shared" si="32"/>
        <v>0</v>
      </c>
      <c r="G157" s="1612">
        <f t="shared" si="32"/>
        <v>6</v>
      </c>
      <c r="H157" s="1613">
        <f t="shared" si="32"/>
        <v>6</v>
      </c>
      <c r="I157" s="1613">
        <f t="shared" si="32"/>
        <v>0</v>
      </c>
    </row>
    <row r="158" spans="1:9">
      <c r="A158" s="1684" t="s">
        <v>445</v>
      </c>
      <c r="B158" s="1616" t="s">
        <v>98</v>
      </c>
      <c r="C158" s="1616"/>
      <c r="D158" s="1640">
        <v>0</v>
      </c>
      <c r="E158" s="1572">
        <v>0</v>
      </c>
      <c r="F158" s="1572">
        <v>0</v>
      </c>
      <c r="G158" s="1624">
        <v>0</v>
      </c>
      <c r="H158" s="1572">
        <v>0</v>
      </c>
      <c r="I158" s="1572">
        <v>0</v>
      </c>
    </row>
    <row r="159" spans="1:9">
      <c r="A159" s="1684" t="s">
        <v>445</v>
      </c>
      <c r="B159" s="1616" t="s">
        <v>99</v>
      </c>
      <c r="C159" s="1616"/>
      <c r="D159" s="1640">
        <v>0</v>
      </c>
      <c r="E159" s="1572">
        <v>0</v>
      </c>
      <c r="F159" s="1572">
        <v>0</v>
      </c>
      <c r="G159" s="1624">
        <v>0</v>
      </c>
      <c r="H159" s="1572">
        <v>0</v>
      </c>
      <c r="I159" s="1572">
        <v>0</v>
      </c>
    </row>
    <row r="160" spans="1:9">
      <c r="A160" s="1684" t="s">
        <v>445</v>
      </c>
      <c r="B160" s="1616" t="s">
        <v>100</v>
      </c>
      <c r="C160" s="1616"/>
      <c r="D160" s="1640">
        <v>3</v>
      </c>
      <c r="E160" s="1572">
        <v>3</v>
      </c>
      <c r="F160" s="1572">
        <v>0</v>
      </c>
      <c r="G160" s="1624">
        <v>3</v>
      </c>
      <c r="H160" s="1572">
        <v>3</v>
      </c>
      <c r="I160" s="1572">
        <v>0</v>
      </c>
    </row>
    <row r="161" spans="1:9">
      <c r="A161" s="1684" t="s">
        <v>445</v>
      </c>
      <c r="B161" s="1616" t="s">
        <v>101</v>
      </c>
      <c r="C161" s="1616"/>
      <c r="D161" s="1640">
        <v>0</v>
      </c>
      <c r="E161" s="1572">
        <v>0</v>
      </c>
      <c r="F161" s="1572">
        <v>0</v>
      </c>
      <c r="G161" s="1624">
        <v>0</v>
      </c>
      <c r="H161" s="1572">
        <v>0</v>
      </c>
      <c r="I161" s="1572">
        <v>0</v>
      </c>
    </row>
    <row r="162" spans="1:9">
      <c r="A162" s="1684" t="s">
        <v>445</v>
      </c>
      <c r="B162" s="1620" t="s">
        <v>102</v>
      </c>
      <c r="C162" s="1620"/>
      <c r="D162" s="1641">
        <v>3</v>
      </c>
      <c r="E162" s="1622">
        <v>3</v>
      </c>
      <c r="F162" s="1622">
        <v>0</v>
      </c>
      <c r="G162" s="1629">
        <v>3</v>
      </c>
      <c r="H162" s="1622">
        <v>3</v>
      </c>
      <c r="I162" s="1622">
        <v>0</v>
      </c>
    </row>
    <row r="163" spans="1:9">
      <c r="A163" s="1603" t="s">
        <v>446</v>
      </c>
      <c r="B163" s="1611" t="s">
        <v>303</v>
      </c>
      <c r="C163" s="1633"/>
      <c r="D163" s="1643">
        <f>SUM(D164:D168)</f>
        <v>0</v>
      </c>
      <c r="E163" s="1644">
        <f t="shared" ref="E163:I163" si="33">SUM(E164:E168)</f>
        <v>0</v>
      </c>
      <c r="F163" s="1645">
        <f t="shared" si="33"/>
        <v>0</v>
      </c>
      <c r="G163" s="1613">
        <f t="shared" si="33"/>
        <v>0</v>
      </c>
      <c r="H163" s="1613">
        <f t="shared" si="33"/>
        <v>0</v>
      </c>
      <c r="I163" s="1644">
        <f t="shared" si="33"/>
        <v>0</v>
      </c>
    </row>
    <row r="164" spans="1:9">
      <c r="A164" s="1684" t="s">
        <v>446</v>
      </c>
      <c r="B164" s="1616" t="s">
        <v>98</v>
      </c>
      <c r="C164" s="1616"/>
      <c r="D164" s="1640">
        <v>0</v>
      </c>
      <c r="E164" s="1572">
        <v>0</v>
      </c>
      <c r="F164" s="1572">
        <v>0</v>
      </c>
      <c r="G164" s="1624">
        <v>0</v>
      </c>
      <c r="H164" s="1572">
        <v>0</v>
      </c>
      <c r="I164" s="1572">
        <v>0</v>
      </c>
    </row>
    <row r="165" spans="1:9">
      <c r="A165" s="1684" t="s">
        <v>446</v>
      </c>
      <c r="B165" s="1616" t="s">
        <v>99</v>
      </c>
      <c r="C165" s="1616"/>
      <c r="D165" s="1640">
        <v>0</v>
      </c>
      <c r="E165" s="1572">
        <v>0</v>
      </c>
      <c r="F165" s="1572">
        <v>0</v>
      </c>
      <c r="G165" s="1624">
        <v>0</v>
      </c>
      <c r="H165" s="1572">
        <v>0</v>
      </c>
      <c r="I165" s="1572">
        <v>0</v>
      </c>
    </row>
    <row r="166" spans="1:9">
      <c r="A166" s="1684" t="s">
        <v>446</v>
      </c>
      <c r="B166" s="1616" t="s">
        <v>100</v>
      </c>
      <c r="C166" s="1616"/>
      <c r="D166" s="1640">
        <v>0</v>
      </c>
      <c r="E166" s="1572">
        <v>0</v>
      </c>
      <c r="F166" s="1572">
        <v>0</v>
      </c>
      <c r="G166" s="1624">
        <v>0</v>
      </c>
      <c r="H166" s="1572">
        <v>0</v>
      </c>
      <c r="I166" s="1572">
        <v>0</v>
      </c>
    </row>
    <row r="167" spans="1:9">
      <c r="A167" s="1684" t="s">
        <v>446</v>
      </c>
      <c r="B167" s="1616" t="s">
        <v>101</v>
      </c>
      <c r="C167" s="1616"/>
      <c r="D167" s="1640">
        <v>0</v>
      </c>
      <c r="E167" s="1572">
        <v>0</v>
      </c>
      <c r="F167" s="1572">
        <v>0</v>
      </c>
      <c r="G167" s="1624">
        <v>0</v>
      </c>
      <c r="H167" s="1572">
        <v>0</v>
      </c>
      <c r="I167" s="1572">
        <v>0</v>
      </c>
    </row>
    <row r="168" spans="1:9">
      <c r="A168" s="1684" t="s">
        <v>446</v>
      </c>
      <c r="B168" s="1620" t="s">
        <v>102</v>
      </c>
      <c r="C168" s="1620"/>
      <c r="D168" s="1641">
        <v>0</v>
      </c>
      <c r="E168" s="1622">
        <v>0</v>
      </c>
      <c r="F168" s="1622">
        <v>0</v>
      </c>
      <c r="G168" s="1629">
        <v>0</v>
      </c>
      <c r="H168" s="1622">
        <v>0</v>
      </c>
      <c r="I168" s="1622">
        <v>0</v>
      </c>
    </row>
    <row r="169" spans="1:9">
      <c r="A169" s="1603" t="s">
        <v>447</v>
      </c>
      <c r="B169" s="1611" t="s">
        <v>303</v>
      </c>
      <c r="C169" s="1611"/>
      <c r="D169" s="1613">
        <f>SUM(D170:D174)</f>
        <v>3</v>
      </c>
      <c r="E169" s="1613">
        <f t="shared" ref="E169" si="34">SUM(E170:E174)</f>
        <v>0</v>
      </c>
      <c r="F169" s="1613">
        <f t="shared" ref="F169" si="35">SUM(F170:F174)</f>
        <v>3</v>
      </c>
      <c r="G169" s="1612">
        <f t="shared" ref="G169" si="36">SUM(G170:G174)</f>
        <v>0</v>
      </c>
      <c r="H169" s="1613">
        <f t="shared" ref="H169" si="37">SUM(H170:H174)</f>
        <v>0</v>
      </c>
      <c r="I169" s="1613">
        <f t="shared" ref="I169" si="38">SUM(I170:I174)</f>
        <v>0</v>
      </c>
    </row>
    <row r="170" spans="1:9">
      <c r="A170" s="1684" t="s">
        <v>447</v>
      </c>
      <c r="B170" s="1616" t="s">
        <v>98</v>
      </c>
      <c r="C170" s="1616"/>
      <c r="D170" s="1640">
        <v>0</v>
      </c>
      <c r="E170" s="1572">
        <v>0</v>
      </c>
      <c r="F170" s="1572">
        <v>0</v>
      </c>
      <c r="G170" s="1624">
        <v>0</v>
      </c>
      <c r="H170" s="1572">
        <v>0</v>
      </c>
      <c r="I170" s="1572">
        <v>0</v>
      </c>
    </row>
    <row r="171" spans="1:9">
      <c r="A171" s="1684" t="s">
        <v>447</v>
      </c>
      <c r="B171" s="1616" t="s">
        <v>99</v>
      </c>
      <c r="C171" s="1616"/>
      <c r="D171" s="1640">
        <v>0</v>
      </c>
      <c r="E171" s="1572">
        <v>0</v>
      </c>
      <c r="F171" s="1572">
        <v>0</v>
      </c>
      <c r="G171" s="1624">
        <v>0</v>
      </c>
      <c r="H171" s="1572">
        <v>0</v>
      </c>
      <c r="I171" s="1572">
        <v>0</v>
      </c>
    </row>
    <row r="172" spans="1:9">
      <c r="A172" s="1684" t="s">
        <v>447</v>
      </c>
      <c r="B172" s="1616" t="s">
        <v>100</v>
      </c>
      <c r="C172" s="1616"/>
      <c r="D172" s="1640">
        <v>0</v>
      </c>
      <c r="E172" s="1572">
        <v>0</v>
      </c>
      <c r="F172" s="1572">
        <v>0</v>
      </c>
      <c r="G172" s="1624">
        <v>0</v>
      </c>
      <c r="H172" s="1572">
        <v>0</v>
      </c>
      <c r="I172" s="1572">
        <v>0</v>
      </c>
    </row>
    <row r="173" spans="1:9">
      <c r="A173" s="1684" t="s">
        <v>447</v>
      </c>
      <c r="B173" s="1616" t="s">
        <v>101</v>
      </c>
      <c r="C173" s="1616"/>
      <c r="D173" s="1640">
        <v>0</v>
      </c>
      <c r="E173" s="1572">
        <v>0</v>
      </c>
      <c r="F173" s="1572">
        <v>0</v>
      </c>
      <c r="G173" s="1624">
        <v>0</v>
      </c>
      <c r="H173" s="1572">
        <v>0</v>
      </c>
      <c r="I173" s="1572">
        <v>0</v>
      </c>
    </row>
    <row r="174" spans="1:9">
      <c r="A174" s="1684" t="s">
        <v>447</v>
      </c>
      <c r="B174" s="1620" t="s">
        <v>102</v>
      </c>
      <c r="C174" s="1620"/>
      <c r="D174" s="1641">
        <v>3</v>
      </c>
      <c r="E174" s="1622">
        <v>0</v>
      </c>
      <c r="F174" s="1622">
        <v>3</v>
      </c>
      <c r="G174" s="1629">
        <v>0</v>
      </c>
      <c r="H174" s="1622">
        <v>0</v>
      </c>
      <c r="I174" s="1622">
        <v>0</v>
      </c>
    </row>
    <row r="175" spans="1:9">
      <c r="A175" s="1603" t="s">
        <v>448</v>
      </c>
      <c r="B175" s="1611" t="s">
        <v>303</v>
      </c>
      <c r="C175" s="1611"/>
      <c r="D175" s="1613">
        <f>SUM(D176:D180)</f>
        <v>39</v>
      </c>
      <c r="E175" s="1613">
        <f t="shared" ref="E175:I175" si="39">SUM(E176:E180)</f>
        <v>9</v>
      </c>
      <c r="F175" s="1613">
        <f t="shared" si="39"/>
        <v>30</v>
      </c>
      <c r="G175" s="1612">
        <f t="shared" si="39"/>
        <v>36</v>
      </c>
      <c r="H175" s="1613">
        <f t="shared" si="39"/>
        <v>9</v>
      </c>
      <c r="I175" s="1613">
        <f t="shared" si="39"/>
        <v>21</v>
      </c>
    </row>
    <row r="176" spans="1:9">
      <c r="A176" s="1684" t="s">
        <v>448</v>
      </c>
      <c r="B176" s="1616" t="s">
        <v>98</v>
      </c>
      <c r="C176" s="1616"/>
      <c r="D176" s="1640">
        <v>27</v>
      </c>
      <c r="E176" s="1572">
        <v>6</v>
      </c>
      <c r="F176" s="1572">
        <v>24</v>
      </c>
      <c r="G176" s="1624">
        <v>27</v>
      </c>
      <c r="H176" s="1572">
        <v>6</v>
      </c>
      <c r="I176" s="1572">
        <v>21</v>
      </c>
    </row>
    <row r="177" spans="1:9">
      <c r="A177" s="1684" t="s">
        <v>448</v>
      </c>
      <c r="B177" s="1616" t="s">
        <v>99</v>
      </c>
      <c r="C177" s="1616"/>
      <c r="D177" s="1640">
        <v>3</v>
      </c>
      <c r="E177" s="1572">
        <v>3</v>
      </c>
      <c r="F177" s="1572">
        <v>3</v>
      </c>
      <c r="G177" s="1624">
        <v>3</v>
      </c>
      <c r="H177" s="1572">
        <v>3</v>
      </c>
      <c r="I177" s="1572">
        <v>0</v>
      </c>
    </row>
    <row r="178" spans="1:9">
      <c r="A178" s="1684" t="s">
        <v>448</v>
      </c>
      <c r="B178" s="1616" t="s">
        <v>100</v>
      </c>
      <c r="C178" s="1616"/>
      <c r="D178" s="1640">
        <v>3</v>
      </c>
      <c r="E178" s="1572">
        <v>0</v>
      </c>
      <c r="F178" s="1572">
        <v>0</v>
      </c>
      <c r="G178" s="1624">
        <v>3</v>
      </c>
      <c r="H178" s="1572">
        <v>0</v>
      </c>
      <c r="I178" s="1572">
        <v>0</v>
      </c>
    </row>
    <row r="179" spans="1:9">
      <c r="A179" s="1684" t="s">
        <v>448</v>
      </c>
      <c r="B179" s="1616" t="s">
        <v>101</v>
      </c>
      <c r="C179" s="1616"/>
      <c r="D179" s="1640">
        <v>3</v>
      </c>
      <c r="E179" s="1572">
        <v>0</v>
      </c>
      <c r="F179" s="1572">
        <v>3</v>
      </c>
      <c r="G179" s="1624">
        <v>0</v>
      </c>
      <c r="H179" s="1572">
        <v>0</v>
      </c>
      <c r="I179" s="1572">
        <v>0</v>
      </c>
    </row>
    <row r="180" spans="1:9">
      <c r="A180" s="1835" t="s">
        <v>448</v>
      </c>
      <c r="B180" s="1832" t="s">
        <v>102</v>
      </c>
      <c r="C180" s="1832"/>
      <c r="D180" s="1641">
        <v>3</v>
      </c>
      <c r="E180" s="1622">
        <v>0</v>
      </c>
      <c r="F180" s="1622">
        <v>0</v>
      </c>
      <c r="G180" s="1629">
        <v>3</v>
      </c>
      <c r="H180" s="1622">
        <v>0</v>
      </c>
      <c r="I180" s="1622">
        <v>0</v>
      </c>
    </row>
    <row r="181" spans="1:9">
      <c r="A181" s="1833" t="s">
        <v>449</v>
      </c>
      <c r="B181" s="1834" t="s">
        <v>303</v>
      </c>
      <c r="C181" s="1834"/>
      <c r="D181" s="1613">
        <f>SUM(D182:D186)</f>
        <v>21</v>
      </c>
      <c r="E181" s="1613">
        <f t="shared" ref="E181:I181" si="40">SUM(E182:E186)</f>
        <v>6</v>
      </c>
      <c r="F181" s="1613">
        <f t="shared" si="40"/>
        <v>12</v>
      </c>
      <c r="G181" s="1612">
        <f t="shared" si="40"/>
        <v>18</v>
      </c>
      <c r="H181" s="1613">
        <f t="shared" si="40"/>
        <v>6</v>
      </c>
      <c r="I181" s="1613">
        <f t="shared" si="40"/>
        <v>9</v>
      </c>
    </row>
    <row r="182" spans="1:9">
      <c r="A182" s="1684" t="s">
        <v>449</v>
      </c>
      <c r="B182" s="1616" t="s">
        <v>98</v>
      </c>
      <c r="C182" s="1616"/>
      <c r="D182" s="1640">
        <v>15</v>
      </c>
      <c r="E182" s="1572">
        <v>6</v>
      </c>
      <c r="F182" s="1572">
        <v>9</v>
      </c>
      <c r="G182" s="1624">
        <v>12</v>
      </c>
      <c r="H182" s="1572">
        <v>6</v>
      </c>
      <c r="I182" s="1572">
        <v>6</v>
      </c>
    </row>
    <row r="183" spans="1:9">
      <c r="A183" s="1684" t="s">
        <v>449</v>
      </c>
      <c r="B183" s="1616" t="s">
        <v>99</v>
      </c>
      <c r="C183" s="1616"/>
      <c r="D183" s="1640">
        <v>6</v>
      </c>
      <c r="E183" s="1572">
        <v>0</v>
      </c>
      <c r="F183" s="1572">
        <v>3</v>
      </c>
      <c r="G183" s="1624">
        <v>6</v>
      </c>
      <c r="H183" s="1572">
        <v>0</v>
      </c>
      <c r="I183" s="1572">
        <v>3</v>
      </c>
    </row>
    <row r="184" spans="1:9">
      <c r="A184" s="1684" t="s">
        <v>449</v>
      </c>
      <c r="B184" s="1616" t="s">
        <v>100</v>
      </c>
      <c r="C184" s="1616"/>
      <c r="D184" s="1640">
        <v>0</v>
      </c>
      <c r="E184" s="1572">
        <v>0</v>
      </c>
      <c r="F184" s="1572">
        <v>0</v>
      </c>
      <c r="G184" s="1624">
        <v>0</v>
      </c>
      <c r="H184" s="1572">
        <v>0</v>
      </c>
      <c r="I184" s="1572">
        <v>0</v>
      </c>
    </row>
    <row r="185" spans="1:9">
      <c r="A185" s="1684" t="s">
        <v>449</v>
      </c>
      <c r="B185" s="1616" t="s">
        <v>101</v>
      </c>
      <c r="C185" s="1616"/>
      <c r="D185" s="1640">
        <v>0</v>
      </c>
      <c r="E185" s="1572">
        <v>0</v>
      </c>
      <c r="F185" s="1572">
        <v>0</v>
      </c>
      <c r="G185" s="1624">
        <v>0</v>
      </c>
      <c r="H185" s="1572">
        <v>0</v>
      </c>
      <c r="I185" s="1572">
        <v>0</v>
      </c>
    </row>
    <row r="186" spans="1:9">
      <c r="A186" s="1684" t="s">
        <v>449</v>
      </c>
      <c r="B186" s="1620" t="s">
        <v>102</v>
      </c>
      <c r="C186" s="1620"/>
      <c r="D186" s="1641">
        <v>0</v>
      </c>
      <c r="E186" s="1622">
        <v>0</v>
      </c>
      <c r="F186" s="1622">
        <v>0</v>
      </c>
      <c r="G186" s="1629">
        <v>0</v>
      </c>
      <c r="H186" s="1622">
        <v>0</v>
      </c>
      <c r="I186" s="1622">
        <v>0</v>
      </c>
    </row>
    <row r="187" spans="1:9">
      <c r="A187" s="1603" t="s">
        <v>450</v>
      </c>
      <c r="B187" s="1611" t="s">
        <v>303</v>
      </c>
      <c r="C187" s="1611"/>
      <c r="D187" s="1613">
        <f>SUM(D188:D192)</f>
        <v>54</v>
      </c>
      <c r="E187" s="1613">
        <f t="shared" ref="E187:I187" si="41">SUM(E188:E192)</f>
        <v>27</v>
      </c>
      <c r="F187" s="1613">
        <f t="shared" si="41"/>
        <v>27</v>
      </c>
      <c r="G187" s="1612">
        <f t="shared" si="41"/>
        <v>42</v>
      </c>
      <c r="H187" s="1613">
        <f t="shared" si="41"/>
        <v>21</v>
      </c>
      <c r="I187" s="1613">
        <f t="shared" si="41"/>
        <v>21</v>
      </c>
    </row>
    <row r="188" spans="1:9">
      <c r="A188" s="1684" t="s">
        <v>450</v>
      </c>
      <c r="B188" s="1616" t="s">
        <v>98</v>
      </c>
      <c r="C188" s="1616"/>
      <c r="D188" s="1640">
        <v>48</v>
      </c>
      <c r="E188" s="1572">
        <v>21</v>
      </c>
      <c r="F188" s="1572">
        <v>24</v>
      </c>
      <c r="G188" s="1624">
        <v>36</v>
      </c>
      <c r="H188" s="1572">
        <v>15</v>
      </c>
      <c r="I188" s="1572">
        <v>21</v>
      </c>
    </row>
    <row r="189" spans="1:9">
      <c r="A189" s="1684" t="s">
        <v>450</v>
      </c>
      <c r="B189" s="1616" t="s">
        <v>99</v>
      </c>
      <c r="C189" s="1616"/>
      <c r="D189" s="1640">
        <v>3</v>
      </c>
      <c r="E189" s="1572">
        <v>3</v>
      </c>
      <c r="F189" s="1572">
        <v>0</v>
      </c>
      <c r="G189" s="1624">
        <v>3</v>
      </c>
      <c r="H189" s="1572">
        <v>3</v>
      </c>
      <c r="I189" s="1572">
        <v>0</v>
      </c>
    </row>
    <row r="190" spans="1:9">
      <c r="A190" s="1684" t="s">
        <v>450</v>
      </c>
      <c r="B190" s="1616" t="s">
        <v>100</v>
      </c>
      <c r="C190" s="1616"/>
      <c r="D190" s="1640">
        <v>0</v>
      </c>
      <c r="E190" s="1572">
        <v>0</v>
      </c>
      <c r="F190" s="1572">
        <v>0</v>
      </c>
      <c r="G190" s="1624">
        <v>0</v>
      </c>
      <c r="H190" s="1572">
        <v>0</v>
      </c>
      <c r="I190" s="1572">
        <v>0</v>
      </c>
    </row>
    <row r="191" spans="1:9">
      <c r="A191" s="1684" t="s">
        <v>450</v>
      </c>
      <c r="B191" s="1616" t="s">
        <v>101</v>
      </c>
      <c r="C191" s="1616"/>
      <c r="D191" s="1640">
        <v>3</v>
      </c>
      <c r="E191" s="1572">
        <v>3</v>
      </c>
      <c r="F191" s="1572">
        <v>3</v>
      </c>
      <c r="G191" s="1624">
        <v>3</v>
      </c>
      <c r="H191" s="1572">
        <v>3</v>
      </c>
      <c r="I191" s="1572">
        <v>0</v>
      </c>
    </row>
    <row r="192" spans="1:9">
      <c r="A192" s="1684" t="s">
        <v>450</v>
      </c>
      <c r="B192" s="1620" t="s">
        <v>102</v>
      </c>
      <c r="C192" s="1620"/>
      <c r="D192" s="1641">
        <v>0</v>
      </c>
      <c r="E192" s="1622">
        <v>0</v>
      </c>
      <c r="F192" s="1622">
        <v>0</v>
      </c>
      <c r="G192" s="1629">
        <v>0</v>
      </c>
      <c r="H192" s="1622">
        <v>0</v>
      </c>
      <c r="I192" s="1622">
        <v>0</v>
      </c>
    </row>
    <row r="193" spans="1:11">
      <c r="A193" s="1603" t="s">
        <v>451</v>
      </c>
      <c r="B193" s="1611" t="s">
        <v>303</v>
      </c>
      <c r="C193" s="1611"/>
      <c r="D193" s="1613">
        <f>SUM(D194:D198)</f>
        <v>30</v>
      </c>
      <c r="E193" s="1613">
        <f t="shared" ref="E193:I193" si="42">SUM(E194:E198)</f>
        <v>21</v>
      </c>
      <c r="F193" s="1613">
        <f t="shared" si="42"/>
        <v>12</v>
      </c>
      <c r="G193" s="1612">
        <f t="shared" si="42"/>
        <v>9</v>
      </c>
      <c r="H193" s="1613">
        <f t="shared" si="42"/>
        <v>6</v>
      </c>
      <c r="I193" s="1613">
        <f t="shared" si="42"/>
        <v>3</v>
      </c>
    </row>
    <row r="194" spans="1:11">
      <c r="A194" s="1684" t="s">
        <v>451</v>
      </c>
      <c r="B194" s="1616" t="s">
        <v>98</v>
      </c>
      <c r="C194" s="1616"/>
      <c r="D194" s="1640">
        <v>24</v>
      </c>
      <c r="E194" s="1572">
        <v>18</v>
      </c>
      <c r="F194" s="1572">
        <v>9</v>
      </c>
      <c r="G194" s="1624">
        <v>9</v>
      </c>
      <c r="H194" s="1572">
        <v>6</v>
      </c>
      <c r="I194" s="1572">
        <v>3</v>
      </c>
    </row>
    <row r="195" spans="1:11">
      <c r="A195" s="1684" t="s">
        <v>451</v>
      </c>
      <c r="B195" s="1616" t="s">
        <v>99</v>
      </c>
      <c r="C195" s="1616"/>
      <c r="D195" s="1640">
        <v>0</v>
      </c>
      <c r="E195" s="1572">
        <v>0</v>
      </c>
      <c r="F195" s="1572">
        <v>0</v>
      </c>
      <c r="G195" s="1624">
        <v>0</v>
      </c>
      <c r="H195" s="1572">
        <v>0</v>
      </c>
      <c r="I195" s="1572">
        <v>0</v>
      </c>
    </row>
    <row r="196" spans="1:11">
      <c r="A196" s="1684" t="s">
        <v>451</v>
      </c>
      <c r="B196" s="1616" t="s">
        <v>100</v>
      </c>
      <c r="C196" s="1616"/>
      <c r="D196" s="1640">
        <v>0</v>
      </c>
      <c r="E196" s="1572">
        <v>0</v>
      </c>
      <c r="F196" s="1572">
        <v>0</v>
      </c>
      <c r="G196" s="1624">
        <v>0</v>
      </c>
      <c r="H196" s="1572">
        <v>0</v>
      </c>
      <c r="I196" s="1572">
        <v>0</v>
      </c>
    </row>
    <row r="197" spans="1:11">
      <c r="A197" s="1684" t="s">
        <v>451</v>
      </c>
      <c r="B197" s="1616" t="s">
        <v>101</v>
      </c>
      <c r="C197" s="1616"/>
      <c r="D197" s="1640">
        <v>6</v>
      </c>
      <c r="E197" s="1572">
        <v>3</v>
      </c>
      <c r="F197" s="1572">
        <v>3</v>
      </c>
      <c r="G197" s="1624">
        <v>0</v>
      </c>
      <c r="H197" s="1572">
        <v>0</v>
      </c>
      <c r="I197" s="1572">
        <v>0</v>
      </c>
    </row>
    <row r="198" spans="1:11">
      <c r="A198" s="1684" t="s">
        <v>451</v>
      </c>
      <c r="B198" s="1620" t="s">
        <v>102</v>
      </c>
      <c r="C198" s="1620"/>
      <c r="D198" s="1641">
        <v>0</v>
      </c>
      <c r="E198" s="1622">
        <v>0</v>
      </c>
      <c r="F198" s="1622">
        <v>0</v>
      </c>
      <c r="G198" s="1629">
        <v>0</v>
      </c>
      <c r="H198" s="1622">
        <v>0</v>
      </c>
      <c r="I198" s="1622">
        <v>0</v>
      </c>
    </row>
    <row r="199" spans="1:11">
      <c r="A199" s="1603" t="s">
        <v>452</v>
      </c>
      <c r="B199" s="1611" t="s">
        <v>303</v>
      </c>
      <c r="C199" s="1611"/>
      <c r="D199" s="1613">
        <f>SUM(D200:D204)</f>
        <v>42</v>
      </c>
      <c r="E199" s="1613">
        <f t="shared" ref="E199:I199" si="43">SUM(E200:E204)</f>
        <v>21</v>
      </c>
      <c r="F199" s="1613">
        <f t="shared" si="43"/>
        <v>21</v>
      </c>
      <c r="G199" s="1612">
        <f t="shared" si="43"/>
        <v>27</v>
      </c>
      <c r="H199" s="1613">
        <f t="shared" si="43"/>
        <v>12</v>
      </c>
      <c r="I199" s="1613">
        <f t="shared" si="43"/>
        <v>12</v>
      </c>
    </row>
    <row r="200" spans="1:11">
      <c r="A200" s="1684" t="s">
        <v>452</v>
      </c>
      <c r="B200" s="1616" t="s">
        <v>98</v>
      </c>
      <c r="C200" s="1616"/>
      <c r="D200" s="1640">
        <v>33</v>
      </c>
      <c r="E200" s="1572">
        <v>15</v>
      </c>
      <c r="F200" s="1572">
        <v>18</v>
      </c>
      <c r="G200" s="1624">
        <v>21</v>
      </c>
      <c r="H200" s="1572">
        <v>9</v>
      </c>
      <c r="I200" s="1572">
        <v>12</v>
      </c>
    </row>
    <row r="201" spans="1:11">
      <c r="A201" s="1684" t="s">
        <v>452</v>
      </c>
      <c r="B201" s="1616" t="s">
        <v>99</v>
      </c>
      <c r="C201" s="1616"/>
      <c r="D201" s="1640">
        <v>6</v>
      </c>
      <c r="E201" s="1572">
        <v>3</v>
      </c>
      <c r="F201" s="1572">
        <v>3</v>
      </c>
      <c r="G201" s="1624">
        <v>6</v>
      </c>
      <c r="H201" s="1572">
        <v>3</v>
      </c>
      <c r="I201" s="1572">
        <v>0</v>
      </c>
    </row>
    <row r="202" spans="1:11">
      <c r="A202" s="1684" t="s">
        <v>452</v>
      </c>
      <c r="B202" s="1616" t="s">
        <v>100</v>
      </c>
      <c r="C202" s="1616"/>
      <c r="D202" s="1640">
        <v>0</v>
      </c>
      <c r="E202" s="1572">
        <v>0</v>
      </c>
      <c r="F202" s="1572">
        <v>0</v>
      </c>
      <c r="G202" s="1624">
        <v>0</v>
      </c>
      <c r="H202" s="1572">
        <v>0</v>
      </c>
      <c r="I202" s="1572">
        <v>0</v>
      </c>
    </row>
    <row r="203" spans="1:11">
      <c r="A203" s="1684" t="s">
        <v>452</v>
      </c>
      <c r="B203" s="1616" t="s">
        <v>101</v>
      </c>
      <c r="C203" s="1616"/>
      <c r="D203" s="1640">
        <v>3</v>
      </c>
      <c r="E203" s="1572">
        <v>3</v>
      </c>
      <c r="F203" s="1572">
        <v>0</v>
      </c>
      <c r="G203" s="1624">
        <v>0</v>
      </c>
      <c r="H203" s="1572">
        <v>0</v>
      </c>
      <c r="I203" s="1572">
        <v>0</v>
      </c>
    </row>
    <row r="204" spans="1:11">
      <c r="A204" s="1684" t="s">
        <v>452</v>
      </c>
      <c r="B204" s="1620" t="s">
        <v>102</v>
      </c>
      <c r="C204" s="1620"/>
      <c r="D204" s="1641">
        <v>0</v>
      </c>
      <c r="E204" s="1622">
        <v>0</v>
      </c>
      <c r="F204" s="1622">
        <v>0</v>
      </c>
      <c r="G204" s="1629">
        <v>0</v>
      </c>
      <c r="H204" s="1622">
        <v>0</v>
      </c>
      <c r="I204" s="1622">
        <v>0</v>
      </c>
    </row>
    <row r="205" spans="1:11">
      <c r="A205" s="1610" t="s">
        <v>418</v>
      </c>
      <c r="B205" s="1611" t="s">
        <v>303</v>
      </c>
      <c r="C205" s="1630"/>
      <c r="D205" s="2195">
        <v>225</v>
      </c>
      <c r="E205" s="2195">
        <v>105</v>
      </c>
      <c r="F205" s="2195">
        <v>123</v>
      </c>
      <c r="G205" s="2196">
        <v>162</v>
      </c>
      <c r="H205" s="2195">
        <v>69</v>
      </c>
      <c r="I205" s="2195">
        <v>93</v>
      </c>
    </row>
    <row r="206" spans="1:11" ht="17.25">
      <c r="A206" s="1685" t="s">
        <v>418</v>
      </c>
      <c r="B206" s="1616" t="s">
        <v>98</v>
      </c>
      <c r="C206" s="1631"/>
      <c r="D206" s="1617">
        <v>150</v>
      </c>
      <c r="E206" s="1572">
        <v>66</v>
      </c>
      <c r="F206" s="1572">
        <v>87</v>
      </c>
      <c r="G206" s="1624">
        <v>105</v>
      </c>
      <c r="H206" s="1572">
        <v>39</v>
      </c>
      <c r="I206" s="1618">
        <v>66</v>
      </c>
      <c r="K206" s="1773"/>
    </row>
    <row r="207" spans="1:11" ht="17.25">
      <c r="A207" s="1685" t="s">
        <v>418</v>
      </c>
      <c r="B207" s="1616" t="s">
        <v>99</v>
      </c>
      <c r="C207" s="1631"/>
      <c r="D207" s="1617">
        <v>21</v>
      </c>
      <c r="E207" s="1572">
        <v>9</v>
      </c>
      <c r="F207" s="1572">
        <v>12</v>
      </c>
      <c r="G207" s="1624">
        <v>18</v>
      </c>
      <c r="H207" s="1572">
        <v>9</v>
      </c>
      <c r="I207" s="1618">
        <v>9</v>
      </c>
      <c r="J207" s="1573"/>
      <c r="K207" s="1773"/>
    </row>
    <row r="208" spans="1:11" ht="17.25">
      <c r="A208" s="1685" t="s">
        <v>418</v>
      </c>
      <c r="B208" s="1616" t="s">
        <v>100</v>
      </c>
      <c r="C208" s="1631"/>
      <c r="D208" s="1617">
        <v>18</v>
      </c>
      <c r="E208" s="1572">
        <v>9</v>
      </c>
      <c r="F208" s="1572">
        <v>9</v>
      </c>
      <c r="G208" s="1624">
        <v>12</v>
      </c>
      <c r="H208" s="1572">
        <v>6</v>
      </c>
      <c r="I208" s="1618">
        <v>9</v>
      </c>
      <c r="J208" s="1573"/>
      <c r="K208" s="1773"/>
    </row>
    <row r="209" spans="1:37" ht="17.25">
      <c r="A209" s="1685" t="s">
        <v>418</v>
      </c>
      <c r="B209" s="1616" t="s">
        <v>101</v>
      </c>
      <c r="C209" s="1631"/>
      <c r="D209" s="1617">
        <v>21</v>
      </c>
      <c r="E209" s="1572">
        <v>12</v>
      </c>
      <c r="F209" s="1572">
        <v>9</v>
      </c>
      <c r="G209" s="1624">
        <v>12</v>
      </c>
      <c r="H209" s="1572">
        <v>9</v>
      </c>
      <c r="I209" s="1618">
        <v>3</v>
      </c>
      <c r="J209" s="1773"/>
      <c r="K209" s="1773"/>
    </row>
    <row r="210" spans="1:37" ht="17.25">
      <c r="A210" s="1686" t="s">
        <v>418</v>
      </c>
      <c r="B210" s="1620" t="s">
        <v>102</v>
      </c>
      <c r="C210" s="1632"/>
      <c r="D210" s="1621">
        <v>15</v>
      </c>
      <c r="E210" s="1622">
        <v>9</v>
      </c>
      <c r="F210" s="1622">
        <v>6</v>
      </c>
      <c r="G210" s="1629">
        <v>12</v>
      </c>
      <c r="H210" s="1622">
        <v>9</v>
      </c>
      <c r="I210" s="1623">
        <v>3</v>
      </c>
      <c r="J210" s="1773"/>
      <c r="K210" s="1773"/>
    </row>
    <row r="211" spans="1:37" s="1571" customFormat="1">
      <c r="A211" s="1402" t="s">
        <v>498</v>
      </c>
      <c r="B211" s="1575"/>
      <c r="C211" s="1575"/>
      <c r="K211" s="1574"/>
      <c r="L211" s="1398"/>
      <c r="M211" s="1398"/>
      <c r="N211" s="1398"/>
      <c r="O211" s="1398"/>
      <c r="P211" s="1398"/>
      <c r="Q211" s="1398"/>
      <c r="R211" s="1398"/>
      <c r="S211" s="1398"/>
      <c r="T211" s="1398"/>
      <c r="U211" s="1398"/>
      <c r="V211" s="1398"/>
      <c r="W211" s="1398"/>
      <c r="X211" s="1398"/>
      <c r="Y211" s="1398"/>
      <c r="Z211" s="1398"/>
      <c r="AA211" s="1398"/>
      <c r="AB211" s="1398"/>
      <c r="AC211" s="1398"/>
      <c r="AD211" s="1398"/>
      <c r="AE211" s="1398"/>
      <c r="AF211" s="1398"/>
      <c r="AG211" s="1398"/>
      <c r="AH211" s="1398"/>
      <c r="AI211" s="1398"/>
      <c r="AJ211" s="1398"/>
      <c r="AK211" s="1398"/>
    </row>
    <row r="212" spans="1:37" s="1571" customFormat="1">
      <c r="A212" s="1402" t="s">
        <v>553</v>
      </c>
      <c r="B212" s="1575"/>
      <c r="C212" s="1575"/>
      <c r="K212" s="1574"/>
      <c r="L212" s="1398"/>
      <c r="M212" s="1398"/>
      <c r="N212" s="1398"/>
      <c r="O212" s="1398"/>
      <c r="P212" s="1398"/>
      <c r="Q212" s="1398"/>
      <c r="R212" s="1398"/>
      <c r="S212" s="1398"/>
      <c r="T212" s="1398"/>
      <c r="U212" s="1398"/>
      <c r="V212" s="1398"/>
      <c r="W212" s="1398"/>
      <c r="X212" s="1398"/>
      <c r="Y212" s="1398"/>
      <c r="Z212" s="1398"/>
      <c r="AA212" s="1398"/>
      <c r="AB212" s="1398"/>
      <c r="AC212" s="1398"/>
      <c r="AD212" s="1398"/>
      <c r="AE212" s="1398"/>
      <c r="AF212" s="1398"/>
      <c r="AG212" s="1398"/>
      <c r="AH212" s="1398"/>
      <c r="AI212" s="1398"/>
      <c r="AJ212" s="1398"/>
      <c r="AK212" s="1398"/>
    </row>
    <row r="213" spans="1:37" s="1571" customFormat="1">
      <c r="A213" s="1402" t="s">
        <v>542</v>
      </c>
      <c r="B213" s="1575"/>
      <c r="C213" s="1575"/>
      <c r="K213" s="1574"/>
      <c r="L213" s="1398"/>
      <c r="M213" s="1398"/>
      <c r="N213" s="1398"/>
      <c r="O213" s="1398"/>
      <c r="P213" s="1398"/>
      <c r="Q213" s="1398"/>
      <c r="R213" s="1398"/>
      <c r="S213" s="1398"/>
      <c r="T213" s="1398"/>
      <c r="U213" s="1398"/>
      <c r="V213" s="1398"/>
      <c r="W213" s="1398"/>
      <c r="X213" s="1398"/>
      <c r="Y213" s="1398"/>
      <c r="Z213" s="1398"/>
      <c r="AA213" s="1398"/>
      <c r="AB213" s="1398"/>
      <c r="AC213" s="1398"/>
      <c r="AD213" s="1398"/>
      <c r="AE213" s="1398"/>
      <c r="AF213" s="1398"/>
      <c r="AG213" s="1398"/>
      <c r="AH213" s="1398"/>
      <c r="AI213" s="1398"/>
      <c r="AJ213" s="1398"/>
      <c r="AK213" s="1398"/>
    </row>
    <row r="214" spans="1:37" s="1571" customFormat="1">
      <c r="A214" s="1402"/>
      <c r="B214" s="1575"/>
      <c r="C214" s="1575"/>
      <c r="K214" s="1574"/>
      <c r="L214" s="1398"/>
      <c r="M214" s="1398"/>
      <c r="N214" s="1398"/>
      <c r="O214" s="1398"/>
      <c r="P214" s="1398"/>
      <c r="Q214" s="1398"/>
      <c r="R214" s="1398"/>
      <c r="S214" s="1398"/>
      <c r="T214" s="1398"/>
      <c r="U214" s="1398"/>
      <c r="V214" s="1398"/>
      <c r="W214" s="1398"/>
      <c r="X214" s="1398"/>
      <c r="Y214" s="1398"/>
      <c r="Z214" s="1398"/>
      <c r="AA214" s="1398"/>
      <c r="AB214" s="1398"/>
      <c r="AC214" s="1398"/>
      <c r="AD214" s="1398"/>
      <c r="AE214" s="1398"/>
      <c r="AF214" s="1398"/>
      <c r="AG214" s="1398"/>
      <c r="AH214" s="1398"/>
      <c r="AI214" s="1398"/>
      <c r="AJ214" s="1398"/>
      <c r="AK214" s="1398"/>
    </row>
    <row r="215" spans="1:37" s="1571" customFormat="1">
      <c r="A215" s="1575"/>
      <c r="B215" s="1575"/>
      <c r="C215" s="1575"/>
      <c r="K215" s="1574"/>
      <c r="L215" s="1398"/>
      <c r="M215" s="1398"/>
      <c r="N215" s="1398"/>
      <c r="O215" s="1398"/>
      <c r="P215" s="1398"/>
      <c r="Q215" s="1398"/>
      <c r="R215" s="1398"/>
      <c r="S215" s="1398"/>
      <c r="T215" s="1398"/>
      <c r="U215" s="1398"/>
      <c r="V215" s="1398"/>
      <c r="W215" s="1398"/>
      <c r="X215" s="1398"/>
      <c r="Y215" s="1398"/>
      <c r="Z215" s="1398"/>
      <c r="AA215" s="1398"/>
      <c r="AB215" s="1398"/>
      <c r="AC215" s="1398"/>
      <c r="AD215" s="1398"/>
      <c r="AE215" s="1398"/>
      <c r="AF215" s="1398"/>
      <c r="AG215" s="1398"/>
      <c r="AH215" s="1398"/>
      <c r="AI215" s="1398"/>
      <c r="AJ215" s="1398"/>
      <c r="AK215" s="1398"/>
    </row>
    <row r="216" spans="1:37" s="1571" customFormat="1">
      <c r="A216" s="1575"/>
      <c r="B216" s="1575"/>
      <c r="C216" s="1575"/>
      <c r="K216" s="1574"/>
      <c r="L216" s="1398"/>
      <c r="M216" s="1398"/>
      <c r="N216" s="1398"/>
      <c r="O216" s="1398"/>
      <c r="P216" s="1398"/>
      <c r="Q216" s="1398"/>
      <c r="R216" s="1398"/>
      <c r="S216" s="1398"/>
      <c r="T216" s="1398"/>
      <c r="U216" s="1398"/>
      <c r="V216" s="1398"/>
      <c r="W216" s="1398"/>
      <c r="X216" s="1398"/>
      <c r="Y216" s="1398"/>
      <c r="Z216" s="1398"/>
      <c r="AA216" s="1398"/>
      <c r="AB216" s="1398"/>
      <c r="AC216" s="1398"/>
      <c r="AD216" s="1398"/>
      <c r="AE216" s="1398"/>
      <c r="AF216" s="1398"/>
      <c r="AG216" s="1398"/>
      <c r="AH216" s="1398"/>
      <c r="AI216" s="1398"/>
      <c r="AJ216" s="1398"/>
      <c r="AK216" s="1398"/>
    </row>
    <row r="217" spans="1:37" s="1571" customFormat="1">
      <c r="A217" s="1575"/>
      <c r="B217" s="1575"/>
      <c r="C217" s="1575"/>
      <c r="K217" s="1574"/>
      <c r="L217" s="1398"/>
      <c r="M217" s="1398"/>
      <c r="N217" s="1398"/>
      <c r="O217" s="1398"/>
      <c r="P217" s="1398"/>
      <c r="Q217" s="1398"/>
      <c r="R217" s="1398"/>
      <c r="S217" s="1398"/>
      <c r="T217" s="1398"/>
      <c r="U217" s="1398"/>
      <c r="V217" s="1398"/>
      <c r="W217" s="1398"/>
      <c r="X217" s="1398"/>
      <c r="Y217" s="1398"/>
      <c r="Z217" s="1398"/>
      <c r="AA217" s="1398"/>
      <c r="AB217" s="1398"/>
      <c r="AC217" s="1398"/>
      <c r="AD217" s="1398"/>
      <c r="AE217" s="1398"/>
      <c r="AF217" s="1398"/>
      <c r="AG217" s="1398"/>
      <c r="AH217" s="1398"/>
      <c r="AI217" s="1398"/>
      <c r="AJ217" s="1398"/>
      <c r="AK217" s="1398"/>
    </row>
    <row r="218" spans="1:37" s="1571" customFormat="1">
      <c r="A218" s="1575"/>
      <c r="B218" s="1575"/>
      <c r="C218" s="1575"/>
      <c r="K218" s="1574"/>
      <c r="L218" s="1398"/>
      <c r="M218" s="1398"/>
      <c r="N218" s="1398"/>
      <c r="O218" s="1398"/>
      <c r="P218" s="1398"/>
      <c r="Q218" s="1398"/>
      <c r="R218" s="1398"/>
      <c r="S218" s="1398"/>
      <c r="T218" s="1398"/>
      <c r="U218" s="1398"/>
      <c r="V218" s="1398"/>
      <c r="W218" s="1398"/>
      <c r="X218" s="1398"/>
      <c r="Y218" s="1398"/>
      <c r="Z218" s="1398"/>
      <c r="AA218" s="1398"/>
      <c r="AB218" s="1398"/>
      <c r="AC218" s="1398"/>
      <c r="AD218" s="1398"/>
      <c r="AE218" s="1398"/>
      <c r="AF218" s="1398"/>
      <c r="AG218" s="1398"/>
      <c r="AH218" s="1398"/>
      <c r="AI218" s="1398"/>
      <c r="AJ218" s="1398"/>
      <c r="AK218" s="1398"/>
    </row>
    <row r="219" spans="1:37" s="1571" customFormat="1">
      <c r="A219" s="1575"/>
      <c r="B219" s="1575"/>
      <c r="C219" s="1575"/>
      <c r="K219" s="1574"/>
      <c r="L219" s="1398"/>
      <c r="M219" s="1398"/>
      <c r="N219" s="1398"/>
      <c r="O219" s="1398"/>
      <c r="P219" s="1398"/>
      <c r="Q219" s="1398"/>
      <c r="R219" s="1398"/>
      <c r="S219" s="1398"/>
      <c r="T219" s="1398"/>
      <c r="U219" s="1398"/>
      <c r="V219" s="1398"/>
      <c r="W219" s="1398"/>
      <c r="X219" s="1398"/>
      <c r="Y219" s="1398"/>
      <c r="Z219" s="1398"/>
      <c r="AA219" s="1398"/>
      <c r="AB219" s="1398"/>
      <c r="AC219" s="1398"/>
      <c r="AD219" s="1398"/>
      <c r="AE219" s="1398"/>
      <c r="AF219" s="1398"/>
      <c r="AG219" s="1398"/>
      <c r="AH219" s="1398"/>
      <c r="AI219" s="1398"/>
      <c r="AJ219" s="1398"/>
      <c r="AK219" s="1398"/>
    </row>
    <row r="220" spans="1:37" s="1571" customFormat="1">
      <c r="A220" s="1575"/>
      <c r="B220" s="1575"/>
      <c r="C220" s="1575"/>
      <c r="K220" s="1574"/>
      <c r="L220" s="1398"/>
      <c r="M220" s="1398"/>
      <c r="N220" s="1398"/>
      <c r="O220" s="1398"/>
      <c r="P220" s="1398"/>
      <c r="Q220" s="1398"/>
      <c r="R220" s="1398"/>
      <c r="S220" s="1398"/>
      <c r="T220" s="1398"/>
      <c r="U220" s="1398"/>
      <c r="V220" s="1398"/>
      <c r="W220" s="1398"/>
      <c r="X220" s="1398"/>
      <c r="Y220" s="1398"/>
      <c r="Z220" s="1398"/>
      <c r="AA220" s="1398"/>
      <c r="AB220" s="1398"/>
      <c r="AC220" s="1398"/>
      <c r="AD220" s="1398"/>
      <c r="AE220" s="1398"/>
      <c r="AF220" s="1398"/>
      <c r="AG220" s="1398"/>
      <c r="AH220" s="1398"/>
      <c r="AI220" s="1398"/>
      <c r="AJ220" s="1398"/>
      <c r="AK220" s="1398"/>
    </row>
    <row r="221" spans="1:37" s="1571" customFormat="1">
      <c r="A221" s="1575"/>
      <c r="B221" s="1575"/>
      <c r="C221" s="1575"/>
      <c r="K221" s="1574"/>
      <c r="L221" s="1398"/>
      <c r="M221" s="1398"/>
      <c r="N221" s="1398"/>
      <c r="O221" s="1398"/>
      <c r="P221" s="1398"/>
      <c r="Q221" s="1398"/>
      <c r="R221" s="1398"/>
      <c r="S221" s="1398"/>
      <c r="T221" s="1398"/>
      <c r="U221" s="1398"/>
      <c r="V221" s="1398"/>
      <c r="W221" s="1398"/>
      <c r="X221" s="1398"/>
      <c r="Y221" s="1398"/>
      <c r="Z221" s="1398"/>
      <c r="AA221" s="1398"/>
      <c r="AB221" s="1398"/>
      <c r="AC221" s="1398"/>
      <c r="AD221" s="1398"/>
      <c r="AE221" s="1398"/>
      <c r="AF221" s="1398"/>
      <c r="AG221" s="1398"/>
      <c r="AH221" s="1398"/>
      <c r="AI221" s="1398"/>
      <c r="AJ221" s="1398"/>
      <c r="AK221" s="1398"/>
    </row>
    <row r="222" spans="1:37" s="1571" customFormat="1">
      <c r="A222" s="1575"/>
      <c r="B222" s="1575"/>
      <c r="C222" s="1575"/>
      <c r="K222" s="1574"/>
      <c r="L222" s="1398"/>
      <c r="M222" s="1398"/>
      <c r="N222" s="1398"/>
      <c r="O222" s="1398"/>
      <c r="P222" s="1398"/>
      <c r="Q222" s="1398"/>
      <c r="R222" s="1398"/>
      <c r="S222" s="1398"/>
      <c r="T222" s="1398"/>
      <c r="U222" s="1398"/>
      <c r="V222" s="1398"/>
      <c r="W222" s="1398"/>
      <c r="X222" s="1398"/>
      <c r="Y222" s="1398"/>
      <c r="Z222" s="1398"/>
      <c r="AA222" s="1398"/>
      <c r="AB222" s="1398"/>
      <c r="AC222" s="1398"/>
      <c r="AD222" s="1398"/>
      <c r="AE222" s="1398"/>
      <c r="AF222" s="1398"/>
      <c r="AG222" s="1398"/>
      <c r="AH222" s="1398"/>
      <c r="AI222" s="1398"/>
      <c r="AJ222" s="1398"/>
      <c r="AK222" s="1398"/>
    </row>
    <row r="223" spans="1:37" s="1571" customFormat="1">
      <c r="A223" s="1575"/>
      <c r="B223" s="1575"/>
      <c r="C223" s="1575"/>
      <c r="K223" s="1574"/>
      <c r="L223" s="1398"/>
      <c r="M223" s="1398"/>
      <c r="N223" s="1398"/>
      <c r="O223" s="1398"/>
      <c r="P223" s="1398"/>
      <c r="Q223" s="1398"/>
      <c r="R223" s="1398"/>
      <c r="S223" s="1398"/>
      <c r="T223" s="1398"/>
      <c r="U223" s="1398"/>
      <c r="V223" s="1398"/>
      <c r="W223" s="1398"/>
      <c r="X223" s="1398"/>
      <c r="Y223" s="1398"/>
      <c r="Z223" s="1398"/>
      <c r="AA223" s="1398"/>
      <c r="AB223" s="1398"/>
      <c r="AC223" s="1398"/>
      <c r="AD223" s="1398"/>
      <c r="AE223" s="1398"/>
      <c r="AF223" s="1398"/>
      <c r="AG223" s="1398"/>
      <c r="AH223" s="1398"/>
      <c r="AI223" s="1398"/>
      <c r="AJ223" s="1398"/>
      <c r="AK223" s="1398"/>
    </row>
    <row r="224" spans="1:37" s="1571" customFormat="1">
      <c r="A224" s="1575"/>
      <c r="B224" s="1575"/>
      <c r="C224" s="1575"/>
      <c r="K224" s="1574"/>
      <c r="L224" s="1398"/>
      <c r="M224" s="1398"/>
      <c r="N224" s="1398"/>
      <c r="O224" s="1398"/>
      <c r="P224" s="1398"/>
      <c r="Q224" s="1398"/>
      <c r="R224" s="1398"/>
      <c r="S224" s="1398"/>
      <c r="T224" s="1398"/>
      <c r="U224" s="1398"/>
      <c r="V224" s="1398"/>
      <c r="W224" s="1398"/>
      <c r="X224" s="1398"/>
      <c r="Y224" s="1398"/>
      <c r="Z224" s="1398"/>
      <c r="AA224" s="1398"/>
      <c r="AB224" s="1398"/>
      <c r="AC224" s="1398"/>
      <c r="AD224" s="1398"/>
      <c r="AE224" s="1398"/>
      <c r="AF224" s="1398"/>
      <c r="AG224" s="1398"/>
      <c r="AH224" s="1398"/>
      <c r="AI224" s="1398"/>
      <c r="AJ224" s="1398"/>
      <c r="AK224" s="1398"/>
    </row>
    <row r="225" spans="1:37" s="1571" customFormat="1">
      <c r="A225" s="1575"/>
      <c r="B225" s="1575"/>
      <c r="C225" s="1575"/>
      <c r="K225" s="1574"/>
      <c r="L225" s="1398"/>
      <c r="M225" s="1398"/>
      <c r="N225" s="1398"/>
      <c r="O225" s="1398"/>
      <c r="P225" s="1398"/>
      <c r="Q225" s="1398"/>
      <c r="R225" s="1398"/>
      <c r="S225" s="1398"/>
      <c r="T225" s="1398"/>
      <c r="U225" s="1398"/>
      <c r="V225" s="1398"/>
      <c r="W225" s="1398"/>
      <c r="X225" s="1398"/>
      <c r="Y225" s="1398"/>
      <c r="Z225" s="1398"/>
      <c r="AA225" s="1398"/>
      <c r="AB225" s="1398"/>
      <c r="AC225" s="1398"/>
      <c r="AD225" s="1398"/>
      <c r="AE225" s="1398"/>
      <c r="AF225" s="1398"/>
      <c r="AG225" s="1398"/>
      <c r="AH225" s="1398"/>
      <c r="AI225" s="1398"/>
      <c r="AJ225" s="1398"/>
      <c r="AK225" s="1398"/>
    </row>
    <row r="226" spans="1:37" s="1571" customFormat="1">
      <c r="A226" s="1575"/>
      <c r="B226" s="1575"/>
      <c r="C226" s="1575"/>
      <c r="K226" s="1574"/>
      <c r="L226" s="1398"/>
      <c r="M226" s="1398"/>
      <c r="N226" s="1398"/>
      <c r="O226" s="1398"/>
      <c r="P226" s="1398"/>
      <c r="Q226" s="1398"/>
      <c r="R226" s="1398"/>
      <c r="S226" s="1398"/>
      <c r="T226" s="1398"/>
      <c r="U226" s="1398"/>
      <c r="V226" s="1398"/>
      <c r="W226" s="1398"/>
      <c r="X226" s="1398"/>
      <c r="Y226" s="1398"/>
      <c r="Z226" s="1398"/>
      <c r="AA226" s="1398"/>
      <c r="AB226" s="1398"/>
      <c r="AC226" s="1398"/>
      <c r="AD226" s="1398"/>
      <c r="AE226" s="1398"/>
      <c r="AF226" s="1398"/>
      <c r="AG226" s="1398"/>
      <c r="AH226" s="1398"/>
      <c r="AI226" s="1398"/>
      <c r="AJ226" s="1398"/>
      <c r="AK226" s="1398"/>
    </row>
    <row r="227" spans="1:37" s="1571" customFormat="1">
      <c r="A227" s="1575"/>
      <c r="B227" s="1575"/>
      <c r="C227" s="1575"/>
      <c r="K227" s="1574"/>
      <c r="L227" s="1398"/>
      <c r="M227" s="1398"/>
      <c r="N227" s="1398"/>
      <c r="O227" s="1398"/>
      <c r="P227" s="1398"/>
      <c r="Q227" s="1398"/>
      <c r="R227" s="1398"/>
      <c r="S227" s="1398"/>
      <c r="T227" s="1398"/>
      <c r="U227" s="1398"/>
      <c r="V227" s="1398"/>
      <c r="W227" s="1398"/>
      <c r="X227" s="1398"/>
      <c r="Y227" s="1398"/>
      <c r="Z227" s="1398"/>
      <c r="AA227" s="1398"/>
      <c r="AB227" s="1398"/>
      <c r="AC227" s="1398"/>
      <c r="AD227" s="1398"/>
      <c r="AE227" s="1398"/>
      <c r="AF227" s="1398"/>
      <c r="AG227" s="1398"/>
      <c r="AH227" s="1398"/>
      <c r="AI227" s="1398"/>
      <c r="AJ227" s="1398"/>
      <c r="AK227" s="1398"/>
    </row>
    <row r="228" spans="1:37" s="1571" customFormat="1">
      <c r="A228" s="1575"/>
      <c r="B228" s="1575"/>
      <c r="C228" s="1575"/>
      <c r="K228" s="1574"/>
      <c r="L228" s="1398"/>
      <c r="M228" s="1398"/>
      <c r="N228" s="1398"/>
      <c r="O228" s="1398"/>
      <c r="P228" s="1398"/>
      <c r="Q228" s="1398"/>
      <c r="R228" s="1398"/>
      <c r="S228" s="1398"/>
      <c r="T228" s="1398"/>
      <c r="U228" s="1398"/>
      <c r="V228" s="1398"/>
      <c r="W228" s="1398"/>
      <c r="X228" s="1398"/>
      <c r="Y228" s="1398"/>
      <c r="Z228" s="1398"/>
      <c r="AA228" s="1398"/>
      <c r="AB228" s="1398"/>
      <c r="AC228" s="1398"/>
      <c r="AD228" s="1398"/>
      <c r="AE228" s="1398"/>
      <c r="AF228" s="1398"/>
      <c r="AG228" s="1398"/>
      <c r="AH228" s="1398"/>
      <c r="AI228" s="1398"/>
      <c r="AJ228" s="1398"/>
      <c r="AK228" s="1398"/>
    </row>
    <row r="229" spans="1:37" s="1571" customFormat="1">
      <c r="A229" s="1575"/>
      <c r="B229" s="1575"/>
      <c r="C229" s="1575"/>
      <c r="K229" s="1574"/>
      <c r="L229" s="1398"/>
      <c r="M229" s="1398"/>
      <c r="N229" s="1398"/>
      <c r="O229" s="1398"/>
      <c r="P229" s="1398"/>
      <c r="Q229" s="1398"/>
      <c r="R229" s="1398"/>
      <c r="S229" s="1398"/>
      <c r="T229" s="1398"/>
      <c r="U229" s="1398"/>
      <c r="V229" s="1398"/>
      <c r="W229" s="1398"/>
      <c r="X229" s="1398"/>
      <c r="Y229" s="1398"/>
      <c r="Z229" s="1398"/>
      <c r="AA229" s="1398"/>
      <c r="AB229" s="1398"/>
      <c r="AC229" s="1398"/>
      <c r="AD229" s="1398"/>
      <c r="AE229" s="1398"/>
      <c r="AF229" s="1398"/>
      <c r="AG229" s="1398"/>
      <c r="AH229" s="1398"/>
      <c r="AI229" s="1398"/>
      <c r="AJ229" s="1398"/>
      <c r="AK229" s="1398"/>
    </row>
    <row r="230" spans="1:37" s="1571" customFormat="1">
      <c r="A230" s="1575"/>
      <c r="B230" s="1575"/>
      <c r="C230" s="1575"/>
      <c r="K230" s="1574"/>
      <c r="L230" s="1398"/>
      <c r="M230" s="1398"/>
      <c r="N230" s="1398"/>
      <c r="O230" s="1398"/>
      <c r="P230" s="1398"/>
      <c r="Q230" s="1398"/>
      <c r="R230" s="1398"/>
      <c r="S230" s="1398"/>
      <c r="T230" s="1398"/>
      <c r="U230" s="1398"/>
      <c r="V230" s="1398"/>
      <c r="W230" s="1398"/>
      <c r="X230" s="1398"/>
      <c r="Y230" s="1398"/>
      <c r="Z230" s="1398"/>
      <c r="AA230" s="1398"/>
      <c r="AB230" s="1398"/>
      <c r="AC230" s="1398"/>
      <c r="AD230" s="1398"/>
      <c r="AE230" s="1398"/>
      <c r="AF230" s="1398"/>
      <c r="AG230" s="1398"/>
      <c r="AH230" s="1398"/>
      <c r="AI230" s="1398"/>
      <c r="AJ230" s="1398"/>
      <c r="AK230" s="1398"/>
    </row>
    <row r="231" spans="1:37" s="1571" customFormat="1">
      <c r="A231" s="1575"/>
      <c r="B231" s="1575"/>
      <c r="C231" s="1575"/>
      <c r="K231" s="1574"/>
      <c r="L231" s="1398"/>
      <c r="M231" s="1398"/>
      <c r="N231" s="1398"/>
      <c r="O231" s="1398"/>
      <c r="P231" s="1398"/>
      <c r="Q231" s="1398"/>
      <c r="R231" s="1398"/>
      <c r="S231" s="1398"/>
      <c r="T231" s="1398"/>
      <c r="U231" s="1398"/>
      <c r="V231" s="1398"/>
      <c r="W231" s="1398"/>
      <c r="X231" s="1398"/>
      <c r="Y231" s="1398"/>
      <c r="Z231" s="1398"/>
      <c r="AA231" s="1398"/>
      <c r="AB231" s="1398"/>
      <c r="AC231" s="1398"/>
      <c r="AD231" s="1398"/>
      <c r="AE231" s="1398"/>
      <c r="AF231" s="1398"/>
      <c r="AG231" s="1398"/>
      <c r="AH231" s="1398"/>
      <c r="AI231" s="1398"/>
      <c r="AJ231" s="1398"/>
      <c r="AK231" s="1398"/>
    </row>
    <row r="232" spans="1:37" s="1571" customFormat="1">
      <c r="A232" s="1575"/>
      <c r="B232" s="1575"/>
      <c r="C232" s="1575"/>
      <c r="K232" s="1574"/>
      <c r="L232" s="1398"/>
      <c r="M232" s="1398"/>
      <c r="N232" s="1398"/>
      <c r="O232" s="1398"/>
      <c r="P232" s="1398"/>
      <c r="Q232" s="1398"/>
      <c r="R232" s="1398"/>
      <c r="S232" s="1398"/>
      <c r="T232" s="1398"/>
      <c r="U232" s="1398"/>
      <c r="V232" s="1398"/>
      <c r="W232" s="1398"/>
      <c r="X232" s="1398"/>
      <c r="Y232" s="1398"/>
      <c r="Z232" s="1398"/>
      <c r="AA232" s="1398"/>
      <c r="AB232" s="1398"/>
      <c r="AC232" s="1398"/>
      <c r="AD232" s="1398"/>
      <c r="AE232" s="1398"/>
      <c r="AF232" s="1398"/>
      <c r="AG232" s="1398"/>
      <c r="AH232" s="1398"/>
      <c r="AI232" s="1398"/>
      <c r="AJ232" s="1398"/>
      <c r="AK232" s="1398"/>
    </row>
    <row r="233" spans="1:37" s="1571" customFormat="1">
      <c r="A233" s="1575"/>
      <c r="B233" s="1575"/>
      <c r="C233" s="1575"/>
      <c r="K233" s="1574"/>
      <c r="L233" s="1398"/>
      <c r="M233" s="1398"/>
      <c r="N233" s="1398"/>
      <c r="O233" s="1398"/>
      <c r="P233" s="1398"/>
      <c r="Q233" s="1398"/>
      <c r="R233" s="1398"/>
      <c r="S233" s="1398"/>
      <c r="T233" s="1398"/>
      <c r="U233" s="1398"/>
      <c r="V233" s="1398"/>
      <c r="W233" s="1398"/>
      <c r="X233" s="1398"/>
      <c r="Y233" s="1398"/>
      <c r="Z233" s="1398"/>
      <c r="AA233" s="1398"/>
      <c r="AB233" s="1398"/>
      <c r="AC233" s="1398"/>
      <c r="AD233" s="1398"/>
      <c r="AE233" s="1398"/>
      <c r="AF233" s="1398"/>
      <c r="AG233" s="1398"/>
      <c r="AH233" s="1398"/>
      <c r="AI233" s="1398"/>
      <c r="AJ233" s="1398"/>
      <c r="AK233" s="1398"/>
    </row>
    <row r="234" spans="1:37" s="1571" customFormat="1">
      <c r="A234" s="1575"/>
      <c r="B234" s="1575"/>
      <c r="C234" s="1575"/>
      <c r="K234" s="1574"/>
      <c r="L234" s="1398"/>
      <c r="M234" s="1398"/>
      <c r="N234" s="1398"/>
      <c r="O234" s="1398"/>
      <c r="P234" s="1398"/>
      <c r="Q234" s="1398"/>
      <c r="R234" s="1398"/>
      <c r="S234" s="1398"/>
      <c r="T234" s="1398"/>
      <c r="U234" s="1398"/>
      <c r="V234" s="1398"/>
      <c r="W234" s="1398"/>
      <c r="X234" s="1398"/>
      <c r="Y234" s="1398"/>
      <c r="Z234" s="1398"/>
      <c r="AA234" s="1398"/>
      <c r="AB234" s="1398"/>
      <c r="AC234" s="1398"/>
      <c r="AD234" s="1398"/>
      <c r="AE234" s="1398"/>
      <c r="AF234" s="1398"/>
      <c r="AG234" s="1398"/>
      <c r="AH234" s="1398"/>
      <c r="AI234" s="1398"/>
      <c r="AJ234" s="1398"/>
      <c r="AK234" s="1398"/>
    </row>
    <row r="235" spans="1:37" s="1571" customFormat="1">
      <c r="A235" s="1575"/>
      <c r="B235" s="1575"/>
      <c r="C235" s="1575"/>
      <c r="K235" s="1574"/>
      <c r="L235" s="1398"/>
      <c r="M235" s="1398"/>
      <c r="N235" s="1398"/>
      <c r="O235" s="1398"/>
      <c r="P235" s="1398"/>
      <c r="Q235" s="1398"/>
      <c r="R235" s="1398"/>
      <c r="S235" s="1398"/>
      <c r="T235" s="1398"/>
      <c r="U235" s="1398"/>
      <c r="V235" s="1398"/>
      <c r="W235" s="1398"/>
      <c r="X235" s="1398"/>
      <c r="Y235" s="1398"/>
      <c r="Z235" s="1398"/>
      <c r="AA235" s="1398"/>
      <c r="AB235" s="1398"/>
      <c r="AC235" s="1398"/>
      <c r="AD235" s="1398"/>
      <c r="AE235" s="1398"/>
      <c r="AF235" s="1398"/>
      <c r="AG235" s="1398"/>
      <c r="AH235" s="1398"/>
      <c r="AI235" s="1398"/>
      <c r="AJ235" s="1398"/>
      <c r="AK235" s="1398"/>
    </row>
    <row r="236" spans="1:37" s="1571" customFormat="1">
      <c r="A236" s="1575"/>
      <c r="B236" s="1575"/>
      <c r="C236" s="1575"/>
      <c r="K236" s="1574"/>
      <c r="L236" s="1398"/>
      <c r="M236" s="1398"/>
      <c r="N236" s="1398"/>
      <c r="O236" s="1398"/>
      <c r="P236" s="1398"/>
      <c r="Q236" s="1398"/>
      <c r="R236" s="1398"/>
      <c r="S236" s="1398"/>
      <c r="T236" s="1398"/>
      <c r="U236" s="1398"/>
      <c r="V236" s="1398"/>
      <c r="W236" s="1398"/>
      <c r="X236" s="1398"/>
      <c r="Y236" s="1398"/>
      <c r="Z236" s="1398"/>
      <c r="AA236" s="1398"/>
      <c r="AB236" s="1398"/>
      <c r="AC236" s="1398"/>
      <c r="AD236" s="1398"/>
      <c r="AE236" s="1398"/>
      <c r="AF236" s="1398"/>
      <c r="AG236" s="1398"/>
      <c r="AH236" s="1398"/>
      <c r="AI236" s="1398"/>
      <c r="AJ236" s="1398"/>
      <c r="AK236" s="1398"/>
    </row>
    <row r="237" spans="1:37" s="1571" customFormat="1">
      <c r="A237" s="1575"/>
      <c r="B237" s="1575"/>
      <c r="C237" s="1575"/>
      <c r="K237" s="1574"/>
      <c r="L237" s="1398"/>
      <c r="M237" s="1398"/>
      <c r="N237" s="1398"/>
      <c r="O237" s="1398"/>
      <c r="P237" s="1398"/>
      <c r="Q237" s="1398"/>
      <c r="R237" s="1398"/>
      <c r="S237" s="1398"/>
      <c r="T237" s="1398"/>
      <c r="U237" s="1398"/>
      <c r="V237" s="1398"/>
      <c r="W237" s="1398"/>
      <c r="X237" s="1398"/>
      <c r="Y237" s="1398"/>
      <c r="Z237" s="1398"/>
      <c r="AA237" s="1398"/>
      <c r="AB237" s="1398"/>
      <c r="AC237" s="1398"/>
      <c r="AD237" s="1398"/>
      <c r="AE237" s="1398"/>
      <c r="AF237" s="1398"/>
      <c r="AG237" s="1398"/>
      <c r="AH237" s="1398"/>
      <c r="AI237" s="1398"/>
      <c r="AJ237" s="1398"/>
      <c r="AK237" s="1398"/>
    </row>
    <row r="238" spans="1:37" s="1571" customFormat="1">
      <c r="A238" s="1575"/>
      <c r="B238" s="1575"/>
      <c r="C238" s="1575"/>
      <c r="K238" s="1574"/>
      <c r="L238" s="1398"/>
      <c r="M238" s="1398"/>
      <c r="N238" s="1398"/>
      <c r="O238" s="1398"/>
      <c r="P238" s="1398"/>
      <c r="Q238" s="1398"/>
      <c r="R238" s="1398"/>
      <c r="S238" s="1398"/>
      <c r="T238" s="1398"/>
      <c r="U238" s="1398"/>
      <c r="V238" s="1398"/>
      <c r="W238" s="1398"/>
      <c r="X238" s="1398"/>
      <c r="Y238" s="1398"/>
      <c r="Z238" s="1398"/>
      <c r="AA238" s="1398"/>
      <c r="AB238" s="1398"/>
      <c r="AC238" s="1398"/>
      <c r="AD238" s="1398"/>
      <c r="AE238" s="1398"/>
      <c r="AF238" s="1398"/>
      <c r="AG238" s="1398"/>
      <c r="AH238" s="1398"/>
      <c r="AI238" s="1398"/>
      <c r="AJ238" s="1398"/>
      <c r="AK238" s="1398"/>
    </row>
    <row r="239" spans="1:37" s="1571" customFormat="1">
      <c r="A239" s="1575"/>
      <c r="B239" s="1575"/>
      <c r="C239" s="1575"/>
      <c r="K239" s="1574"/>
      <c r="L239" s="1398"/>
      <c r="M239" s="1398"/>
      <c r="N239" s="1398"/>
      <c r="O239" s="1398"/>
      <c r="P239" s="1398"/>
      <c r="Q239" s="1398"/>
      <c r="R239" s="1398"/>
      <c r="S239" s="1398"/>
      <c r="T239" s="1398"/>
      <c r="U239" s="1398"/>
      <c r="V239" s="1398"/>
      <c r="W239" s="1398"/>
      <c r="X239" s="1398"/>
      <c r="Y239" s="1398"/>
      <c r="Z239" s="1398"/>
      <c r="AA239" s="1398"/>
      <c r="AB239" s="1398"/>
      <c r="AC239" s="1398"/>
      <c r="AD239" s="1398"/>
      <c r="AE239" s="1398"/>
      <c r="AF239" s="1398"/>
      <c r="AG239" s="1398"/>
      <c r="AH239" s="1398"/>
      <c r="AI239" s="1398"/>
      <c r="AJ239" s="1398"/>
      <c r="AK239" s="1398"/>
    </row>
    <row r="240" spans="1:37" s="1571" customFormat="1">
      <c r="A240" s="1575"/>
      <c r="B240" s="1575"/>
      <c r="C240" s="1575"/>
      <c r="K240" s="1574"/>
      <c r="L240" s="1398"/>
      <c r="M240" s="1398"/>
      <c r="N240" s="1398"/>
      <c r="O240" s="1398"/>
      <c r="P240" s="1398"/>
      <c r="Q240" s="1398"/>
      <c r="R240" s="1398"/>
      <c r="S240" s="1398"/>
      <c r="T240" s="1398"/>
      <c r="U240" s="1398"/>
      <c r="V240" s="1398"/>
      <c r="W240" s="1398"/>
      <c r="X240" s="1398"/>
      <c r="Y240" s="1398"/>
      <c r="Z240" s="1398"/>
      <c r="AA240" s="1398"/>
      <c r="AB240" s="1398"/>
      <c r="AC240" s="1398"/>
      <c r="AD240" s="1398"/>
      <c r="AE240" s="1398"/>
      <c r="AF240" s="1398"/>
      <c r="AG240" s="1398"/>
      <c r="AH240" s="1398"/>
      <c r="AI240" s="1398"/>
      <c r="AJ240" s="1398"/>
      <c r="AK240" s="1398"/>
    </row>
    <row r="241" spans="1:37" s="1571" customFormat="1">
      <c r="A241" s="1575"/>
      <c r="B241" s="1575"/>
      <c r="C241" s="1575"/>
      <c r="K241" s="1574"/>
      <c r="L241" s="1398"/>
      <c r="M241" s="1398"/>
      <c r="N241" s="1398"/>
      <c r="O241" s="1398"/>
      <c r="P241" s="1398"/>
      <c r="Q241" s="1398"/>
      <c r="R241" s="1398"/>
      <c r="S241" s="1398"/>
      <c r="T241" s="1398"/>
      <c r="U241" s="1398"/>
      <c r="V241" s="1398"/>
      <c r="W241" s="1398"/>
      <c r="X241" s="1398"/>
      <c r="Y241" s="1398"/>
      <c r="Z241" s="1398"/>
      <c r="AA241" s="1398"/>
      <c r="AB241" s="1398"/>
      <c r="AC241" s="1398"/>
      <c r="AD241" s="1398"/>
      <c r="AE241" s="1398"/>
      <c r="AF241" s="1398"/>
      <c r="AG241" s="1398"/>
      <c r="AH241" s="1398"/>
      <c r="AI241" s="1398"/>
      <c r="AJ241" s="1398"/>
      <c r="AK241" s="1398"/>
    </row>
    <row r="242" spans="1:37" s="1571" customFormat="1">
      <c r="A242" s="1575"/>
      <c r="B242" s="1575"/>
      <c r="C242" s="1575"/>
      <c r="K242" s="1574"/>
      <c r="L242" s="1398"/>
      <c r="M242" s="1398"/>
      <c r="N242" s="1398"/>
      <c r="O242" s="1398"/>
      <c r="P242" s="1398"/>
      <c r="Q242" s="1398"/>
      <c r="R242" s="1398"/>
      <c r="S242" s="1398"/>
      <c r="T242" s="1398"/>
      <c r="U242" s="1398"/>
      <c r="V242" s="1398"/>
      <c r="W242" s="1398"/>
      <c r="X242" s="1398"/>
      <c r="Y242" s="1398"/>
      <c r="Z242" s="1398"/>
      <c r="AA242" s="1398"/>
      <c r="AB242" s="1398"/>
      <c r="AC242" s="1398"/>
      <c r="AD242" s="1398"/>
      <c r="AE242" s="1398"/>
      <c r="AF242" s="1398"/>
      <c r="AG242" s="1398"/>
      <c r="AH242" s="1398"/>
      <c r="AI242" s="1398"/>
      <c r="AJ242" s="1398"/>
      <c r="AK242" s="1398"/>
    </row>
    <row r="243" spans="1:37" s="1571" customFormat="1">
      <c r="A243" s="1575"/>
      <c r="B243" s="1575"/>
      <c r="C243" s="1575"/>
      <c r="K243" s="1574"/>
      <c r="L243" s="1398"/>
      <c r="M243" s="1398"/>
      <c r="N243" s="1398"/>
      <c r="O243" s="1398"/>
      <c r="P243" s="1398"/>
      <c r="Q243" s="1398"/>
      <c r="R243" s="1398"/>
      <c r="S243" s="1398"/>
      <c r="T243" s="1398"/>
      <c r="U243" s="1398"/>
      <c r="V243" s="1398"/>
      <c r="W243" s="1398"/>
      <c r="X243" s="1398"/>
      <c r="Y243" s="1398"/>
      <c r="Z243" s="1398"/>
      <c r="AA243" s="1398"/>
      <c r="AB243" s="1398"/>
      <c r="AC243" s="1398"/>
      <c r="AD243" s="1398"/>
      <c r="AE243" s="1398"/>
      <c r="AF243" s="1398"/>
      <c r="AG243" s="1398"/>
      <c r="AH243" s="1398"/>
      <c r="AI243" s="1398"/>
      <c r="AJ243" s="1398"/>
      <c r="AK243" s="1398"/>
    </row>
    <row r="244" spans="1:37" s="1571" customFormat="1">
      <c r="A244" s="1575"/>
      <c r="B244" s="1575"/>
      <c r="C244" s="1575"/>
      <c r="K244" s="1574"/>
      <c r="L244" s="1398"/>
      <c r="M244" s="1398"/>
      <c r="N244" s="1398"/>
      <c r="O244" s="1398"/>
      <c r="P244" s="1398"/>
      <c r="Q244" s="1398"/>
      <c r="R244" s="1398"/>
      <c r="S244" s="1398"/>
      <c r="T244" s="1398"/>
      <c r="U244" s="1398"/>
      <c r="V244" s="1398"/>
      <c r="W244" s="1398"/>
      <c r="X244" s="1398"/>
      <c r="Y244" s="1398"/>
      <c r="Z244" s="1398"/>
      <c r="AA244" s="1398"/>
      <c r="AB244" s="1398"/>
      <c r="AC244" s="1398"/>
      <c r="AD244" s="1398"/>
      <c r="AE244" s="1398"/>
      <c r="AF244" s="1398"/>
      <c r="AG244" s="1398"/>
      <c r="AH244" s="1398"/>
      <c r="AI244" s="1398"/>
      <c r="AJ244" s="1398"/>
      <c r="AK244" s="1398"/>
    </row>
    <row r="245" spans="1:37" s="1571" customFormat="1">
      <c r="A245" s="1575"/>
      <c r="B245" s="1575"/>
      <c r="C245" s="1575"/>
      <c r="K245" s="1574"/>
      <c r="L245" s="1398"/>
      <c r="M245" s="1398"/>
      <c r="N245" s="1398"/>
      <c r="O245" s="1398"/>
      <c r="P245" s="1398"/>
      <c r="Q245" s="1398"/>
      <c r="R245" s="1398"/>
      <c r="S245" s="1398"/>
      <c r="T245" s="1398"/>
      <c r="U245" s="1398"/>
      <c r="V245" s="1398"/>
      <c r="W245" s="1398"/>
      <c r="X245" s="1398"/>
      <c r="Y245" s="1398"/>
      <c r="Z245" s="1398"/>
      <c r="AA245" s="1398"/>
      <c r="AB245" s="1398"/>
      <c r="AC245" s="1398"/>
      <c r="AD245" s="1398"/>
      <c r="AE245" s="1398"/>
      <c r="AF245" s="1398"/>
      <c r="AG245" s="1398"/>
      <c r="AH245" s="1398"/>
      <c r="AI245" s="1398"/>
      <c r="AJ245" s="1398"/>
      <c r="AK245" s="1398"/>
    </row>
    <row r="246" spans="1:37" s="1571" customFormat="1">
      <c r="A246" s="1575"/>
      <c r="B246" s="1575"/>
      <c r="C246" s="1575"/>
      <c r="K246" s="1574"/>
      <c r="L246" s="1398"/>
      <c r="M246" s="1398"/>
      <c r="N246" s="1398"/>
      <c r="O246" s="1398"/>
      <c r="P246" s="1398"/>
      <c r="Q246" s="1398"/>
      <c r="R246" s="1398"/>
      <c r="S246" s="1398"/>
      <c r="T246" s="1398"/>
      <c r="U246" s="1398"/>
      <c r="V246" s="1398"/>
      <c r="W246" s="1398"/>
      <c r="X246" s="1398"/>
      <c r="Y246" s="1398"/>
      <c r="Z246" s="1398"/>
      <c r="AA246" s="1398"/>
      <c r="AB246" s="1398"/>
      <c r="AC246" s="1398"/>
      <c r="AD246" s="1398"/>
      <c r="AE246" s="1398"/>
      <c r="AF246" s="1398"/>
      <c r="AG246" s="1398"/>
      <c r="AH246" s="1398"/>
      <c r="AI246" s="1398"/>
      <c r="AJ246" s="1398"/>
      <c r="AK246" s="1398"/>
    </row>
    <row r="247" spans="1:37" s="1571" customFormat="1">
      <c r="A247" s="1575"/>
      <c r="B247" s="1575"/>
      <c r="C247" s="1575"/>
      <c r="K247" s="1574"/>
      <c r="L247" s="1398"/>
      <c r="M247" s="1398"/>
      <c r="N247" s="1398"/>
      <c r="O247" s="1398"/>
      <c r="P247" s="1398"/>
      <c r="Q247" s="1398"/>
      <c r="R247" s="1398"/>
      <c r="S247" s="1398"/>
      <c r="T247" s="1398"/>
      <c r="U247" s="1398"/>
      <c r="V247" s="1398"/>
      <c r="W247" s="1398"/>
      <c r="X247" s="1398"/>
      <c r="Y247" s="1398"/>
      <c r="Z247" s="1398"/>
      <c r="AA247" s="1398"/>
      <c r="AB247" s="1398"/>
      <c r="AC247" s="1398"/>
      <c r="AD247" s="1398"/>
      <c r="AE247" s="1398"/>
      <c r="AF247" s="1398"/>
      <c r="AG247" s="1398"/>
      <c r="AH247" s="1398"/>
      <c r="AI247" s="1398"/>
      <c r="AJ247" s="1398"/>
      <c r="AK247" s="1398"/>
    </row>
    <row r="248" spans="1:37" s="1571" customFormat="1">
      <c r="A248" s="1575"/>
      <c r="B248" s="1575"/>
      <c r="C248" s="1575"/>
      <c r="K248" s="1574"/>
      <c r="L248" s="1398"/>
      <c r="M248" s="1398"/>
      <c r="N248" s="1398"/>
      <c r="O248" s="1398"/>
      <c r="P248" s="1398"/>
      <c r="Q248" s="1398"/>
      <c r="R248" s="1398"/>
      <c r="S248" s="1398"/>
      <c r="T248" s="1398"/>
      <c r="U248" s="1398"/>
      <c r="V248" s="1398"/>
      <c r="W248" s="1398"/>
      <c r="X248" s="1398"/>
      <c r="Y248" s="1398"/>
      <c r="Z248" s="1398"/>
      <c r="AA248" s="1398"/>
      <c r="AB248" s="1398"/>
      <c r="AC248" s="1398"/>
      <c r="AD248" s="1398"/>
      <c r="AE248" s="1398"/>
      <c r="AF248" s="1398"/>
      <c r="AG248" s="1398"/>
      <c r="AH248" s="1398"/>
      <c r="AI248" s="1398"/>
      <c r="AJ248" s="1398"/>
      <c r="AK248" s="1398"/>
    </row>
    <row r="249" spans="1:37" s="1571" customFormat="1">
      <c r="A249" s="1575"/>
      <c r="B249" s="1575"/>
      <c r="C249" s="1575"/>
      <c r="K249" s="1574"/>
      <c r="L249" s="1398"/>
      <c r="M249" s="1398"/>
      <c r="N249" s="1398"/>
      <c r="O249" s="1398"/>
      <c r="P249" s="1398"/>
      <c r="Q249" s="1398"/>
      <c r="R249" s="1398"/>
      <c r="S249" s="1398"/>
      <c r="T249" s="1398"/>
      <c r="U249" s="1398"/>
      <c r="V249" s="1398"/>
      <c r="W249" s="1398"/>
      <c r="X249" s="1398"/>
      <c r="Y249" s="1398"/>
      <c r="Z249" s="1398"/>
      <c r="AA249" s="1398"/>
      <c r="AB249" s="1398"/>
      <c r="AC249" s="1398"/>
      <c r="AD249" s="1398"/>
      <c r="AE249" s="1398"/>
      <c r="AF249" s="1398"/>
      <c r="AG249" s="1398"/>
      <c r="AH249" s="1398"/>
      <c r="AI249" s="1398"/>
      <c r="AJ249" s="1398"/>
      <c r="AK249" s="1398"/>
    </row>
    <row r="250" spans="1:37" s="1571" customFormat="1">
      <c r="A250" s="1575"/>
      <c r="B250" s="1575"/>
      <c r="C250" s="1575"/>
      <c r="K250" s="1574"/>
      <c r="L250" s="1398"/>
      <c r="M250" s="1398"/>
      <c r="N250" s="1398"/>
      <c r="O250" s="1398"/>
      <c r="P250" s="1398"/>
      <c r="Q250" s="1398"/>
      <c r="R250" s="1398"/>
      <c r="S250" s="1398"/>
      <c r="T250" s="1398"/>
      <c r="U250" s="1398"/>
      <c r="V250" s="1398"/>
      <c r="W250" s="1398"/>
      <c r="X250" s="1398"/>
      <c r="Y250" s="1398"/>
      <c r="Z250" s="1398"/>
      <c r="AA250" s="1398"/>
      <c r="AB250" s="1398"/>
      <c r="AC250" s="1398"/>
      <c r="AD250" s="1398"/>
      <c r="AE250" s="1398"/>
      <c r="AF250" s="1398"/>
      <c r="AG250" s="1398"/>
      <c r="AH250" s="1398"/>
      <c r="AI250" s="1398"/>
      <c r="AJ250" s="1398"/>
      <c r="AK250" s="1398"/>
    </row>
    <row r="251" spans="1:37" s="1571" customFormat="1">
      <c r="A251" s="1575"/>
      <c r="B251" s="1575"/>
      <c r="C251" s="1575"/>
      <c r="K251" s="1574"/>
      <c r="L251" s="1398"/>
      <c r="M251" s="1398"/>
      <c r="N251" s="1398"/>
      <c r="O251" s="1398"/>
      <c r="P251" s="1398"/>
      <c r="Q251" s="1398"/>
      <c r="R251" s="1398"/>
      <c r="S251" s="1398"/>
      <c r="T251" s="1398"/>
      <c r="U251" s="1398"/>
      <c r="V251" s="1398"/>
      <c r="W251" s="1398"/>
      <c r="X251" s="1398"/>
      <c r="Y251" s="1398"/>
      <c r="Z251" s="1398"/>
      <c r="AA251" s="1398"/>
      <c r="AB251" s="1398"/>
      <c r="AC251" s="1398"/>
      <c r="AD251" s="1398"/>
      <c r="AE251" s="1398"/>
      <c r="AF251" s="1398"/>
      <c r="AG251" s="1398"/>
      <c r="AH251" s="1398"/>
      <c r="AI251" s="1398"/>
      <c r="AJ251" s="1398"/>
      <c r="AK251" s="1398"/>
    </row>
    <row r="252" spans="1:37" s="1571" customFormat="1">
      <c r="A252" s="1575"/>
      <c r="B252" s="1575"/>
      <c r="C252" s="1575"/>
      <c r="K252" s="1574"/>
      <c r="L252" s="1398"/>
      <c r="M252" s="1398"/>
      <c r="N252" s="1398"/>
      <c r="O252" s="1398"/>
      <c r="P252" s="1398"/>
      <c r="Q252" s="1398"/>
      <c r="R252" s="1398"/>
      <c r="S252" s="1398"/>
      <c r="T252" s="1398"/>
      <c r="U252" s="1398"/>
      <c r="V252" s="1398"/>
      <c r="W252" s="1398"/>
      <c r="X252" s="1398"/>
      <c r="Y252" s="1398"/>
      <c r="Z252" s="1398"/>
      <c r="AA252" s="1398"/>
      <c r="AB252" s="1398"/>
      <c r="AC252" s="1398"/>
      <c r="AD252" s="1398"/>
      <c r="AE252" s="1398"/>
      <c r="AF252" s="1398"/>
      <c r="AG252" s="1398"/>
      <c r="AH252" s="1398"/>
      <c r="AI252" s="1398"/>
      <c r="AJ252" s="1398"/>
      <c r="AK252" s="1398"/>
    </row>
    <row r="253" spans="1:37" s="1571" customFormat="1">
      <c r="A253" s="1575"/>
      <c r="B253" s="1575"/>
      <c r="C253" s="1575"/>
      <c r="K253" s="1574"/>
      <c r="L253" s="1398"/>
      <c r="M253" s="1398"/>
      <c r="N253" s="1398"/>
      <c r="O253" s="1398"/>
      <c r="P253" s="1398"/>
      <c r="Q253" s="1398"/>
      <c r="R253" s="1398"/>
      <c r="S253" s="1398"/>
      <c r="T253" s="1398"/>
      <c r="U253" s="1398"/>
      <c r="V253" s="1398"/>
      <c r="W253" s="1398"/>
      <c r="X253" s="1398"/>
      <c r="Y253" s="1398"/>
      <c r="Z253" s="1398"/>
      <c r="AA253" s="1398"/>
      <c r="AB253" s="1398"/>
      <c r="AC253" s="1398"/>
      <c r="AD253" s="1398"/>
      <c r="AE253" s="1398"/>
      <c r="AF253" s="1398"/>
      <c r="AG253" s="1398"/>
      <c r="AH253" s="1398"/>
      <c r="AI253" s="1398"/>
      <c r="AJ253" s="1398"/>
      <c r="AK253" s="1398"/>
    </row>
    <row r="254" spans="1:37" s="1571" customFormat="1">
      <c r="A254" s="1575"/>
      <c r="B254" s="1575"/>
      <c r="C254" s="1575"/>
      <c r="K254" s="1574"/>
      <c r="L254" s="1398"/>
      <c r="M254" s="1398"/>
      <c r="N254" s="1398"/>
      <c r="O254" s="1398"/>
      <c r="P254" s="1398"/>
      <c r="Q254" s="1398"/>
      <c r="R254" s="1398"/>
      <c r="S254" s="1398"/>
      <c r="T254" s="1398"/>
      <c r="U254" s="1398"/>
      <c r="V254" s="1398"/>
      <c r="W254" s="1398"/>
      <c r="X254" s="1398"/>
      <c r="Y254" s="1398"/>
      <c r="Z254" s="1398"/>
      <c r="AA254" s="1398"/>
      <c r="AB254" s="1398"/>
      <c r="AC254" s="1398"/>
      <c r="AD254" s="1398"/>
      <c r="AE254" s="1398"/>
      <c r="AF254" s="1398"/>
      <c r="AG254" s="1398"/>
      <c r="AH254" s="1398"/>
      <c r="AI254" s="1398"/>
      <c r="AJ254" s="1398"/>
      <c r="AK254" s="1398"/>
    </row>
    <row r="255" spans="1:37" s="1571" customFormat="1">
      <c r="A255" s="1575"/>
      <c r="B255" s="1575"/>
      <c r="C255" s="1575"/>
      <c r="K255" s="1574"/>
      <c r="L255" s="1398"/>
      <c r="M255" s="1398"/>
      <c r="N255" s="1398"/>
      <c r="O255" s="1398"/>
      <c r="P255" s="1398"/>
      <c r="Q255" s="1398"/>
      <c r="R255" s="1398"/>
      <c r="S255" s="1398"/>
      <c r="T255" s="1398"/>
      <c r="U255" s="1398"/>
      <c r="V255" s="1398"/>
      <c r="W255" s="1398"/>
      <c r="X255" s="1398"/>
      <c r="Y255" s="1398"/>
      <c r="Z255" s="1398"/>
      <c r="AA255" s="1398"/>
      <c r="AB255" s="1398"/>
      <c r="AC255" s="1398"/>
      <c r="AD255" s="1398"/>
      <c r="AE255" s="1398"/>
      <c r="AF255" s="1398"/>
      <c r="AG255" s="1398"/>
      <c r="AH255" s="1398"/>
      <c r="AI255" s="1398"/>
      <c r="AJ255" s="1398"/>
      <c r="AK255" s="1398"/>
    </row>
    <row r="256" spans="1:37" s="1571" customFormat="1">
      <c r="A256" s="1575"/>
      <c r="B256" s="1575"/>
      <c r="C256" s="1575"/>
      <c r="K256" s="1574"/>
      <c r="L256" s="1398"/>
      <c r="M256" s="1398"/>
      <c r="N256" s="1398"/>
      <c r="O256" s="1398"/>
      <c r="P256" s="1398"/>
      <c r="Q256" s="1398"/>
      <c r="R256" s="1398"/>
      <c r="S256" s="1398"/>
      <c r="T256" s="1398"/>
      <c r="U256" s="1398"/>
      <c r="V256" s="1398"/>
      <c r="W256" s="1398"/>
      <c r="X256" s="1398"/>
      <c r="Y256" s="1398"/>
      <c r="Z256" s="1398"/>
      <c r="AA256" s="1398"/>
      <c r="AB256" s="1398"/>
      <c r="AC256" s="1398"/>
      <c r="AD256" s="1398"/>
      <c r="AE256" s="1398"/>
      <c r="AF256" s="1398"/>
      <c r="AG256" s="1398"/>
      <c r="AH256" s="1398"/>
      <c r="AI256" s="1398"/>
      <c r="AJ256" s="1398"/>
      <c r="AK256" s="1398"/>
    </row>
    <row r="257" spans="1:37" s="1571" customFormat="1">
      <c r="A257" s="1575"/>
      <c r="B257" s="1575"/>
      <c r="C257" s="1575"/>
      <c r="K257" s="1574"/>
      <c r="L257" s="1398"/>
      <c r="M257" s="1398"/>
      <c r="N257" s="1398"/>
      <c r="O257" s="1398"/>
      <c r="P257" s="1398"/>
      <c r="Q257" s="1398"/>
      <c r="R257" s="1398"/>
      <c r="S257" s="1398"/>
      <c r="T257" s="1398"/>
      <c r="U257" s="1398"/>
      <c r="V257" s="1398"/>
      <c r="W257" s="1398"/>
      <c r="X257" s="1398"/>
      <c r="Y257" s="1398"/>
      <c r="Z257" s="1398"/>
      <c r="AA257" s="1398"/>
      <c r="AB257" s="1398"/>
      <c r="AC257" s="1398"/>
      <c r="AD257" s="1398"/>
      <c r="AE257" s="1398"/>
      <c r="AF257" s="1398"/>
      <c r="AG257" s="1398"/>
      <c r="AH257" s="1398"/>
      <c r="AI257" s="1398"/>
      <c r="AJ257" s="1398"/>
      <c r="AK257" s="1398"/>
    </row>
    <row r="258" spans="1:37" s="1571" customFormat="1">
      <c r="A258" s="1575"/>
      <c r="B258" s="1575"/>
      <c r="C258" s="1575"/>
      <c r="K258" s="1574"/>
      <c r="L258" s="1398"/>
      <c r="M258" s="1398"/>
      <c r="N258" s="1398"/>
      <c r="O258" s="1398"/>
      <c r="P258" s="1398"/>
      <c r="Q258" s="1398"/>
      <c r="R258" s="1398"/>
      <c r="S258" s="1398"/>
      <c r="T258" s="1398"/>
      <c r="U258" s="1398"/>
      <c r="V258" s="1398"/>
      <c r="W258" s="1398"/>
      <c r="X258" s="1398"/>
      <c r="Y258" s="1398"/>
      <c r="Z258" s="1398"/>
      <c r="AA258" s="1398"/>
      <c r="AB258" s="1398"/>
      <c r="AC258" s="1398"/>
      <c r="AD258" s="1398"/>
      <c r="AE258" s="1398"/>
      <c r="AF258" s="1398"/>
      <c r="AG258" s="1398"/>
      <c r="AH258" s="1398"/>
      <c r="AI258" s="1398"/>
      <c r="AJ258" s="1398"/>
      <c r="AK258" s="1398"/>
    </row>
    <row r="259" spans="1:37" s="1571" customFormat="1">
      <c r="A259" s="1575"/>
      <c r="B259" s="1575"/>
      <c r="C259" s="1575"/>
      <c r="K259" s="1574"/>
      <c r="L259" s="1398"/>
      <c r="M259" s="1398"/>
      <c r="N259" s="1398"/>
      <c r="O259" s="1398"/>
      <c r="P259" s="1398"/>
      <c r="Q259" s="1398"/>
      <c r="R259" s="1398"/>
      <c r="S259" s="1398"/>
      <c r="T259" s="1398"/>
      <c r="U259" s="1398"/>
      <c r="V259" s="1398"/>
      <c r="W259" s="1398"/>
      <c r="X259" s="1398"/>
      <c r="Y259" s="1398"/>
      <c r="Z259" s="1398"/>
      <c r="AA259" s="1398"/>
      <c r="AB259" s="1398"/>
      <c r="AC259" s="1398"/>
      <c r="AD259" s="1398"/>
      <c r="AE259" s="1398"/>
      <c r="AF259" s="1398"/>
      <c r="AG259" s="1398"/>
      <c r="AH259" s="1398"/>
      <c r="AI259" s="1398"/>
      <c r="AJ259" s="1398"/>
      <c r="AK259" s="1398"/>
    </row>
    <row r="260" spans="1:37" s="1571" customFormat="1">
      <c r="A260" s="1575"/>
      <c r="B260" s="1575"/>
      <c r="C260" s="1575"/>
      <c r="K260" s="1574"/>
      <c r="L260" s="1398"/>
      <c r="M260" s="1398"/>
      <c r="N260" s="1398"/>
      <c r="O260" s="1398"/>
      <c r="P260" s="1398"/>
      <c r="Q260" s="1398"/>
      <c r="R260" s="1398"/>
      <c r="S260" s="1398"/>
      <c r="T260" s="1398"/>
      <c r="U260" s="1398"/>
      <c r="V260" s="1398"/>
      <c r="W260" s="1398"/>
      <c r="X260" s="1398"/>
      <c r="Y260" s="1398"/>
      <c r="Z260" s="1398"/>
      <c r="AA260" s="1398"/>
      <c r="AB260" s="1398"/>
      <c r="AC260" s="1398"/>
      <c r="AD260" s="1398"/>
      <c r="AE260" s="1398"/>
      <c r="AF260" s="1398"/>
      <c r="AG260" s="1398"/>
      <c r="AH260" s="1398"/>
      <c r="AI260" s="1398"/>
      <c r="AJ260" s="1398"/>
      <c r="AK260" s="1398"/>
    </row>
    <row r="261" spans="1:37" s="1571" customFormat="1">
      <c r="A261" s="1575"/>
      <c r="B261" s="1575"/>
      <c r="C261" s="1575"/>
      <c r="K261" s="1574"/>
      <c r="L261" s="1398"/>
      <c r="M261" s="1398"/>
      <c r="N261" s="1398"/>
      <c r="O261" s="1398"/>
      <c r="P261" s="1398"/>
      <c r="Q261" s="1398"/>
      <c r="R261" s="1398"/>
      <c r="S261" s="1398"/>
      <c r="T261" s="1398"/>
      <c r="U261" s="1398"/>
      <c r="V261" s="1398"/>
      <c r="W261" s="1398"/>
      <c r="X261" s="1398"/>
      <c r="Y261" s="1398"/>
      <c r="Z261" s="1398"/>
      <c r="AA261" s="1398"/>
      <c r="AB261" s="1398"/>
      <c r="AC261" s="1398"/>
      <c r="AD261" s="1398"/>
      <c r="AE261" s="1398"/>
      <c r="AF261" s="1398"/>
      <c r="AG261" s="1398"/>
      <c r="AH261" s="1398"/>
      <c r="AI261" s="1398"/>
      <c r="AJ261" s="1398"/>
      <c r="AK261" s="1398"/>
    </row>
    <row r="262" spans="1:37" s="1571" customFormat="1">
      <c r="A262" s="1575"/>
      <c r="B262" s="1575"/>
      <c r="C262" s="1575"/>
      <c r="K262" s="1574"/>
      <c r="L262" s="1398"/>
      <c r="M262" s="1398"/>
      <c r="N262" s="1398"/>
      <c r="O262" s="1398"/>
      <c r="P262" s="1398"/>
      <c r="Q262" s="1398"/>
      <c r="R262" s="1398"/>
      <c r="S262" s="1398"/>
      <c r="T262" s="1398"/>
      <c r="U262" s="1398"/>
      <c r="V262" s="1398"/>
      <c r="W262" s="1398"/>
      <c r="X262" s="1398"/>
      <c r="Y262" s="1398"/>
      <c r="Z262" s="1398"/>
      <c r="AA262" s="1398"/>
      <c r="AB262" s="1398"/>
      <c r="AC262" s="1398"/>
      <c r="AD262" s="1398"/>
      <c r="AE262" s="1398"/>
      <c r="AF262" s="1398"/>
      <c r="AG262" s="1398"/>
      <c r="AH262" s="1398"/>
      <c r="AI262" s="1398"/>
      <c r="AJ262" s="1398"/>
      <c r="AK262" s="1398"/>
    </row>
    <row r="263" spans="1:37" s="1571" customFormat="1">
      <c r="A263" s="1575"/>
      <c r="B263" s="1575"/>
      <c r="C263" s="1575"/>
      <c r="K263" s="1574"/>
      <c r="L263" s="1398"/>
      <c r="M263" s="1398"/>
      <c r="N263" s="1398"/>
      <c r="O263" s="1398"/>
      <c r="P263" s="1398"/>
      <c r="Q263" s="1398"/>
      <c r="R263" s="1398"/>
      <c r="S263" s="1398"/>
      <c r="T263" s="1398"/>
      <c r="U263" s="1398"/>
      <c r="V263" s="1398"/>
      <c r="W263" s="1398"/>
      <c r="X263" s="1398"/>
      <c r="Y263" s="1398"/>
      <c r="Z263" s="1398"/>
      <c r="AA263" s="1398"/>
      <c r="AB263" s="1398"/>
      <c r="AC263" s="1398"/>
      <c r="AD263" s="1398"/>
      <c r="AE263" s="1398"/>
      <c r="AF263" s="1398"/>
      <c r="AG263" s="1398"/>
      <c r="AH263" s="1398"/>
      <c r="AI263" s="1398"/>
      <c r="AJ263" s="1398"/>
      <c r="AK263" s="1398"/>
    </row>
    <row r="264" spans="1:37" s="1571" customFormat="1">
      <c r="A264" s="1575"/>
      <c r="B264" s="1575"/>
      <c r="C264" s="1575"/>
      <c r="K264" s="1574"/>
      <c r="L264" s="1398"/>
      <c r="M264" s="1398"/>
      <c r="N264" s="1398"/>
      <c r="O264" s="1398"/>
      <c r="P264" s="1398"/>
      <c r="Q264" s="1398"/>
      <c r="R264" s="1398"/>
      <c r="S264" s="1398"/>
      <c r="T264" s="1398"/>
      <c r="U264" s="1398"/>
      <c r="V264" s="1398"/>
      <c r="W264" s="1398"/>
      <c r="X264" s="1398"/>
      <c r="Y264" s="1398"/>
      <c r="Z264" s="1398"/>
      <c r="AA264" s="1398"/>
      <c r="AB264" s="1398"/>
      <c r="AC264" s="1398"/>
      <c r="AD264" s="1398"/>
      <c r="AE264" s="1398"/>
      <c r="AF264" s="1398"/>
      <c r="AG264" s="1398"/>
      <c r="AH264" s="1398"/>
      <c r="AI264" s="1398"/>
      <c r="AJ264" s="1398"/>
      <c r="AK264" s="1398"/>
    </row>
    <row r="265" spans="1:37" s="1571" customFormat="1">
      <c r="A265" s="1575"/>
      <c r="B265" s="1575"/>
      <c r="C265" s="1575"/>
      <c r="K265" s="1574"/>
      <c r="L265" s="1398"/>
      <c r="M265" s="1398"/>
      <c r="N265" s="1398"/>
      <c r="O265" s="1398"/>
      <c r="P265" s="1398"/>
      <c r="Q265" s="1398"/>
      <c r="R265" s="1398"/>
      <c r="S265" s="1398"/>
      <c r="T265" s="1398"/>
      <c r="U265" s="1398"/>
      <c r="V265" s="1398"/>
      <c r="W265" s="1398"/>
      <c r="X265" s="1398"/>
      <c r="Y265" s="1398"/>
      <c r="Z265" s="1398"/>
      <c r="AA265" s="1398"/>
      <c r="AB265" s="1398"/>
      <c r="AC265" s="1398"/>
      <c r="AD265" s="1398"/>
      <c r="AE265" s="1398"/>
      <c r="AF265" s="1398"/>
      <c r="AG265" s="1398"/>
      <c r="AH265" s="1398"/>
      <c r="AI265" s="1398"/>
      <c r="AJ265" s="1398"/>
      <c r="AK265" s="1398"/>
    </row>
    <row r="266" spans="1:37" s="1571" customFormat="1">
      <c r="A266" s="1575"/>
      <c r="B266" s="1575"/>
      <c r="C266" s="1575"/>
      <c r="K266" s="1574"/>
      <c r="L266" s="1398"/>
      <c r="M266" s="1398"/>
      <c r="N266" s="1398"/>
      <c r="O266" s="1398"/>
      <c r="P266" s="1398"/>
      <c r="Q266" s="1398"/>
      <c r="R266" s="1398"/>
      <c r="S266" s="1398"/>
      <c r="T266" s="1398"/>
      <c r="U266" s="1398"/>
      <c r="V266" s="1398"/>
      <c r="W266" s="1398"/>
      <c r="X266" s="1398"/>
      <c r="Y266" s="1398"/>
      <c r="Z266" s="1398"/>
      <c r="AA266" s="1398"/>
      <c r="AB266" s="1398"/>
      <c r="AC266" s="1398"/>
      <c r="AD266" s="1398"/>
      <c r="AE266" s="1398"/>
      <c r="AF266" s="1398"/>
      <c r="AG266" s="1398"/>
      <c r="AH266" s="1398"/>
      <c r="AI266" s="1398"/>
      <c r="AJ266" s="1398"/>
      <c r="AK266" s="1398"/>
    </row>
    <row r="267" spans="1:37" s="1571" customFormat="1">
      <c r="A267" s="1575"/>
      <c r="B267" s="1575"/>
      <c r="C267" s="1575"/>
      <c r="K267" s="1574"/>
      <c r="L267" s="1398"/>
      <c r="M267" s="1398"/>
      <c r="N267" s="1398"/>
      <c r="O267" s="1398"/>
      <c r="P267" s="1398"/>
      <c r="Q267" s="1398"/>
      <c r="R267" s="1398"/>
      <c r="S267" s="1398"/>
      <c r="T267" s="1398"/>
      <c r="U267" s="1398"/>
      <c r="V267" s="1398"/>
      <c r="W267" s="1398"/>
      <c r="X267" s="1398"/>
      <c r="Y267" s="1398"/>
      <c r="Z267" s="1398"/>
      <c r="AA267" s="1398"/>
      <c r="AB267" s="1398"/>
      <c r="AC267" s="1398"/>
      <c r="AD267" s="1398"/>
      <c r="AE267" s="1398"/>
      <c r="AF267" s="1398"/>
      <c r="AG267" s="1398"/>
      <c r="AH267" s="1398"/>
      <c r="AI267" s="1398"/>
      <c r="AJ267" s="1398"/>
      <c r="AK267" s="1398"/>
    </row>
    <row r="268" spans="1:37" s="1571" customFormat="1">
      <c r="A268" s="1575"/>
      <c r="B268" s="1575"/>
      <c r="C268" s="1575"/>
      <c r="K268" s="1574"/>
      <c r="L268" s="1398"/>
      <c r="M268" s="1398"/>
      <c r="N268" s="1398"/>
      <c r="O268" s="1398"/>
      <c r="P268" s="1398"/>
      <c r="Q268" s="1398"/>
      <c r="R268" s="1398"/>
      <c r="S268" s="1398"/>
      <c r="T268" s="1398"/>
      <c r="U268" s="1398"/>
      <c r="V268" s="1398"/>
      <c r="W268" s="1398"/>
      <c r="X268" s="1398"/>
      <c r="Y268" s="1398"/>
      <c r="Z268" s="1398"/>
      <c r="AA268" s="1398"/>
      <c r="AB268" s="1398"/>
      <c r="AC268" s="1398"/>
      <c r="AD268" s="1398"/>
      <c r="AE268" s="1398"/>
      <c r="AF268" s="1398"/>
      <c r="AG268" s="1398"/>
      <c r="AH268" s="1398"/>
      <c r="AI268" s="1398"/>
      <c r="AJ268" s="1398"/>
      <c r="AK268" s="1398"/>
    </row>
    <row r="269" spans="1:37" s="1571" customFormat="1">
      <c r="A269" s="1575"/>
      <c r="B269" s="1575"/>
      <c r="C269" s="1575"/>
      <c r="K269" s="1574"/>
      <c r="L269" s="1398"/>
      <c r="M269" s="1398"/>
      <c r="N269" s="1398"/>
      <c r="O269" s="1398"/>
      <c r="P269" s="1398"/>
      <c r="Q269" s="1398"/>
      <c r="R269" s="1398"/>
      <c r="S269" s="1398"/>
      <c r="T269" s="1398"/>
      <c r="U269" s="1398"/>
      <c r="V269" s="1398"/>
      <c r="W269" s="1398"/>
      <c r="X269" s="1398"/>
      <c r="Y269" s="1398"/>
      <c r="Z269" s="1398"/>
      <c r="AA269" s="1398"/>
      <c r="AB269" s="1398"/>
      <c r="AC269" s="1398"/>
      <c r="AD269" s="1398"/>
      <c r="AE269" s="1398"/>
      <c r="AF269" s="1398"/>
      <c r="AG269" s="1398"/>
      <c r="AH269" s="1398"/>
      <c r="AI269" s="1398"/>
      <c r="AJ269" s="1398"/>
      <c r="AK269" s="1398"/>
    </row>
    <row r="270" spans="1:37" s="1571" customFormat="1">
      <c r="A270" s="1575"/>
      <c r="B270" s="1575"/>
      <c r="C270" s="1575"/>
      <c r="K270" s="1574"/>
      <c r="L270" s="1398"/>
      <c r="M270" s="1398"/>
      <c r="N270" s="1398"/>
      <c r="O270" s="1398"/>
      <c r="P270" s="1398"/>
      <c r="Q270" s="1398"/>
      <c r="R270" s="1398"/>
      <c r="S270" s="1398"/>
      <c r="T270" s="1398"/>
      <c r="U270" s="1398"/>
      <c r="V270" s="1398"/>
      <c r="W270" s="1398"/>
      <c r="X270" s="1398"/>
      <c r="Y270" s="1398"/>
      <c r="Z270" s="1398"/>
      <c r="AA270" s="1398"/>
      <c r="AB270" s="1398"/>
      <c r="AC270" s="1398"/>
      <c r="AD270" s="1398"/>
      <c r="AE270" s="1398"/>
      <c r="AF270" s="1398"/>
      <c r="AG270" s="1398"/>
      <c r="AH270" s="1398"/>
      <c r="AI270" s="1398"/>
      <c r="AJ270" s="1398"/>
      <c r="AK270" s="1398"/>
    </row>
    <row r="271" spans="1:37" s="1571" customFormat="1">
      <c r="A271" s="1575"/>
      <c r="B271" s="1575"/>
      <c r="C271" s="1575"/>
      <c r="K271" s="1574"/>
      <c r="L271" s="1398"/>
      <c r="M271" s="1398"/>
      <c r="N271" s="1398"/>
      <c r="O271" s="1398"/>
      <c r="P271" s="1398"/>
      <c r="Q271" s="1398"/>
      <c r="R271" s="1398"/>
      <c r="S271" s="1398"/>
      <c r="T271" s="1398"/>
      <c r="U271" s="1398"/>
      <c r="V271" s="1398"/>
      <c r="W271" s="1398"/>
      <c r="X271" s="1398"/>
      <c r="Y271" s="1398"/>
      <c r="Z271" s="1398"/>
      <c r="AA271" s="1398"/>
      <c r="AB271" s="1398"/>
      <c r="AC271" s="1398"/>
      <c r="AD271" s="1398"/>
      <c r="AE271" s="1398"/>
      <c r="AF271" s="1398"/>
      <c r="AG271" s="1398"/>
      <c r="AH271" s="1398"/>
      <c r="AI271" s="1398"/>
      <c r="AJ271" s="1398"/>
      <c r="AK271" s="1398"/>
    </row>
    <row r="272" spans="1:37" s="1571" customFormat="1">
      <c r="A272" s="1575"/>
      <c r="B272" s="1575"/>
      <c r="C272" s="1575"/>
      <c r="K272" s="1574"/>
      <c r="L272" s="1398"/>
      <c r="M272" s="1398"/>
      <c r="N272" s="1398"/>
      <c r="O272" s="1398"/>
      <c r="P272" s="1398"/>
      <c r="Q272" s="1398"/>
      <c r="R272" s="1398"/>
      <c r="S272" s="1398"/>
      <c r="T272" s="1398"/>
      <c r="U272" s="1398"/>
      <c r="V272" s="1398"/>
      <c r="W272" s="1398"/>
      <c r="X272" s="1398"/>
      <c r="Y272" s="1398"/>
      <c r="Z272" s="1398"/>
      <c r="AA272" s="1398"/>
      <c r="AB272" s="1398"/>
      <c r="AC272" s="1398"/>
      <c r="AD272" s="1398"/>
      <c r="AE272" s="1398"/>
      <c r="AF272" s="1398"/>
      <c r="AG272" s="1398"/>
      <c r="AH272" s="1398"/>
      <c r="AI272" s="1398"/>
      <c r="AJ272" s="1398"/>
      <c r="AK272" s="1398"/>
    </row>
    <row r="273" spans="1:37" s="1571" customFormat="1">
      <c r="A273" s="1575"/>
      <c r="B273" s="1575"/>
      <c r="C273" s="1575"/>
      <c r="K273" s="1574"/>
      <c r="L273" s="1398"/>
      <c r="M273" s="1398"/>
      <c r="N273" s="1398"/>
      <c r="O273" s="1398"/>
      <c r="P273" s="1398"/>
      <c r="Q273" s="1398"/>
      <c r="R273" s="1398"/>
      <c r="S273" s="1398"/>
      <c r="T273" s="1398"/>
      <c r="U273" s="1398"/>
      <c r="V273" s="1398"/>
      <c r="W273" s="1398"/>
      <c r="X273" s="1398"/>
      <c r="Y273" s="1398"/>
      <c r="Z273" s="1398"/>
      <c r="AA273" s="1398"/>
      <c r="AB273" s="1398"/>
      <c r="AC273" s="1398"/>
      <c r="AD273" s="1398"/>
      <c r="AE273" s="1398"/>
      <c r="AF273" s="1398"/>
      <c r="AG273" s="1398"/>
      <c r="AH273" s="1398"/>
      <c r="AI273" s="1398"/>
      <c r="AJ273" s="1398"/>
      <c r="AK273" s="1398"/>
    </row>
    <row r="274" spans="1:37" s="1571" customFormat="1">
      <c r="A274" s="1575"/>
      <c r="B274" s="1575"/>
      <c r="C274" s="1575"/>
      <c r="K274" s="1574"/>
      <c r="L274" s="1398"/>
      <c r="M274" s="1398"/>
      <c r="N274" s="1398"/>
      <c r="O274" s="1398"/>
      <c r="P274" s="1398"/>
      <c r="Q274" s="1398"/>
      <c r="R274" s="1398"/>
      <c r="S274" s="1398"/>
      <c r="T274" s="1398"/>
      <c r="U274" s="1398"/>
      <c r="V274" s="1398"/>
      <c r="W274" s="1398"/>
      <c r="X274" s="1398"/>
      <c r="Y274" s="1398"/>
      <c r="Z274" s="1398"/>
      <c r="AA274" s="1398"/>
      <c r="AB274" s="1398"/>
      <c r="AC274" s="1398"/>
      <c r="AD274" s="1398"/>
      <c r="AE274" s="1398"/>
      <c r="AF274" s="1398"/>
      <c r="AG274" s="1398"/>
      <c r="AH274" s="1398"/>
      <c r="AI274" s="1398"/>
      <c r="AJ274" s="1398"/>
      <c r="AK274" s="1398"/>
    </row>
    <row r="275" spans="1:37" s="1571" customFormat="1">
      <c r="A275" s="1575"/>
      <c r="B275" s="1575"/>
      <c r="C275" s="1575"/>
      <c r="K275" s="1574"/>
      <c r="L275" s="1398"/>
      <c r="M275" s="1398"/>
      <c r="N275" s="1398"/>
      <c r="O275" s="1398"/>
      <c r="P275" s="1398"/>
      <c r="Q275" s="1398"/>
      <c r="R275" s="1398"/>
      <c r="S275" s="1398"/>
      <c r="T275" s="1398"/>
      <c r="U275" s="1398"/>
      <c r="V275" s="1398"/>
      <c r="W275" s="1398"/>
      <c r="X275" s="1398"/>
      <c r="Y275" s="1398"/>
      <c r="Z275" s="1398"/>
      <c r="AA275" s="1398"/>
      <c r="AB275" s="1398"/>
      <c r="AC275" s="1398"/>
      <c r="AD275" s="1398"/>
      <c r="AE275" s="1398"/>
      <c r="AF275" s="1398"/>
      <c r="AG275" s="1398"/>
      <c r="AH275" s="1398"/>
      <c r="AI275" s="1398"/>
      <c r="AJ275" s="1398"/>
      <c r="AK275" s="1398"/>
    </row>
    <row r="276" spans="1:37" s="1571" customFormat="1">
      <c r="A276" s="1575"/>
      <c r="B276" s="1575"/>
      <c r="C276" s="1575"/>
      <c r="K276" s="1574"/>
      <c r="L276" s="1398"/>
      <c r="M276" s="1398"/>
      <c r="N276" s="1398"/>
      <c r="O276" s="1398"/>
      <c r="P276" s="1398"/>
      <c r="Q276" s="1398"/>
      <c r="R276" s="1398"/>
      <c r="S276" s="1398"/>
      <c r="T276" s="1398"/>
      <c r="U276" s="1398"/>
      <c r="V276" s="1398"/>
      <c r="W276" s="1398"/>
      <c r="X276" s="1398"/>
      <c r="Y276" s="1398"/>
      <c r="Z276" s="1398"/>
      <c r="AA276" s="1398"/>
      <c r="AB276" s="1398"/>
      <c r="AC276" s="1398"/>
      <c r="AD276" s="1398"/>
      <c r="AE276" s="1398"/>
      <c r="AF276" s="1398"/>
      <c r="AG276" s="1398"/>
      <c r="AH276" s="1398"/>
      <c r="AI276" s="1398"/>
      <c r="AJ276" s="1398"/>
      <c r="AK276" s="1398"/>
    </row>
    <row r="277" spans="1:37" s="1571" customFormat="1">
      <c r="A277" s="1575"/>
      <c r="B277" s="1575"/>
      <c r="C277" s="1575"/>
      <c r="K277" s="1574"/>
      <c r="L277" s="1398"/>
      <c r="M277" s="1398"/>
      <c r="N277" s="1398"/>
      <c r="O277" s="1398"/>
      <c r="P277" s="1398"/>
      <c r="Q277" s="1398"/>
      <c r="R277" s="1398"/>
      <c r="S277" s="1398"/>
      <c r="T277" s="1398"/>
      <c r="U277" s="1398"/>
      <c r="V277" s="1398"/>
      <c r="W277" s="1398"/>
      <c r="X277" s="1398"/>
      <c r="Y277" s="1398"/>
      <c r="Z277" s="1398"/>
      <c r="AA277" s="1398"/>
      <c r="AB277" s="1398"/>
      <c r="AC277" s="1398"/>
      <c r="AD277" s="1398"/>
      <c r="AE277" s="1398"/>
      <c r="AF277" s="1398"/>
      <c r="AG277" s="1398"/>
      <c r="AH277" s="1398"/>
      <c r="AI277" s="1398"/>
      <c r="AJ277" s="1398"/>
      <c r="AK277" s="1398"/>
    </row>
    <row r="278" spans="1:37" s="1571" customFormat="1">
      <c r="A278" s="1575"/>
      <c r="B278" s="1575"/>
      <c r="C278" s="1575"/>
      <c r="K278" s="1574"/>
      <c r="L278" s="1398"/>
      <c r="M278" s="1398"/>
      <c r="N278" s="1398"/>
      <c r="O278" s="1398"/>
      <c r="P278" s="1398"/>
      <c r="Q278" s="1398"/>
      <c r="R278" s="1398"/>
      <c r="S278" s="1398"/>
      <c r="T278" s="1398"/>
      <c r="U278" s="1398"/>
      <c r="V278" s="1398"/>
      <c r="W278" s="1398"/>
      <c r="X278" s="1398"/>
      <c r="Y278" s="1398"/>
      <c r="Z278" s="1398"/>
      <c r="AA278" s="1398"/>
      <c r="AB278" s="1398"/>
      <c r="AC278" s="1398"/>
      <c r="AD278" s="1398"/>
      <c r="AE278" s="1398"/>
      <c r="AF278" s="1398"/>
      <c r="AG278" s="1398"/>
      <c r="AH278" s="1398"/>
      <c r="AI278" s="1398"/>
      <c r="AJ278" s="1398"/>
      <c r="AK278" s="1398"/>
    </row>
    <row r="279" spans="1:37" s="1571" customFormat="1">
      <c r="A279" s="1575"/>
      <c r="B279" s="1575"/>
      <c r="C279" s="1575"/>
      <c r="K279" s="1574"/>
      <c r="L279" s="1398"/>
      <c r="M279" s="1398"/>
      <c r="N279" s="1398"/>
      <c r="O279" s="1398"/>
      <c r="P279" s="1398"/>
      <c r="Q279" s="1398"/>
      <c r="R279" s="1398"/>
      <c r="S279" s="1398"/>
      <c r="T279" s="1398"/>
      <c r="U279" s="1398"/>
      <c r="V279" s="1398"/>
      <c r="W279" s="1398"/>
      <c r="X279" s="1398"/>
      <c r="Y279" s="1398"/>
      <c r="Z279" s="1398"/>
      <c r="AA279" s="1398"/>
      <c r="AB279" s="1398"/>
      <c r="AC279" s="1398"/>
      <c r="AD279" s="1398"/>
      <c r="AE279" s="1398"/>
      <c r="AF279" s="1398"/>
      <c r="AG279" s="1398"/>
      <c r="AH279" s="1398"/>
      <c r="AI279" s="1398"/>
      <c r="AJ279" s="1398"/>
      <c r="AK279" s="1398"/>
    </row>
    <row r="280" spans="1:37" s="1571" customFormat="1">
      <c r="A280" s="1575"/>
      <c r="B280" s="1575"/>
      <c r="C280" s="1575"/>
      <c r="K280" s="1574"/>
      <c r="L280" s="1398"/>
      <c r="M280" s="1398"/>
      <c r="N280" s="1398"/>
      <c r="O280" s="1398"/>
      <c r="P280" s="1398"/>
      <c r="Q280" s="1398"/>
      <c r="R280" s="1398"/>
      <c r="S280" s="1398"/>
      <c r="T280" s="1398"/>
      <c r="U280" s="1398"/>
      <c r="V280" s="1398"/>
      <c r="W280" s="1398"/>
      <c r="X280" s="1398"/>
      <c r="Y280" s="1398"/>
      <c r="Z280" s="1398"/>
      <c r="AA280" s="1398"/>
      <c r="AB280" s="1398"/>
      <c r="AC280" s="1398"/>
      <c r="AD280" s="1398"/>
      <c r="AE280" s="1398"/>
      <c r="AF280" s="1398"/>
      <c r="AG280" s="1398"/>
      <c r="AH280" s="1398"/>
      <c r="AI280" s="1398"/>
      <c r="AJ280" s="1398"/>
      <c r="AK280" s="1398"/>
    </row>
    <row r="281" spans="1:37" s="1571" customFormat="1">
      <c r="A281" s="1575"/>
      <c r="B281" s="1575"/>
      <c r="C281" s="1575"/>
      <c r="K281" s="1574"/>
      <c r="L281" s="1398"/>
      <c r="M281" s="1398"/>
      <c r="N281" s="1398"/>
      <c r="O281" s="1398"/>
      <c r="P281" s="1398"/>
      <c r="Q281" s="1398"/>
      <c r="R281" s="1398"/>
      <c r="S281" s="1398"/>
      <c r="T281" s="1398"/>
      <c r="U281" s="1398"/>
      <c r="V281" s="1398"/>
      <c r="W281" s="1398"/>
      <c r="X281" s="1398"/>
      <c r="Y281" s="1398"/>
      <c r="Z281" s="1398"/>
      <c r="AA281" s="1398"/>
      <c r="AB281" s="1398"/>
      <c r="AC281" s="1398"/>
      <c r="AD281" s="1398"/>
      <c r="AE281" s="1398"/>
      <c r="AF281" s="1398"/>
      <c r="AG281" s="1398"/>
      <c r="AH281" s="1398"/>
      <c r="AI281" s="1398"/>
      <c r="AJ281" s="1398"/>
      <c r="AK281" s="1398"/>
    </row>
    <row r="282" spans="1:37" s="1571" customFormat="1">
      <c r="A282" s="1575"/>
      <c r="B282" s="1575"/>
      <c r="C282" s="1575"/>
      <c r="K282" s="1574"/>
      <c r="L282" s="1398"/>
      <c r="M282" s="1398"/>
      <c r="N282" s="1398"/>
      <c r="O282" s="1398"/>
      <c r="P282" s="1398"/>
      <c r="Q282" s="1398"/>
      <c r="R282" s="1398"/>
      <c r="S282" s="1398"/>
      <c r="T282" s="1398"/>
      <c r="U282" s="1398"/>
      <c r="V282" s="1398"/>
      <c r="W282" s="1398"/>
      <c r="X282" s="1398"/>
      <c r="Y282" s="1398"/>
      <c r="Z282" s="1398"/>
      <c r="AA282" s="1398"/>
      <c r="AB282" s="1398"/>
      <c r="AC282" s="1398"/>
      <c r="AD282" s="1398"/>
      <c r="AE282" s="1398"/>
      <c r="AF282" s="1398"/>
      <c r="AG282" s="1398"/>
      <c r="AH282" s="1398"/>
      <c r="AI282" s="1398"/>
      <c r="AJ282" s="1398"/>
      <c r="AK282" s="1398"/>
    </row>
    <row r="283" spans="1:37" s="1571" customFormat="1">
      <c r="A283" s="1575"/>
      <c r="B283" s="1575"/>
      <c r="C283" s="1575"/>
      <c r="K283" s="1574"/>
      <c r="L283" s="1398"/>
      <c r="M283" s="1398"/>
      <c r="N283" s="1398"/>
      <c r="O283" s="1398"/>
      <c r="P283" s="1398"/>
      <c r="Q283" s="1398"/>
      <c r="R283" s="1398"/>
      <c r="S283" s="1398"/>
      <c r="T283" s="1398"/>
      <c r="U283" s="1398"/>
      <c r="V283" s="1398"/>
      <c r="W283" s="1398"/>
      <c r="X283" s="1398"/>
      <c r="Y283" s="1398"/>
      <c r="Z283" s="1398"/>
      <c r="AA283" s="1398"/>
      <c r="AB283" s="1398"/>
      <c r="AC283" s="1398"/>
      <c r="AD283" s="1398"/>
      <c r="AE283" s="1398"/>
      <c r="AF283" s="1398"/>
      <c r="AG283" s="1398"/>
      <c r="AH283" s="1398"/>
      <c r="AI283" s="1398"/>
      <c r="AJ283" s="1398"/>
      <c r="AK283" s="1398"/>
    </row>
    <row r="284" spans="1:37" s="1571" customFormat="1">
      <c r="A284" s="1575"/>
      <c r="B284" s="1575"/>
      <c r="C284" s="1575"/>
      <c r="K284" s="1574"/>
      <c r="L284" s="1398"/>
      <c r="M284" s="1398"/>
      <c r="N284" s="1398"/>
      <c r="O284" s="1398"/>
      <c r="P284" s="1398"/>
      <c r="Q284" s="1398"/>
      <c r="R284" s="1398"/>
      <c r="S284" s="1398"/>
      <c r="T284" s="1398"/>
      <c r="U284" s="1398"/>
      <c r="V284" s="1398"/>
      <c r="W284" s="1398"/>
      <c r="X284" s="1398"/>
      <c r="Y284" s="1398"/>
      <c r="Z284" s="1398"/>
      <c r="AA284" s="1398"/>
      <c r="AB284" s="1398"/>
      <c r="AC284" s="1398"/>
      <c r="AD284" s="1398"/>
      <c r="AE284" s="1398"/>
      <c r="AF284" s="1398"/>
      <c r="AG284" s="1398"/>
      <c r="AH284" s="1398"/>
      <c r="AI284" s="1398"/>
      <c r="AJ284" s="1398"/>
      <c r="AK284" s="1398"/>
    </row>
    <row r="285" spans="1:37" s="1571" customFormat="1">
      <c r="A285" s="1575"/>
      <c r="B285" s="1575"/>
      <c r="C285" s="1575"/>
      <c r="K285" s="1574"/>
      <c r="L285" s="1398"/>
      <c r="M285" s="1398"/>
      <c r="N285" s="1398"/>
      <c r="O285" s="1398"/>
      <c r="P285" s="1398"/>
      <c r="Q285" s="1398"/>
      <c r="R285" s="1398"/>
      <c r="S285" s="1398"/>
      <c r="T285" s="1398"/>
      <c r="U285" s="1398"/>
      <c r="V285" s="1398"/>
      <c r="W285" s="1398"/>
      <c r="X285" s="1398"/>
      <c r="Y285" s="1398"/>
      <c r="Z285" s="1398"/>
      <c r="AA285" s="1398"/>
      <c r="AB285" s="1398"/>
      <c r="AC285" s="1398"/>
      <c r="AD285" s="1398"/>
      <c r="AE285" s="1398"/>
      <c r="AF285" s="1398"/>
      <c r="AG285" s="1398"/>
      <c r="AH285" s="1398"/>
      <c r="AI285" s="1398"/>
      <c r="AJ285" s="1398"/>
      <c r="AK285" s="1398"/>
    </row>
    <row r="286" spans="1:37" s="1571" customFormat="1">
      <c r="A286" s="1575"/>
      <c r="B286" s="1575"/>
      <c r="C286" s="1575"/>
      <c r="K286" s="1574"/>
      <c r="L286" s="1398"/>
      <c r="M286" s="1398"/>
      <c r="N286" s="1398"/>
      <c r="O286" s="1398"/>
      <c r="P286" s="1398"/>
      <c r="Q286" s="1398"/>
      <c r="R286" s="1398"/>
      <c r="S286" s="1398"/>
      <c r="T286" s="1398"/>
      <c r="U286" s="1398"/>
      <c r="V286" s="1398"/>
      <c r="W286" s="1398"/>
      <c r="X286" s="1398"/>
      <c r="Y286" s="1398"/>
      <c r="Z286" s="1398"/>
      <c r="AA286" s="1398"/>
      <c r="AB286" s="1398"/>
      <c r="AC286" s="1398"/>
      <c r="AD286" s="1398"/>
      <c r="AE286" s="1398"/>
      <c r="AF286" s="1398"/>
      <c r="AG286" s="1398"/>
      <c r="AH286" s="1398"/>
      <c r="AI286" s="1398"/>
      <c r="AJ286" s="1398"/>
      <c r="AK286" s="1398"/>
    </row>
    <row r="287" spans="1:37" s="1571" customFormat="1">
      <c r="A287" s="1575"/>
      <c r="B287" s="1575"/>
      <c r="C287" s="1575"/>
      <c r="K287" s="1574"/>
      <c r="L287" s="1398"/>
      <c r="M287" s="1398"/>
      <c r="N287" s="1398"/>
      <c r="O287" s="1398"/>
      <c r="P287" s="1398"/>
      <c r="Q287" s="1398"/>
      <c r="R287" s="1398"/>
      <c r="S287" s="1398"/>
      <c r="T287" s="1398"/>
      <c r="U287" s="1398"/>
      <c r="V287" s="1398"/>
      <c r="W287" s="1398"/>
      <c r="X287" s="1398"/>
      <c r="Y287" s="1398"/>
      <c r="Z287" s="1398"/>
      <c r="AA287" s="1398"/>
      <c r="AB287" s="1398"/>
      <c r="AC287" s="1398"/>
      <c r="AD287" s="1398"/>
      <c r="AE287" s="1398"/>
      <c r="AF287" s="1398"/>
      <c r="AG287" s="1398"/>
      <c r="AH287" s="1398"/>
      <c r="AI287" s="1398"/>
      <c r="AJ287" s="1398"/>
      <c r="AK287" s="1398"/>
    </row>
    <row r="288" spans="1:37" s="1571" customFormat="1">
      <c r="A288" s="1575"/>
      <c r="B288" s="1575"/>
      <c r="C288" s="1575"/>
      <c r="K288" s="1574"/>
      <c r="L288" s="1398"/>
      <c r="M288" s="1398"/>
      <c r="N288" s="1398"/>
      <c r="O288" s="1398"/>
      <c r="P288" s="1398"/>
      <c r="Q288" s="1398"/>
      <c r="R288" s="1398"/>
      <c r="S288" s="1398"/>
      <c r="T288" s="1398"/>
      <c r="U288" s="1398"/>
      <c r="V288" s="1398"/>
      <c r="W288" s="1398"/>
      <c r="X288" s="1398"/>
      <c r="Y288" s="1398"/>
      <c r="Z288" s="1398"/>
      <c r="AA288" s="1398"/>
      <c r="AB288" s="1398"/>
      <c r="AC288" s="1398"/>
      <c r="AD288" s="1398"/>
      <c r="AE288" s="1398"/>
      <c r="AF288" s="1398"/>
      <c r="AG288" s="1398"/>
      <c r="AH288" s="1398"/>
      <c r="AI288" s="1398"/>
      <c r="AJ288" s="1398"/>
      <c r="AK288" s="1398"/>
    </row>
    <row r="289" spans="1:37" s="1571" customFormat="1">
      <c r="A289" s="1575"/>
      <c r="B289" s="1575"/>
      <c r="C289" s="1575"/>
      <c r="K289" s="1574"/>
      <c r="L289" s="1398"/>
      <c r="M289" s="1398"/>
      <c r="N289" s="1398"/>
      <c r="O289" s="1398"/>
      <c r="P289" s="1398"/>
      <c r="Q289" s="1398"/>
      <c r="R289" s="1398"/>
      <c r="S289" s="1398"/>
      <c r="T289" s="1398"/>
      <c r="U289" s="1398"/>
      <c r="V289" s="1398"/>
      <c r="W289" s="1398"/>
      <c r="X289" s="1398"/>
      <c r="Y289" s="1398"/>
      <c r="Z289" s="1398"/>
      <c r="AA289" s="1398"/>
      <c r="AB289" s="1398"/>
      <c r="AC289" s="1398"/>
      <c r="AD289" s="1398"/>
      <c r="AE289" s="1398"/>
      <c r="AF289" s="1398"/>
      <c r="AG289" s="1398"/>
      <c r="AH289" s="1398"/>
      <c r="AI289" s="1398"/>
      <c r="AJ289" s="1398"/>
      <c r="AK289" s="1398"/>
    </row>
    <row r="290" spans="1:37" s="1571" customFormat="1">
      <c r="A290" s="1575"/>
      <c r="B290" s="1575"/>
      <c r="C290" s="1575"/>
      <c r="K290" s="1574"/>
      <c r="L290" s="1398"/>
      <c r="M290" s="1398"/>
      <c r="N290" s="1398"/>
      <c r="O290" s="1398"/>
      <c r="P290" s="1398"/>
      <c r="Q290" s="1398"/>
      <c r="R290" s="1398"/>
      <c r="S290" s="1398"/>
      <c r="T290" s="1398"/>
      <c r="U290" s="1398"/>
      <c r="V290" s="1398"/>
      <c r="W290" s="1398"/>
      <c r="X290" s="1398"/>
      <c r="Y290" s="1398"/>
      <c r="Z290" s="1398"/>
      <c r="AA290" s="1398"/>
      <c r="AB290" s="1398"/>
      <c r="AC290" s="1398"/>
      <c r="AD290" s="1398"/>
      <c r="AE290" s="1398"/>
      <c r="AF290" s="1398"/>
      <c r="AG290" s="1398"/>
      <c r="AH290" s="1398"/>
      <c r="AI290" s="1398"/>
      <c r="AJ290" s="1398"/>
      <c r="AK290" s="1398"/>
    </row>
    <row r="291" spans="1:37" s="1571" customFormat="1">
      <c r="A291" s="1575"/>
      <c r="B291" s="1575"/>
      <c r="C291" s="1575"/>
      <c r="K291" s="1574"/>
      <c r="L291" s="1398"/>
      <c r="M291" s="1398"/>
      <c r="N291" s="1398"/>
      <c r="O291" s="1398"/>
      <c r="P291" s="1398"/>
      <c r="Q291" s="1398"/>
      <c r="R291" s="1398"/>
      <c r="S291" s="1398"/>
      <c r="T291" s="1398"/>
      <c r="U291" s="1398"/>
      <c r="V291" s="1398"/>
      <c r="W291" s="1398"/>
      <c r="X291" s="1398"/>
      <c r="Y291" s="1398"/>
      <c r="Z291" s="1398"/>
      <c r="AA291" s="1398"/>
      <c r="AB291" s="1398"/>
      <c r="AC291" s="1398"/>
      <c r="AD291" s="1398"/>
      <c r="AE291" s="1398"/>
      <c r="AF291" s="1398"/>
      <c r="AG291" s="1398"/>
      <c r="AH291" s="1398"/>
      <c r="AI291" s="1398"/>
      <c r="AJ291" s="1398"/>
      <c r="AK291" s="1398"/>
    </row>
    <row r="292" spans="1:37" s="1571" customFormat="1">
      <c r="A292" s="1575"/>
      <c r="B292" s="1575"/>
      <c r="C292" s="1575"/>
      <c r="K292" s="1574"/>
      <c r="L292" s="1398"/>
      <c r="M292" s="1398"/>
      <c r="N292" s="1398"/>
      <c r="O292" s="1398"/>
      <c r="P292" s="1398"/>
      <c r="Q292" s="1398"/>
      <c r="R292" s="1398"/>
      <c r="S292" s="1398"/>
      <c r="T292" s="1398"/>
      <c r="U292" s="1398"/>
      <c r="V292" s="1398"/>
      <c r="W292" s="1398"/>
      <c r="X292" s="1398"/>
      <c r="Y292" s="1398"/>
      <c r="Z292" s="1398"/>
      <c r="AA292" s="1398"/>
      <c r="AB292" s="1398"/>
      <c r="AC292" s="1398"/>
      <c r="AD292" s="1398"/>
      <c r="AE292" s="1398"/>
      <c r="AF292" s="1398"/>
      <c r="AG292" s="1398"/>
      <c r="AH292" s="1398"/>
      <c r="AI292" s="1398"/>
      <c r="AJ292" s="1398"/>
      <c r="AK292" s="1398"/>
    </row>
    <row r="293" spans="1:37" s="1571" customFormat="1">
      <c r="A293" s="1575"/>
      <c r="B293" s="1575"/>
      <c r="C293" s="1575"/>
      <c r="K293" s="1574"/>
      <c r="L293" s="1398"/>
      <c r="M293" s="1398"/>
      <c r="N293" s="1398"/>
      <c r="O293" s="1398"/>
      <c r="P293" s="1398"/>
      <c r="Q293" s="1398"/>
      <c r="R293" s="1398"/>
      <c r="S293" s="1398"/>
      <c r="T293" s="1398"/>
      <c r="U293" s="1398"/>
      <c r="V293" s="1398"/>
      <c r="W293" s="1398"/>
      <c r="X293" s="1398"/>
      <c r="Y293" s="1398"/>
      <c r="Z293" s="1398"/>
      <c r="AA293" s="1398"/>
      <c r="AB293" s="1398"/>
      <c r="AC293" s="1398"/>
      <c r="AD293" s="1398"/>
      <c r="AE293" s="1398"/>
      <c r="AF293" s="1398"/>
      <c r="AG293" s="1398"/>
      <c r="AH293" s="1398"/>
      <c r="AI293" s="1398"/>
      <c r="AJ293" s="1398"/>
      <c r="AK293" s="1398"/>
    </row>
    <row r="294" spans="1:37" s="1571" customFormat="1">
      <c r="A294" s="1575"/>
      <c r="B294" s="1575"/>
      <c r="C294" s="1575"/>
      <c r="K294" s="1574"/>
      <c r="L294" s="1398"/>
      <c r="M294" s="1398"/>
      <c r="N294" s="1398"/>
      <c r="O294" s="1398"/>
      <c r="P294" s="1398"/>
      <c r="Q294" s="1398"/>
      <c r="R294" s="1398"/>
      <c r="S294" s="1398"/>
      <c r="T294" s="1398"/>
      <c r="U294" s="1398"/>
      <c r="V294" s="1398"/>
      <c r="W294" s="1398"/>
      <c r="X294" s="1398"/>
      <c r="Y294" s="1398"/>
      <c r="Z294" s="1398"/>
      <c r="AA294" s="1398"/>
      <c r="AB294" s="1398"/>
      <c r="AC294" s="1398"/>
      <c r="AD294" s="1398"/>
      <c r="AE294" s="1398"/>
      <c r="AF294" s="1398"/>
      <c r="AG294" s="1398"/>
      <c r="AH294" s="1398"/>
      <c r="AI294" s="1398"/>
      <c r="AJ294" s="1398"/>
      <c r="AK294" s="1398"/>
    </row>
    <row r="295" spans="1:37" s="1571" customFormat="1">
      <c r="A295" s="1575"/>
      <c r="B295" s="1575"/>
      <c r="C295" s="1575"/>
      <c r="K295" s="1574"/>
      <c r="L295" s="1398"/>
      <c r="M295" s="1398"/>
      <c r="N295" s="1398"/>
      <c r="O295" s="1398"/>
      <c r="P295" s="1398"/>
      <c r="Q295" s="1398"/>
      <c r="R295" s="1398"/>
      <c r="S295" s="1398"/>
      <c r="T295" s="1398"/>
      <c r="U295" s="1398"/>
      <c r="V295" s="1398"/>
      <c r="W295" s="1398"/>
      <c r="X295" s="1398"/>
      <c r="Y295" s="1398"/>
      <c r="Z295" s="1398"/>
      <c r="AA295" s="1398"/>
      <c r="AB295" s="1398"/>
      <c r="AC295" s="1398"/>
      <c r="AD295" s="1398"/>
      <c r="AE295" s="1398"/>
      <c r="AF295" s="1398"/>
      <c r="AG295" s="1398"/>
      <c r="AH295" s="1398"/>
      <c r="AI295" s="1398"/>
      <c r="AJ295" s="1398"/>
      <c r="AK295" s="1398"/>
    </row>
    <row r="296" spans="1:37" s="1571" customFormat="1">
      <c r="A296" s="1575"/>
      <c r="B296" s="1575"/>
      <c r="C296" s="1575"/>
      <c r="K296" s="1574"/>
      <c r="L296" s="1398"/>
      <c r="M296" s="1398"/>
      <c r="N296" s="1398"/>
      <c r="O296" s="1398"/>
      <c r="P296" s="1398"/>
      <c r="Q296" s="1398"/>
      <c r="R296" s="1398"/>
      <c r="S296" s="1398"/>
      <c r="T296" s="1398"/>
      <c r="U296" s="1398"/>
      <c r="V296" s="1398"/>
      <c r="W296" s="1398"/>
      <c r="X296" s="1398"/>
      <c r="Y296" s="1398"/>
      <c r="Z296" s="1398"/>
      <c r="AA296" s="1398"/>
      <c r="AB296" s="1398"/>
      <c r="AC296" s="1398"/>
      <c r="AD296" s="1398"/>
      <c r="AE296" s="1398"/>
      <c r="AF296" s="1398"/>
      <c r="AG296" s="1398"/>
      <c r="AH296" s="1398"/>
      <c r="AI296" s="1398"/>
      <c r="AJ296" s="1398"/>
      <c r="AK296" s="1398"/>
    </row>
    <row r="297" spans="1:37" s="1571" customFormat="1">
      <c r="A297" s="1575"/>
      <c r="B297" s="1575"/>
      <c r="C297" s="1575"/>
      <c r="K297" s="1574"/>
      <c r="L297" s="1398"/>
      <c r="M297" s="1398"/>
      <c r="N297" s="1398"/>
      <c r="O297" s="1398"/>
      <c r="P297" s="1398"/>
      <c r="Q297" s="1398"/>
      <c r="R297" s="1398"/>
      <c r="S297" s="1398"/>
      <c r="T297" s="1398"/>
      <c r="U297" s="1398"/>
      <c r="V297" s="1398"/>
      <c r="W297" s="1398"/>
      <c r="X297" s="1398"/>
      <c r="Y297" s="1398"/>
      <c r="Z297" s="1398"/>
      <c r="AA297" s="1398"/>
      <c r="AB297" s="1398"/>
      <c r="AC297" s="1398"/>
      <c r="AD297" s="1398"/>
      <c r="AE297" s="1398"/>
      <c r="AF297" s="1398"/>
      <c r="AG297" s="1398"/>
      <c r="AH297" s="1398"/>
      <c r="AI297" s="1398"/>
      <c r="AJ297" s="1398"/>
      <c r="AK297" s="1398"/>
    </row>
    <row r="298" spans="1:37" s="1571" customFormat="1">
      <c r="A298" s="1575"/>
      <c r="B298" s="1575"/>
      <c r="C298" s="1575"/>
      <c r="K298" s="1574"/>
      <c r="L298" s="1398"/>
      <c r="M298" s="1398"/>
      <c r="N298" s="1398"/>
      <c r="O298" s="1398"/>
      <c r="P298" s="1398"/>
      <c r="Q298" s="1398"/>
      <c r="R298" s="1398"/>
      <c r="S298" s="1398"/>
      <c r="T298" s="1398"/>
      <c r="U298" s="1398"/>
      <c r="V298" s="1398"/>
      <c r="W298" s="1398"/>
      <c r="X298" s="1398"/>
      <c r="Y298" s="1398"/>
      <c r="Z298" s="1398"/>
      <c r="AA298" s="1398"/>
      <c r="AB298" s="1398"/>
      <c r="AC298" s="1398"/>
      <c r="AD298" s="1398"/>
      <c r="AE298" s="1398"/>
      <c r="AF298" s="1398"/>
      <c r="AG298" s="1398"/>
      <c r="AH298" s="1398"/>
      <c r="AI298" s="1398"/>
      <c r="AJ298" s="1398"/>
      <c r="AK298" s="1398"/>
    </row>
    <row r="299" spans="1:37" s="1571" customFormat="1">
      <c r="A299" s="1575"/>
      <c r="B299" s="1575"/>
      <c r="C299" s="1575"/>
      <c r="K299" s="1574"/>
      <c r="L299" s="1398"/>
      <c r="M299" s="1398"/>
      <c r="N299" s="1398"/>
      <c r="O299" s="1398"/>
      <c r="P299" s="1398"/>
      <c r="Q299" s="1398"/>
      <c r="R299" s="1398"/>
      <c r="S299" s="1398"/>
      <c r="T299" s="1398"/>
      <c r="U299" s="1398"/>
      <c r="V299" s="1398"/>
      <c r="W299" s="1398"/>
      <c r="X299" s="1398"/>
      <c r="Y299" s="1398"/>
      <c r="Z299" s="1398"/>
      <c r="AA299" s="1398"/>
      <c r="AB299" s="1398"/>
      <c r="AC299" s="1398"/>
      <c r="AD299" s="1398"/>
      <c r="AE299" s="1398"/>
      <c r="AF299" s="1398"/>
      <c r="AG299" s="1398"/>
      <c r="AH299" s="1398"/>
      <c r="AI299" s="1398"/>
      <c r="AJ299" s="1398"/>
      <c r="AK299" s="1398"/>
    </row>
    <row r="300" spans="1:37" s="1571" customFormat="1">
      <c r="A300" s="1575"/>
      <c r="B300" s="1575"/>
      <c r="C300" s="1575"/>
      <c r="K300" s="1574"/>
      <c r="L300" s="1398"/>
      <c r="M300" s="1398"/>
      <c r="N300" s="1398"/>
      <c r="O300" s="1398"/>
      <c r="P300" s="1398"/>
      <c r="Q300" s="1398"/>
      <c r="R300" s="1398"/>
      <c r="S300" s="1398"/>
      <c r="T300" s="1398"/>
      <c r="U300" s="1398"/>
      <c r="V300" s="1398"/>
      <c r="W300" s="1398"/>
      <c r="X300" s="1398"/>
      <c r="Y300" s="1398"/>
      <c r="Z300" s="1398"/>
      <c r="AA300" s="1398"/>
      <c r="AB300" s="1398"/>
      <c r="AC300" s="1398"/>
      <c r="AD300" s="1398"/>
      <c r="AE300" s="1398"/>
      <c r="AF300" s="1398"/>
      <c r="AG300" s="1398"/>
      <c r="AH300" s="1398"/>
      <c r="AI300" s="1398"/>
      <c r="AJ300" s="1398"/>
      <c r="AK300" s="1398"/>
    </row>
    <row r="301" spans="1:37" s="1571" customFormat="1">
      <c r="A301" s="1575"/>
      <c r="B301" s="1575"/>
      <c r="C301" s="1575"/>
      <c r="K301" s="1574"/>
      <c r="L301" s="1398"/>
      <c r="M301" s="1398"/>
      <c r="N301" s="1398"/>
      <c r="O301" s="1398"/>
      <c r="P301" s="1398"/>
      <c r="Q301" s="1398"/>
      <c r="R301" s="1398"/>
      <c r="S301" s="1398"/>
      <c r="T301" s="1398"/>
      <c r="U301" s="1398"/>
      <c r="V301" s="1398"/>
      <c r="W301" s="1398"/>
      <c r="X301" s="1398"/>
      <c r="Y301" s="1398"/>
      <c r="Z301" s="1398"/>
      <c r="AA301" s="1398"/>
      <c r="AB301" s="1398"/>
      <c r="AC301" s="1398"/>
      <c r="AD301" s="1398"/>
      <c r="AE301" s="1398"/>
      <c r="AF301" s="1398"/>
      <c r="AG301" s="1398"/>
      <c r="AH301" s="1398"/>
      <c r="AI301" s="1398"/>
      <c r="AJ301" s="1398"/>
      <c r="AK301" s="1398"/>
    </row>
    <row r="302" spans="1:37" s="1571" customFormat="1">
      <c r="A302" s="1575"/>
      <c r="B302" s="1575"/>
      <c r="C302" s="1575"/>
      <c r="K302" s="1574"/>
      <c r="L302" s="1398"/>
      <c r="M302" s="1398"/>
      <c r="N302" s="1398"/>
      <c r="O302" s="1398"/>
      <c r="P302" s="1398"/>
      <c r="Q302" s="1398"/>
      <c r="R302" s="1398"/>
      <c r="S302" s="1398"/>
      <c r="T302" s="1398"/>
      <c r="U302" s="1398"/>
      <c r="V302" s="1398"/>
      <c r="W302" s="1398"/>
      <c r="X302" s="1398"/>
      <c r="Y302" s="1398"/>
      <c r="Z302" s="1398"/>
      <c r="AA302" s="1398"/>
      <c r="AB302" s="1398"/>
      <c r="AC302" s="1398"/>
      <c r="AD302" s="1398"/>
      <c r="AE302" s="1398"/>
      <c r="AF302" s="1398"/>
      <c r="AG302" s="1398"/>
      <c r="AH302" s="1398"/>
      <c r="AI302" s="1398"/>
      <c r="AJ302" s="1398"/>
      <c r="AK302" s="1398"/>
    </row>
    <row r="303" spans="1:37" s="1571" customFormat="1">
      <c r="A303" s="1575"/>
      <c r="B303" s="1575"/>
      <c r="C303" s="1575"/>
      <c r="K303" s="1574"/>
      <c r="L303" s="1398"/>
      <c r="M303" s="1398"/>
      <c r="N303" s="1398"/>
      <c r="O303" s="1398"/>
      <c r="P303" s="1398"/>
      <c r="Q303" s="1398"/>
      <c r="R303" s="1398"/>
      <c r="S303" s="1398"/>
      <c r="T303" s="1398"/>
      <c r="U303" s="1398"/>
      <c r="V303" s="1398"/>
      <c r="W303" s="1398"/>
      <c r="X303" s="1398"/>
      <c r="Y303" s="1398"/>
      <c r="Z303" s="1398"/>
      <c r="AA303" s="1398"/>
      <c r="AB303" s="1398"/>
      <c r="AC303" s="1398"/>
      <c r="AD303" s="1398"/>
      <c r="AE303" s="1398"/>
      <c r="AF303" s="1398"/>
      <c r="AG303" s="1398"/>
      <c r="AH303" s="1398"/>
      <c r="AI303" s="1398"/>
      <c r="AJ303" s="1398"/>
      <c r="AK303" s="1398"/>
    </row>
    <row r="304" spans="1:37" s="1571" customFormat="1">
      <c r="A304" s="1575"/>
      <c r="B304" s="1575"/>
      <c r="C304" s="1575"/>
      <c r="K304" s="1574"/>
      <c r="L304" s="1398"/>
      <c r="M304" s="1398"/>
      <c r="N304" s="1398"/>
      <c r="O304" s="1398"/>
      <c r="P304" s="1398"/>
      <c r="Q304" s="1398"/>
      <c r="R304" s="1398"/>
      <c r="S304" s="1398"/>
      <c r="T304" s="1398"/>
      <c r="U304" s="1398"/>
      <c r="V304" s="1398"/>
      <c r="W304" s="1398"/>
      <c r="X304" s="1398"/>
      <c r="Y304" s="1398"/>
      <c r="Z304" s="1398"/>
      <c r="AA304" s="1398"/>
      <c r="AB304" s="1398"/>
      <c r="AC304" s="1398"/>
      <c r="AD304" s="1398"/>
      <c r="AE304" s="1398"/>
      <c r="AF304" s="1398"/>
      <c r="AG304" s="1398"/>
      <c r="AH304" s="1398"/>
      <c r="AI304" s="1398"/>
      <c r="AJ304" s="1398"/>
      <c r="AK304" s="1398"/>
    </row>
    <row r="305" spans="1:37" s="1571" customFormat="1">
      <c r="A305" s="1575"/>
      <c r="B305" s="1575"/>
      <c r="C305" s="1575"/>
      <c r="K305" s="1574"/>
      <c r="L305" s="1398"/>
      <c r="M305" s="1398"/>
      <c r="N305" s="1398"/>
      <c r="O305" s="1398"/>
      <c r="P305" s="1398"/>
      <c r="Q305" s="1398"/>
      <c r="R305" s="1398"/>
      <c r="S305" s="1398"/>
      <c r="T305" s="1398"/>
      <c r="U305" s="1398"/>
      <c r="V305" s="1398"/>
      <c r="W305" s="1398"/>
      <c r="X305" s="1398"/>
      <c r="Y305" s="1398"/>
      <c r="Z305" s="1398"/>
      <c r="AA305" s="1398"/>
      <c r="AB305" s="1398"/>
      <c r="AC305" s="1398"/>
      <c r="AD305" s="1398"/>
      <c r="AE305" s="1398"/>
      <c r="AF305" s="1398"/>
      <c r="AG305" s="1398"/>
      <c r="AH305" s="1398"/>
      <c r="AI305" s="1398"/>
      <c r="AJ305" s="1398"/>
      <c r="AK305" s="1398"/>
    </row>
    <row r="306" spans="1:37" s="1571" customFormat="1">
      <c r="A306" s="1575"/>
      <c r="B306" s="1575"/>
      <c r="C306" s="1575"/>
      <c r="K306" s="1574"/>
      <c r="L306" s="1398"/>
      <c r="M306" s="1398"/>
      <c r="N306" s="1398"/>
      <c r="O306" s="1398"/>
      <c r="P306" s="1398"/>
      <c r="Q306" s="1398"/>
      <c r="R306" s="1398"/>
      <c r="S306" s="1398"/>
      <c r="T306" s="1398"/>
      <c r="U306" s="1398"/>
      <c r="V306" s="1398"/>
      <c r="W306" s="1398"/>
      <c r="X306" s="1398"/>
      <c r="Y306" s="1398"/>
      <c r="Z306" s="1398"/>
      <c r="AA306" s="1398"/>
      <c r="AB306" s="1398"/>
      <c r="AC306" s="1398"/>
      <c r="AD306" s="1398"/>
      <c r="AE306" s="1398"/>
      <c r="AF306" s="1398"/>
      <c r="AG306" s="1398"/>
      <c r="AH306" s="1398"/>
      <c r="AI306" s="1398"/>
      <c r="AJ306" s="1398"/>
      <c r="AK306" s="1398"/>
    </row>
    <row r="307" spans="1:37" s="1571" customFormat="1">
      <c r="A307" s="1575"/>
      <c r="B307" s="1575"/>
      <c r="C307" s="1575"/>
      <c r="K307" s="1574"/>
      <c r="L307" s="1398"/>
      <c r="M307" s="1398"/>
      <c r="N307" s="1398"/>
      <c r="O307" s="1398"/>
      <c r="P307" s="1398"/>
      <c r="Q307" s="1398"/>
      <c r="R307" s="1398"/>
      <c r="S307" s="1398"/>
      <c r="T307" s="1398"/>
      <c r="U307" s="1398"/>
      <c r="V307" s="1398"/>
      <c r="W307" s="1398"/>
      <c r="X307" s="1398"/>
      <c r="Y307" s="1398"/>
      <c r="Z307" s="1398"/>
      <c r="AA307" s="1398"/>
      <c r="AB307" s="1398"/>
      <c r="AC307" s="1398"/>
      <c r="AD307" s="1398"/>
      <c r="AE307" s="1398"/>
      <c r="AF307" s="1398"/>
      <c r="AG307" s="1398"/>
      <c r="AH307" s="1398"/>
      <c r="AI307" s="1398"/>
      <c r="AJ307" s="1398"/>
      <c r="AK307" s="1398"/>
    </row>
    <row r="308" spans="1:37" s="1571" customFormat="1">
      <c r="A308" s="1575"/>
      <c r="B308" s="1575"/>
      <c r="C308" s="1575"/>
      <c r="K308" s="1574"/>
      <c r="L308" s="1398"/>
      <c r="M308" s="1398"/>
      <c r="N308" s="1398"/>
      <c r="O308" s="1398"/>
      <c r="P308" s="1398"/>
      <c r="Q308" s="1398"/>
      <c r="R308" s="1398"/>
      <c r="S308" s="1398"/>
      <c r="T308" s="1398"/>
      <c r="U308" s="1398"/>
      <c r="V308" s="1398"/>
      <c r="W308" s="1398"/>
      <c r="X308" s="1398"/>
      <c r="Y308" s="1398"/>
      <c r="Z308" s="1398"/>
      <c r="AA308" s="1398"/>
      <c r="AB308" s="1398"/>
      <c r="AC308" s="1398"/>
      <c r="AD308" s="1398"/>
      <c r="AE308" s="1398"/>
      <c r="AF308" s="1398"/>
      <c r="AG308" s="1398"/>
      <c r="AH308" s="1398"/>
      <c r="AI308" s="1398"/>
      <c r="AJ308" s="1398"/>
      <c r="AK308" s="1398"/>
    </row>
    <row r="309" spans="1:37" s="1571" customFormat="1">
      <c r="A309" s="1575"/>
      <c r="B309" s="1575"/>
      <c r="C309" s="1575"/>
      <c r="K309" s="1574"/>
      <c r="L309" s="1398"/>
      <c r="M309" s="1398"/>
      <c r="N309" s="1398"/>
      <c r="O309" s="1398"/>
      <c r="P309" s="1398"/>
      <c r="Q309" s="1398"/>
      <c r="R309" s="1398"/>
      <c r="S309" s="1398"/>
      <c r="T309" s="1398"/>
      <c r="U309" s="1398"/>
      <c r="V309" s="1398"/>
      <c r="W309" s="1398"/>
      <c r="X309" s="1398"/>
      <c r="Y309" s="1398"/>
      <c r="Z309" s="1398"/>
      <c r="AA309" s="1398"/>
      <c r="AB309" s="1398"/>
      <c r="AC309" s="1398"/>
      <c r="AD309" s="1398"/>
      <c r="AE309" s="1398"/>
      <c r="AF309" s="1398"/>
      <c r="AG309" s="1398"/>
      <c r="AH309" s="1398"/>
      <c r="AI309" s="1398"/>
      <c r="AJ309" s="1398"/>
      <c r="AK309" s="1398"/>
    </row>
    <row r="310" spans="1:37" s="1571" customFormat="1">
      <c r="A310" s="1575"/>
      <c r="B310" s="1575"/>
      <c r="C310" s="1575"/>
      <c r="K310" s="1574"/>
      <c r="L310" s="1398"/>
      <c r="M310" s="1398"/>
      <c r="N310" s="1398"/>
      <c r="O310" s="1398"/>
      <c r="P310" s="1398"/>
      <c r="Q310" s="1398"/>
      <c r="R310" s="1398"/>
      <c r="S310" s="1398"/>
      <c r="T310" s="1398"/>
      <c r="U310" s="1398"/>
      <c r="V310" s="1398"/>
      <c r="W310" s="1398"/>
      <c r="X310" s="1398"/>
      <c r="Y310" s="1398"/>
      <c r="Z310" s="1398"/>
      <c r="AA310" s="1398"/>
      <c r="AB310" s="1398"/>
      <c r="AC310" s="1398"/>
      <c r="AD310" s="1398"/>
      <c r="AE310" s="1398"/>
      <c r="AF310" s="1398"/>
      <c r="AG310" s="1398"/>
      <c r="AH310" s="1398"/>
      <c r="AI310" s="1398"/>
      <c r="AJ310" s="1398"/>
      <c r="AK310" s="1398"/>
    </row>
    <row r="311" spans="1:37" s="1571" customFormat="1">
      <c r="A311" s="1575"/>
      <c r="B311" s="1575"/>
      <c r="C311" s="1575"/>
      <c r="K311" s="1574"/>
      <c r="L311" s="1398"/>
      <c r="M311" s="1398"/>
      <c r="N311" s="1398"/>
      <c r="O311" s="1398"/>
      <c r="P311" s="1398"/>
      <c r="Q311" s="1398"/>
      <c r="R311" s="1398"/>
      <c r="S311" s="1398"/>
      <c r="T311" s="1398"/>
      <c r="U311" s="1398"/>
      <c r="V311" s="1398"/>
      <c r="W311" s="1398"/>
      <c r="X311" s="1398"/>
      <c r="Y311" s="1398"/>
      <c r="Z311" s="1398"/>
      <c r="AA311" s="1398"/>
      <c r="AB311" s="1398"/>
      <c r="AC311" s="1398"/>
      <c r="AD311" s="1398"/>
      <c r="AE311" s="1398"/>
      <c r="AF311" s="1398"/>
      <c r="AG311" s="1398"/>
      <c r="AH311" s="1398"/>
      <c r="AI311" s="1398"/>
      <c r="AJ311" s="1398"/>
      <c r="AK311" s="1398"/>
    </row>
    <row r="312" spans="1:37" s="1571" customFormat="1">
      <c r="A312" s="1575"/>
      <c r="B312" s="1575"/>
      <c r="C312" s="1575"/>
      <c r="K312" s="1574"/>
      <c r="L312" s="1398"/>
      <c r="M312" s="1398"/>
      <c r="N312" s="1398"/>
      <c r="O312" s="1398"/>
      <c r="P312" s="1398"/>
      <c r="Q312" s="1398"/>
      <c r="R312" s="1398"/>
      <c r="S312" s="1398"/>
      <c r="T312" s="1398"/>
      <c r="U312" s="1398"/>
      <c r="V312" s="1398"/>
      <c r="W312" s="1398"/>
      <c r="X312" s="1398"/>
      <c r="Y312" s="1398"/>
      <c r="Z312" s="1398"/>
      <c r="AA312" s="1398"/>
      <c r="AB312" s="1398"/>
      <c r="AC312" s="1398"/>
      <c r="AD312" s="1398"/>
      <c r="AE312" s="1398"/>
      <c r="AF312" s="1398"/>
      <c r="AG312" s="1398"/>
      <c r="AH312" s="1398"/>
      <c r="AI312" s="1398"/>
      <c r="AJ312" s="1398"/>
      <c r="AK312" s="1398"/>
    </row>
    <row r="313" spans="1:37" s="1571" customFormat="1">
      <c r="A313" s="1575"/>
      <c r="B313" s="1575"/>
      <c r="C313" s="1575"/>
      <c r="K313" s="1574"/>
      <c r="L313" s="1398"/>
      <c r="M313" s="1398"/>
      <c r="N313" s="1398"/>
      <c r="O313" s="1398"/>
      <c r="P313" s="1398"/>
      <c r="Q313" s="1398"/>
      <c r="R313" s="1398"/>
      <c r="S313" s="1398"/>
      <c r="T313" s="1398"/>
      <c r="U313" s="1398"/>
      <c r="V313" s="1398"/>
      <c r="W313" s="1398"/>
      <c r="X313" s="1398"/>
      <c r="Y313" s="1398"/>
      <c r="Z313" s="1398"/>
      <c r="AA313" s="1398"/>
      <c r="AB313" s="1398"/>
      <c r="AC313" s="1398"/>
      <c r="AD313" s="1398"/>
      <c r="AE313" s="1398"/>
      <c r="AF313" s="1398"/>
      <c r="AG313" s="1398"/>
      <c r="AH313" s="1398"/>
      <c r="AI313" s="1398"/>
      <c r="AJ313" s="1398"/>
      <c r="AK313" s="1398"/>
    </row>
    <row r="314" spans="1:37" s="1571" customFormat="1">
      <c r="A314" s="1575"/>
      <c r="B314" s="1575"/>
      <c r="C314" s="1575"/>
      <c r="K314" s="1574"/>
      <c r="L314" s="1398"/>
      <c r="M314" s="1398"/>
      <c r="N314" s="1398"/>
      <c r="O314" s="1398"/>
      <c r="P314" s="1398"/>
      <c r="Q314" s="1398"/>
      <c r="R314" s="1398"/>
      <c r="S314" s="1398"/>
      <c r="T314" s="1398"/>
      <c r="U314" s="1398"/>
      <c r="V314" s="1398"/>
      <c r="W314" s="1398"/>
      <c r="X314" s="1398"/>
      <c r="Y314" s="1398"/>
      <c r="Z314" s="1398"/>
      <c r="AA314" s="1398"/>
      <c r="AB314" s="1398"/>
      <c r="AC314" s="1398"/>
      <c r="AD314" s="1398"/>
      <c r="AE314" s="1398"/>
      <c r="AF314" s="1398"/>
      <c r="AG314" s="1398"/>
      <c r="AH314" s="1398"/>
      <c r="AI314" s="1398"/>
      <c r="AJ314" s="1398"/>
      <c r="AK314" s="1398"/>
    </row>
    <row r="315" spans="1:37" s="1571" customFormat="1">
      <c r="A315" s="1575"/>
      <c r="B315" s="1575"/>
      <c r="C315" s="1575"/>
      <c r="K315" s="1574"/>
      <c r="L315" s="1398"/>
      <c r="M315" s="1398"/>
      <c r="N315" s="1398"/>
      <c r="O315" s="1398"/>
      <c r="P315" s="1398"/>
      <c r="Q315" s="1398"/>
      <c r="R315" s="1398"/>
      <c r="S315" s="1398"/>
      <c r="T315" s="1398"/>
      <c r="U315" s="1398"/>
      <c r="V315" s="1398"/>
      <c r="W315" s="1398"/>
      <c r="X315" s="1398"/>
      <c r="Y315" s="1398"/>
      <c r="Z315" s="1398"/>
      <c r="AA315" s="1398"/>
      <c r="AB315" s="1398"/>
      <c r="AC315" s="1398"/>
      <c r="AD315" s="1398"/>
      <c r="AE315" s="1398"/>
      <c r="AF315" s="1398"/>
      <c r="AG315" s="1398"/>
      <c r="AH315" s="1398"/>
      <c r="AI315" s="1398"/>
      <c r="AJ315" s="1398"/>
      <c r="AK315" s="1398"/>
    </row>
    <row r="316" spans="1:37" s="1571" customFormat="1">
      <c r="A316" s="1575"/>
      <c r="B316" s="1575"/>
      <c r="C316" s="1575"/>
      <c r="K316" s="1574"/>
      <c r="L316" s="1398"/>
      <c r="M316" s="1398"/>
      <c r="N316" s="1398"/>
      <c r="O316" s="1398"/>
      <c r="P316" s="1398"/>
      <c r="Q316" s="1398"/>
      <c r="R316" s="1398"/>
      <c r="S316" s="1398"/>
      <c r="T316" s="1398"/>
      <c r="U316" s="1398"/>
      <c r="V316" s="1398"/>
      <c r="W316" s="1398"/>
      <c r="X316" s="1398"/>
      <c r="Y316" s="1398"/>
      <c r="Z316" s="1398"/>
      <c r="AA316" s="1398"/>
      <c r="AB316" s="1398"/>
      <c r="AC316" s="1398"/>
      <c r="AD316" s="1398"/>
      <c r="AE316" s="1398"/>
      <c r="AF316" s="1398"/>
      <c r="AG316" s="1398"/>
      <c r="AH316" s="1398"/>
      <c r="AI316" s="1398"/>
      <c r="AJ316" s="1398"/>
      <c r="AK316" s="1398"/>
    </row>
    <row r="317" spans="1:37" s="1571" customFormat="1">
      <c r="A317" s="1575"/>
      <c r="B317" s="1575"/>
      <c r="C317" s="1575"/>
      <c r="K317" s="1574"/>
      <c r="L317" s="1398"/>
      <c r="M317" s="1398"/>
      <c r="N317" s="1398"/>
      <c r="O317" s="1398"/>
      <c r="P317" s="1398"/>
      <c r="Q317" s="1398"/>
      <c r="R317" s="1398"/>
      <c r="S317" s="1398"/>
      <c r="T317" s="1398"/>
      <c r="U317" s="1398"/>
      <c r="V317" s="1398"/>
      <c r="W317" s="1398"/>
      <c r="X317" s="1398"/>
      <c r="Y317" s="1398"/>
      <c r="Z317" s="1398"/>
      <c r="AA317" s="1398"/>
      <c r="AB317" s="1398"/>
      <c r="AC317" s="1398"/>
      <c r="AD317" s="1398"/>
      <c r="AE317" s="1398"/>
      <c r="AF317" s="1398"/>
      <c r="AG317" s="1398"/>
      <c r="AH317" s="1398"/>
      <c r="AI317" s="1398"/>
      <c r="AJ317" s="1398"/>
      <c r="AK317" s="1398"/>
    </row>
    <row r="318" spans="1:37" s="1571" customFormat="1">
      <c r="A318" s="1575"/>
      <c r="B318" s="1575"/>
      <c r="C318" s="1575"/>
      <c r="K318" s="1574"/>
      <c r="L318" s="1398"/>
      <c r="M318" s="1398"/>
      <c r="N318" s="1398"/>
      <c r="O318" s="1398"/>
      <c r="P318" s="1398"/>
      <c r="Q318" s="1398"/>
      <c r="R318" s="1398"/>
      <c r="S318" s="1398"/>
      <c r="T318" s="1398"/>
      <c r="U318" s="1398"/>
      <c r="V318" s="1398"/>
      <c r="W318" s="1398"/>
      <c r="X318" s="1398"/>
      <c r="Y318" s="1398"/>
      <c r="Z318" s="1398"/>
      <c r="AA318" s="1398"/>
      <c r="AB318" s="1398"/>
      <c r="AC318" s="1398"/>
      <c r="AD318" s="1398"/>
      <c r="AE318" s="1398"/>
      <c r="AF318" s="1398"/>
      <c r="AG318" s="1398"/>
      <c r="AH318" s="1398"/>
      <c r="AI318" s="1398"/>
      <c r="AJ318" s="1398"/>
      <c r="AK318" s="1398"/>
    </row>
    <row r="319" spans="1:37" s="1571" customFormat="1">
      <c r="A319" s="1575"/>
      <c r="B319" s="1575"/>
      <c r="C319" s="1575"/>
      <c r="K319" s="1574"/>
      <c r="L319" s="1398"/>
      <c r="M319" s="1398"/>
      <c r="N319" s="1398"/>
      <c r="O319" s="1398"/>
      <c r="P319" s="1398"/>
      <c r="Q319" s="1398"/>
      <c r="R319" s="1398"/>
      <c r="S319" s="1398"/>
      <c r="T319" s="1398"/>
      <c r="U319" s="1398"/>
      <c r="V319" s="1398"/>
      <c r="W319" s="1398"/>
      <c r="X319" s="1398"/>
      <c r="Y319" s="1398"/>
      <c r="Z319" s="1398"/>
      <c r="AA319" s="1398"/>
      <c r="AB319" s="1398"/>
      <c r="AC319" s="1398"/>
      <c r="AD319" s="1398"/>
      <c r="AE319" s="1398"/>
      <c r="AF319" s="1398"/>
      <c r="AG319" s="1398"/>
      <c r="AH319" s="1398"/>
      <c r="AI319" s="1398"/>
      <c r="AJ319" s="1398"/>
      <c r="AK319" s="1398"/>
    </row>
    <row r="320" spans="1:37" s="1571" customFormat="1">
      <c r="A320" s="1575"/>
      <c r="B320" s="1575"/>
      <c r="C320" s="1575"/>
      <c r="K320" s="1574"/>
      <c r="L320" s="1398"/>
      <c r="M320" s="1398"/>
      <c r="N320" s="1398"/>
      <c r="O320" s="1398"/>
      <c r="P320" s="1398"/>
      <c r="Q320" s="1398"/>
      <c r="R320" s="1398"/>
      <c r="S320" s="1398"/>
      <c r="T320" s="1398"/>
      <c r="U320" s="1398"/>
      <c r="V320" s="1398"/>
      <c r="W320" s="1398"/>
      <c r="X320" s="1398"/>
      <c r="Y320" s="1398"/>
      <c r="Z320" s="1398"/>
      <c r="AA320" s="1398"/>
      <c r="AB320" s="1398"/>
      <c r="AC320" s="1398"/>
      <c r="AD320" s="1398"/>
      <c r="AE320" s="1398"/>
      <c r="AF320" s="1398"/>
      <c r="AG320" s="1398"/>
      <c r="AH320" s="1398"/>
      <c r="AI320" s="1398"/>
      <c r="AJ320" s="1398"/>
      <c r="AK320" s="1398"/>
    </row>
    <row r="321" spans="1:37" s="1571" customFormat="1">
      <c r="A321" s="1575"/>
      <c r="B321" s="1575"/>
      <c r="C321" s="1575"/>
      <c r="K321" s="1574"/>
      <c r="L321" s="1398"/>
      <c r="M321" s="1398"/>
      <c r="N321" s="1398"/>
      <c r="O321" s="1398"/>
      <c r="P321" s="1398"/>
      <c r="Q321" s="1398"/>
      <c r="R321" s="1398"/>
      <c r="S321" s="1398"/>
      <c r="T321" s="1398"/>
      <c r="U321" s="1398"/>
      <c r="V321" s="1398"/>
      <c r="W321" s="1398"/>
      <c r="X321" s="1398"/>
      <c r="Y321" s="1398"/>
      <c r="Z321" s="1398"/>
      <c r="AA321" s="1398"/>
      <c r="AB321" s="1398"/>
      <c r="AC321" s="1398"/>
      <c r="AD321" s="1398"/>
      <c r="AE321" s="1398"/>
      <c r="AF321" s="1398"/>
      <c r="AG321" s="1398"/>
      <c r="AH321" s="1398"/>
      <c r="AI321" s="1398"/>
      <c r="AJ321" s="1398"/>
      <c r="AK321" s="1398"/>
    </row>
    <row r="322" spans="1:37" s="1571" customFormat="1">
      <c r="A322" s="1575"/>
      <c r="B322" s="1575"/>
      <c r="C322" s="1575"/>
      <c r="K322" s="1574"/>
      <c r="L322" s="1398"/>
      <c r="M322" s="1398"/>
      <c r="N322" s="1398"/>
      <c r="O322" s="1398"/>
      <c r="P322" s="1398"/>
      <c r="Q322" s="1398"/>
      <c r="R322" s="1398"/>
      <c r="S322" s="1398"/>
      <c r="T322" s="1398"/>
      <c r="U322" s="1398"/>
      <c r="V322" s="1398"/>
      <c r="W322" s="1398"/>
      <c r="X322" s="1398"/>
      <c r="Y322" s="1398"/>
      <c r="Z322" s="1398"/>
      <c r="AA322" s="1398"/>
      <c r="AB322" s="1398"/>
      <c r="AC322" s="1398"/>
      <c r="AD322" s="1398"/>
      <c r="AE322" s="1398"/>
      <c r="AF322" s="1398"/>
      <c r="AG322" s="1398"/>
      <c r="AH322" s="1398"/>
      <c r="AI322" s="1398"/>
      <c r="AJ322" s="1398"/>
      <c r="AK322" s="1398"/>
    </row>
    <row r="323" spans="1:37" s="1571" customFormat="1">
      <c r="A323" s="1575"/>
      <c r="B323" s="1575"/>
      <c r="C323" s="1575"/>
      <c r="K323" s="1574"/>
      <c r="L323" s="1398"/>
      <c r="M323" s="1398"/>
      <c r="N323" s="1398"/>
      <c r="O323" s="1398"/>
      <c r="P323" s="1398"/>
      <c r="Q323" s="1398"/>
      <c r="R323" s="1398"/>
      <c r="S323" s="1398"/>
      <c r="T323" s="1398"/>
      <c r="U323" s="1398"/>
      <c r="V323" s="1398"/>
      <c r="W323" s="1398"/>
      <c r="X323" s="1398"/>
      <c r="Y323" s="1398"/>
      <c r="Z323" s="1398"/>
      <c r="AA323" s="1398"/>
      <c r="AB323" s="1398"/>
      <c r="AC323" s="1398"/>
      <c r="AD323" s="1398"/>
      <c r="AE323" s="1398"/>
      <c r="AF323" s="1398"/>
      <c r="AG323" s="1398"/>
      <c r="AH323" s="1398"/>
      <c r="AI323" s="1398"/>
      <c r="AJ323" s="1398"/>
      <c r="AK323" s="1398"/>
    </row>
    <row r="324" spans="1:37" s="1571" customFormat="1">
      <c r="A324" s="1575"/>
      <c r="B324" s="1575"/>
      <c r="C324" s="1575"/>
      <c r="K324" s="1574"/>
      <c r="L324" s="1398"/>
      <c r="M324" s="1398"/>
      <c r="N324" s="1398"/>
      <c r="O324" s="1398"/>
      <c r="P324" s="1398"/>
      <c r="Q324" s="1398"/>
      <c r="R324" s="1398"/>
      <c r="S324" s="1398"/>
      <c r="T324" s="1398"/>
      <c r="U324" s="1398"/>
      <c r="V324" s="1398"/>
      <c r="W324" s="1398"/>
      <c r="X324" s="1398"/>
      <c r="Y324" s="1398"/>
      <c r="Z324" s="1398"/>
      <c r="AA324" s="1398"/>
      <c r="AB324" s="1398"/>
      <c r="AC324" s="1398"/>
      <c r="AD324" s="1398"/>
      <c r="AE324" s="1398"/>
      <c r="AF324" s="1398"/>
      <c r="AG324" s="1398"/>
      <c r="AH324" s="1398"/>
      <c r="AI324" s="1398"/>
      <c r="AJ324" s="1398"/>
      <c r="AK324" s="1398"/>
    </row>
    <row r="325" spans="1:37" s="1571" customFormat="1">
      <c r="A325" s="1575"/>
      <c r="B325" s="1575"/>
      <c r="C325" s="1575"/>
      <c r="K325" s="1574"/>
      <c r="L325" s="1398"/>
      <c r="M325" s="1398"/>
      <c r="N325" s="1398"/>
      <c r="O325" s="1398"/>
      <c r="P325" s="1398"/>
      <c r="Q325" s="1398"/>
      <c r="R325" s="1398"/>
      <c r="S325" s="1398"/>
      <c r="T325" s="1398"/>
      <c r="U325" s="1398"/>
      <c r="V325" s="1398"/>
      <c r="W325" s="1398"/>
      <c r="X325" s="1398"/>
      <c r="Y325" s="1398"/>
      <c r="Z325" s="1398"/>
      <c r="AA325" s="1398"/>
      <c r="AB325" s="1398"/>
      <c r="AC325" s="1398"/>
      <c r="AD325" s="1398"/>
      <c r="AE325" s="1398"/>
      <c r="AF325" s="1398"/>
      <c r="AG325" s="1398"/>
      <c r="AH325" s="1398"/>
      <c r="AI325" s="1398"/>
      <c r="AJ325" s="1398"/>
      <c r="AK325" s="1398"/>
    </row>
    <row r="326" spans="1:37" s="1571" customFormat="1">
      <c r="A326" s="1575"/>
      <c r="B326" s="1575"/>
      <c r="C326" s="1575"/>
      <c r="K326" s="1574"/>
      <c r="L326" s="1398"/>
      <c r="M326" s="1398"/>
      <c r="N326" s="1398"/>
      <c r="O326" s="1398"/>
      <c r="P326" s="1398"/>
      <c r="Q326" s="1398"/>
      <c r="R326" s="1398"/>
      <c r="S326" s="1398"/>
      <c r="T326" s="1398"/>
      <c r="U326" s="1398"/>
      <c r="V326" s="1398"/>
      <c r="W326" s="1398"/>
      <c r="X326" s="1398"/>
      <c r="Y326" s="1398"/>
      <c r="Z326" s="1398"/>
      <c r="AA326" s="1398"/>
      <c r="AB326" s="1398"/>
      <c r="AC326" s="1398"/>
      <c r="AD326" s="1398"/>
      <c r="AE326" s="1398"/>
      <c r="AF326" s="1398"/>
      <c r="AG326" s="1398"/>
      <c r="AH326" s="1398"/>
      <c r="AI326" s="1398"/>
      <c r="AJ326" s="1398"/>
      <c r="AK326" s="1398"/>
    </row>
    <row r="327" spans="1:37" s="1571" customFormat="1">
      <c r="A327" s="1575"/>
      <c r="B327" s="1575"/>
      <c r="C327" s="1575"/>
      <c r="K327" s="1574"/>
      <c r="L327" s="1398"/>
      <c r="M327" s="1398"/>
      <c r="N327" s="1398"/>
      <c r="O327" s="1398"/>
      <c r="P327" s="1398"/>
      <c r="Q327" s="1398"/>
      <c r="R327" s="1398"/>
      <c r="S327" s="1398"/>
      <c r="T327" s="1398"/>
      <c r="U327" s="1398"/>
      <c r="V327" s="1398"/>
      <c r="W327" s="1398"/>
      <c r="X327" s="1398"/>
      <c r="Y327" s="1398"/>
      <c r="Z327" s="1398"/>
      <c r="AA327" s="1398"/>
      <c r="AB327" s="1398"/>
      <c r="AC327" s="1398"/>
      <c r="AD327" s="1398"/>
      <c r="AE327" s="1398"/>
      <c r="AF327" s="1398"/>
      <c r="AG327" s="1398"/>
      <c r="AH327" s="1398"/>
      <c r="AI327" s="1398"/>
      <c r="AJ327" s="1398"/>
      <c r="AK327" s="1398"/>
    </row>
    <row r="328" spans="1:37" s="1571" customFormat="1">
      <c r="A328" s="1575"/>
      <c r="B328" s="1575"/>
      <c r="C328" s="1575"/>
      <c r="K328" s="1574"/>
      <c r="L328" s="1398"/>
      <c r="M328" s="1398"/>
      <c r="N328" s="1398"/>
      <c r="O328" s="1398"/>
      <c r="P328" s="1398"/>
      <c r="Q328" s="1398"/>
      <c r="R328" s="1398"/>
      <c r="S328" s="1398"/>
      <c r="T328" s="1398"/>
      <c r="U328" s="1398"/>
      <c r="V328" s="1398"/>
      <c r="W328" s="1398"/>
      <c r="X328" s="1398"/>
      <c r="Y328" s="1398"/>
      <c r="Z328" s="1398"/>
      <c r="AA328" s="1398"/>
      <c r="AB328" s="1398"/>
      <c r="AC328" s="1398"/>
      <c r="AD328" s="1398"/>
      <c r="AE328" s="1398"/>
      <c r="AF328" s="1398"/>
      <c r="AG328" s="1398"/>
      <c r="AH328" s="1398"/>
      <c r="AI328" s="1398"/>
      <c r="AJ328" s="1398"/>
      <c r="AK328" s="1398"/>
    </row>
    <row r="329" spans="1:37" s="1571" customFormat="1">
      <c r="A329" s="1575"/>
      <c r="B329" s="1575"/>
      <c r="C329" s="1575"/>
      <c r="K329" s="1574"/>
      <c r="L329" s="1398"/>
      <c r="M329" s="1398"/>
      <c r="N329" s="1398"/>
      <c r="O329" s="1398"/>
      <c r="P329" s="1398"/>
      <c r="Q329" s="1398"/>
      <c r="R329" s="1398"/>
      <c r="S329" s="1398"/>
      <c r="T329" s="1398"/>
      <c r="U329" s="1398"/>
      <c r="V329" s="1398"/>
      <c r="W329" s="1398"/>
      <c r="X329" s="1398"/>
      <c r="Y329" s="1398"/>
      <c r="Z329" s="1398"/>
      <c r="AA329" s="1398"/>
      <c r="AB329" s="1398"/>
      <c r="AC329" s="1398"/>
      <c r="AD329" s="1398"/>
      <c r="AE329" s="1398"/>
      <c r="AF329" s="1398"/>
      <c r="AG329" s="1398"/>
      <c r="AH329" s="1398"/>
      <c r="AI329" s="1398"/>
      <c r="AJ329" s="1398"/>
      <c r="AK329" s="1398"/>
    </row>
    <row r="330" spans="1:37" s="1571" customFormat="1">
      <c r="A330" s="1575"/>
      <c r="B330" s="1575"/>
      <c r="C330" s="1575"/>
      <c r="K330" s="1574"/>
      <c r="L330" s="1398"/>
      <c r="M330" s="1398"/>
      <c r="N330" s="1398"/>
      <c r="O330" s="1398"/>
      <c r="P330" s="1398"/>
      <c r="Q330" s="1398"/>
      <c r="R330" s="1398"/>
      <c r="S330" s="1398"/>
      <c r="T330" s="1398"/>
      <c r="U330" s="1398"/>
      <c r="V330" s="1398"/>
      <c r="W330" s="1398"/>
      <c r="X330" s="1398"/>
      <c r="Y330" s="1398"/>
      <c r="Z330" s="1398"/>
      <c r="AA330" s="1398"/>
      <c r="AB330" s="1398"/>
      <c r="AC330" s="1398"/>
      <c r="AD330" s="1398"/>
      <c r="AE330" s="1398"/>
      <c r="AF330" s="1398"/>
      <c r="AG330" s="1398"/>
      <c r="AH330" s="1398"/>
      <c r="AI330" s="1398"/>
      <c r="AJ330" s="1398"/>
      <c r="AK330" s="1398"/>
    </row>
    <row r="331" spans="1:37" s="1571" customFormat="1">
      <c r="A331" s="1575"/>
      <c r="B331" s="1575"/>
      <c r="C331" s="1575"/>
      <c r="K331" s="1574"/>
      <c r="L331" s="1398"/>
      <c r="M331" s="1398"/>
      <c r="N331" s="1398"/>
      <c r="O331" s="1398"/>
      <c r="P331" s="1398"/>
      <c r="Q331" s="1398"/>
      <c r="R331" s="1398"/>
      <c r="S331" s="1398"/>
      <c r="T331" s="1398"/>
      <c r="U331" s="1398"/>
      <c r="V331" s="1398"/>
      <c r="W331" s="1398"/>
      <c r="X331" s="1398"/>
      <c r="Y331" s="1398"/>
      <c r="Z331" s="1398"/>
      <c r="AA331" s="1398"/>
      <c r="AB331" s="1398"/>
      <c r="AC331" s="1398"/>
      <c r="AD331" s="1398"/>
      <c r="AE331" s="1398"/>
      <c r="AF331" s="1398"/>
      <c r="AG331" s="1398"/>
      <c r="AH331" s="1398"/>
      <c r="AI331" s="1398"/>
      <c r="AJ331" s="1398"/>
      <c r="AK331" s="1398"/>
    </row>
    <row r="332" spans="1:37" s="1571" customFormat="1">
      <c r="A332" s="1575"/>
      <c r="B332" s="1575"/>
      <c r="C332" s="1575"/>
      <c r="K332" s="1574"/>
      <c r="L332" s="1398"/>
      <c r="M332" s="1398"/>
      <c r="N332" s="1398"/>
      <c r="O332" s="1398"/>
      <c r="P332" s="1398"/>
      <c r="Q332" s="1398"/>
      <c r="R332" s="1398"/>
      <c r="S332" s="1398"/>
      <c r="T332" s="1398"/>
      <c r="U332" s="1398"/>
      <c r="V332" s="1398"/>
      <c r="W332" s="1398"/>
      <c r="X332" s="1398"/>
      <c r="Y332" s="1398"/>
      <c r="Z332" s="1398"/>
      <c r="AA332" s="1398"/>
      <c r="AB332" s="1398"/>
      <c r="AC332" s="1398"/>
      <c r="AD332" s="1398"/>
      <c r="AE332" s="1398"/>
      <c r="AF332" s="1398"/>
      <c r="AG332" s="1398"/>
      <c r="AH332" s="1398"/>
      <c r="AI332" s="1398"/>
      <c r="AJ332" s="1398"/>
      <c r="AK332" s="1398"/>
    </row>
    <row r="333" spans="1:37" s="1571" customFormat="1">
      <c r="A333" s="1575"/>
      <c r="B333" s="1575"/>
      <c r="C333" s="1575"/>
      <c r="K333" s="1574"/>
      <c r="L333" s="1398"/>
      <c r="M333" s="1398"/>
      <c r="N333" s="1398"/>
      <c r="O333" s="1398"/>
      <c r="P333" s="1398"/>
      <c r="Q333" s="1398"/>
      <c r="R333" s="1398"/>
      <c r="S333" s="1398"/>
      <c r="T333" s="1398"/>
      <c r="U333" s="1398"/>
      <c r="V333" s="1398"/>
      <c r="W333" s="1398"/>
      <c r="X333" s="1398"/>
      <c r="Y333" s="1398"/>
      <c r="Z333" s="1398"/>
      <c r="AA333" s="1398"/>
      <c r="AB333" s="1398"/>
      <c r="AC333" s="1398"/>
      <c r="AD333" s="1398"/>
      <c r="AE333" s="1398"/>
      <c r="AF333" s="1398"/>
      <c r="AG333" s="1398"/>
      <c r="AH333" s="1398"/>
      <c r="AI333" s="1398"/>
      <c r="AJ333" s="1398"/>
      <c r="AK333" s="1398"/>
    </row>
    <row r="334" spans="1:37" s="1571" customFormat="1">
      <c r="A334" s="1575"/>
      <c r="B334" s="1575"/>
      <c r="C334" s="1575"/>
      <c r="K334" s="1574"/>
      <c r="L334" s="1398"/>
      <c r="M334" s="1398"/>
      <c r="N334" s="1398"/>
      <c r="O334" s="1398"/>
      <c r="P334" s="1398"/>
      <c r="Q334" s="1398"/>
      <c r="R334" s="1398"/>
      <c r="S334" s="1398"/>
      <c r="T334" s="1398"/>
      <c r="U334" s="1398"/>
      <c r="V334" s="1398"/>
      <c r="W334" s="1398"/>
      <c r="X334" s="1398"/>
      <c r="Y334" s="1398"/>
      <c r="Z334" s="1398"/>
      <c r="AA334" s="1398"/>
      <c r="AB334" s="1398"/>
      <c r="AC334" s="1398"/>
      <c r="AD334" s="1398"/>
      <c r="AE334" s="1398"/>
      <c r="AF334" s="1398"/>
      <c r="AG334" s="1398"/>
      <c r="AH334" s="1398"/>
      <c r="AI334" s="1398"/>
      <c r="AJ334" s="1398"/>
      <c r="AK334" s="1398"/>
    </row>
    <row r="335" spans="1:37" s="1571" customFormat="1">
      <c r="A335" s="1575"/>
      <c r="B335" s="1575"/>
      <c r="C335" s="1575"/>
      <c r="K335" s="1574"/>
      <c r="L335" s="1398"/>
      <c r="M335" s="1398"/>
      <c r="N335" s="1398"/>
      <c r="O335" s="1398"/>
      <c r="P335" s="1398"/>
      <c r="Q335" s="1398"/>
      <c r="R335" s="1398"/>
      <c r="S335" s="1398"/>
      <c r="T335" s="1398"/>
      <c r="U335" s="1398"/>
      <c r="V335" s="1398"/>
      <c r="W335" s="1398"/>
      <c r="X335" s="1398"/>
      <c r="Y335" s="1398"/>
      <c r="Z335" s="1398"/>
      <c r="AA335" s="1398"/>
      <c r="AB335" s="1398"/>
      <c r="AC335" s="1398"/>
      <c r="AD335" s="1398"/>
      <c r="AE335" s="1398"/>
      <c r="AF335" s="1398"/>
      <c r="AG335" s="1398"/>
      <c r="AH335" s="1398"/>
      <c r="AI335" s="1398"/>
      <c r="AJ335" s="1398"/>
      <c r="AK335" s="1398"/>
    </row>
    <row r="336" spans="1:37" s="1571" customFormat="1">
      <c r="A336" s="1575"/>
      <c r="B336" s="1575"/>
      <c r="C336" s="1575"/>
      <c r="K336" s="1574"/>
      <c r="L336" s="1398"/>
      <c r="M336" s="1398"/>
      <c r="N336" s="1398"/>
      <c r="O336" s="1398"/>
      <c r="P336" s="1398"/>
      <c r="Q336" s="1398"/>
      <c r="R336" s="1398"/>
      <c r="S336" s="1398"/>
      <c r="T336" s="1398"/>
      <c r="U336" s="1398"/>
      <c r="V336" s="1398"/>
      <c r="W336" s="1398"/>
      <c r="X336" s="1398"/>
      <c r="Y336" s="1398"/>
      <c r="Z336" s="1398"/>
      <c r="AA336" s="1398"/>
      <c r="AB336" s="1398"/>
      <c r="AC336" s="1398"/>
      <c r="AD336" s="1398"/>
      <c r="AE336" s="1398"/>
      <c r="AF336" s="1398"/>
      <c r="AG336" s="1398"/>
      <c r="AH336" s="1398"/>
      <c r="AI336" s="1398"/>
      <c r="AJ336" s="1398"/>
      <c r="AK336" s="1398"/>
    </row>
    <row r="337" spans="1:37" s="1571" customFormat="1">
      <c r="A337" s="1575"/>
      <c r="B337" s="1575"/>
      <c r="C337" s="1575"/>
      <c r="K337" s="1574"/>
      <c r="L337" s="1398"/>
      <c r="M337" s="1398"/>
      <c r="N337" s="1398"/>
      <c r="O337" s="1398"/>
      <c r="P337" s="1398"/>
      <c r="Q337" s="1398"/>
      <c r="R337" s="1398"/>
      <c r="S337" s="1398"/>
      <c r="T337" s="1398"/>
      <c r="U337" s="1398"/>
      <c r="V337" s="1398"/>
      <c r="W337" s="1398"/>
      <c r="X337" s="1398"/>
      <c r="Y337" s="1398"/>
      <c r="Z337" s="1398"/>
      <c r="AA337" s="1398"/>
      <c r="AB337" s="1398"/>
      <c r="AC337" s="1398"/>
      <c r="AD337" s="1398"/>
      <c r="AE337" s="1398"/>
      <c r="AF337" s="1398"/>
      <c r="AG337" s="1398"/>
      <c r="AH337" s="1398"/>
      <c r="AI337" s="1398"/>
      <c r="AJ337" s="1398"/>
      <c r="AK337" s="1398"/>
    </row>
    <row r="338" spans="1:37" s="1571" customFormat="1">
      <c r="A338" s="1575"/>
      <c r="B338" s="1575"/>
      <c r="C338" s="1575"/>
      <c r="K338" s="1574"/>
      <c r="L338" s="1398"/>
      <c r="M338" s="1398"/>
      <c r="N338" s="1398"/>
      <c r="O338" s="1398"/>
      <c r="P338" s="1398"/>
      <c r="Q338" s="1398"/>
      <c r="R338" s="1398"/>
      <c r="S338" s="1398"/>
      <c r="T338" s="1398"/>
      <c r="U338" s="1398"/>
      <c r="V338" s="1398"/>
      <c r="W338" s="1398"/>
      <c r="X338" s="1398"/>
      <c r="Y338" s="1398"/>
      <c r="Z338" s="1398"/>
      <c r="AA338" s="1398"/>
      <c r="AB338" s="1398"/>
      <c r="AC338" s="1398"/>
      <c r="AD338" s="1398"/>
      <c r="AE338" s="1398"/>
      <c r="AF338" s="1398"/>
      <c r="AG338" s="1398"/>
      <c r="AH338" s="1398"/>
      <c r="AI338" s="1398"/>
      <c r="AJ338" s="1398"/>
      <c r="AK338" s="1398"/>
    </row>
    <row r="339" spans="1:37" s="1571" customFormat="1">
      <c r="A339" s="1575"/>
      <c r="B339" s="1575"/>
      <c r="C339" s="1575"/>
      <c r="K339" s="1574"/>
      <c r="L339" s="1398"/>
      <c r="M339" s="1398"/>
      <c r="N339" s="1398"/>
      <c r="O339" s="1398"/>
      <c r="P339" s="1398"/>
      <c r="Q339" s="1398"/>
      <c r="R339" s="1398"/>
      <c r="S339" s="1398"/>
      <c r="T339" s="1398"/>
      <c r="U339" s="1398"/>
      <c r="V339" s="1398"/>
      <c r="W339" s="1398"/>
      <c r="X339" s="1398"/>
      <c r="Y339" s="1398"/>
      <c r="Z339" s="1398"/>
      <c r="AA339" s="1398"/>
      <c r="AB339" s="1398"/>
      <c r="AC339" s="1398"/>
      <c r="AD339" s="1398"/>
      <c r="AE339" s="1398"/>
      <c r="AF339" s="1398"/>
      <c r="AG339" s="1398"/>
      <c r="AH339" s="1398"/>
      <c r="AI339" s="1398"/>
      <c r="AJ339" s="1398"/>
      <c r="AK339" s="1398"/>
    </row>
    <row r="340" spans="1:37" s="1571" customFormat="1">
      <c r="A340" s="1575"/>
      <c r="B340" s="1575"/>
      <c r="C340" s="1575"/>
      <c r="K340" s="1574"/>
      <c r="L340" s="1398"/>
      <c r="M340" s="1398"/>
      <c r="N340" s="1398"/>
      <c r="O340" s="1398"/>
      <c r="P340" s="1398"/>
      <c r="Q340" s="1398"/>
      <c r="R340" s="1398"/>
      <c r="S340" s="1398"/>
      <c r="T340" s="1398"/>
      <c r="U340" s="1398"/>
      <c r="V340" s="1398"/>
      <c r="W340" s="1398"/>
      <c r="X340" s="1398"/>
      <c r="Y340" s="1398"/>
      <c r="Z340" s="1398"/>
      <c r="AA340" s="1398"/>
      <c r="AB340" s="1398"/>
      <c r="AC340" s="1398"/>
      <c r="AD340" s="1398"/>
      <c r="AE340" s="1398"/>
      <c r="AF340" s="1398"/>
      <c r="AG340" s="1398"/>
      <c r="AH340" s="1398"/>
      <c r="AI340" s="1398"/>
      <c r="AJ340" s="1398"/>
      <c r="AK340" s="1398"/>
    </row>
    <row r="341" spans="1:37" s="1571" customFormat="1">
      <c r="A341" s="1575"/>
      <c r="B341" s="1575"/>
      <c r="C341" s="1575"/>
      <c r="K341" s="1574"/>
      <c r="L341" s="1398"/>
      <c r="M341" s="1398"/>
      <c r="N341" s="1398"/>
      <c r="O341" s="1398"/>
      <c r="P341" s="1398"/>
      <c r="Q341" s="1398"/>
      <c r="R341" s="1398"/>
      <c r="S341" s="1398"/>
      <c r="T341" s="1398"/>
      <c r="U341" s="1398"/>
      <c r="V341" s="1398"/>
      <c r="W341" s="1398"/>
      <c r="X341" s="1398"/>
      <c r="Y341" s="1398"/>
      <c r="Z341" s="1398"/>
      <c r="AA341" s="1398"/>
      <c r="AB341" s="1398"/>
      <c r="AC341" s="1398"/>
      <c r="AD341" s="1398"/>
      <c r="AE341" s="1398"/>
      <c r="AF341" s="1398"/>
      <c r="AG341" s="1398"/>
      <c r="AH341" s="1398"/>
      <c r="AI341" s="1398"/>
      <c r="AJ341" s="1398"/>
      <c r="AK341" s="1398"/>
    </row>
    <row r="342" spans="1:37" s="1571" customFormat="1">
      <c r="A342" s="1575"/>
      <c r="B342" s="1575"/>
      <c r="C342" s="1575"/>
      <c r="K342" s="1574"/>
      <c r="L342" s="1398"/>
      <c r="M342" s="1398"/>
      <c r="N342" s="1398"/>
      <c r="O342" s="1398"/>
      <c r="P342" s="1398"/>
      <c r="Q342" s="1398"/>
      <c r="R342" s="1398"/>
      <c r="S342" s="1398"/>
      <c r="T342" s="1398"/>
      <c r="U342" s="1398"/>
      <c r="V342" s="1398"/>
      <c r="W342" s="1398"/>
      <c r="X342" s="1398"/>
      <c r="Y342" s="1398"/>
      <c r="Z342" s="1398"/>
      <c r="AA342" s="1398"/>
      <c r="AB342" s="1398"/>
      <c r="AC342" s="1398"/>
      <c r="AD342" s="1398"/>
      <c r="AE342" s="1398"/>
      <c r="AF342" s="1398"/>
      <c r="AG342" s="1398"/>
      <c r="AH342" s="1398"/>
      <c r="AI342" s="1398"/>
      <c r="AJ342" s="1398"/>
      <c r="AK342" s="1398"/>
    </row>
    <row r="343" spans="1:37" s="1571" customFormat="1">
      <c r="A343" s="1575"/>
      <c r="B343" s="1575"/>
      <c r="C343" s="1575"/>
      <c r="K343" s="1574"/>
      <c r="L343" s="1398"/>
      <c r="M343" s="1398"/>
      <c r="N343" s="1398"/>
      <c r="O343" s="1398"/>
      <c r="P343" s="1398"/>
      <c r="Q343" s="1398"/>
      <c r="R343" s="1398"/>
      <c r="S343" s="1398"/>
      <c r="T343" s="1398"/>
      <c r="U343" s="1398"/>
      <c r="V343" s="1398"/>
      <c r="W343" s="1398"/>
      <c r="X343" s="1398"/>
      <c r="Y343" s="1398"/>
      <c r="Z343" s="1398"/>
      <c r="AA343" s="1398"/>
      <c r="AB343" s="1398"/>
      <c r="AC343" s="1398"/>
      <c r="AD343" s="1398"/>
      <c r="AE343" s="1398"/>
      <c r="AF343" s="1398"/>
      <c r="AG343" s="1398"/>
      <c r="AH343" s="1398"/>
      <c r="AI343" s="1398"/>
      <c r="AJ343" s="1398"/>
      <c r="AK343" s="1398"/>
    </row>
    <row r="344" spans="1:37" s="1571" customFormat="1">
      <c r="A344" s="1575"/>
      <c r="B344" s="1575"/>
      <c r="C344" s="1575"/>
      <c r="K344" s="1574"/>
      <c r="L344" s="1398"/>
      <c r="M344" s="1398"/>
      <c r="N344" s="1398"/>
      <c r="O344" s="1398"/>
      <c r="P344" s="1398"/>
      <c r="Q344" s="1398"/>
      <c r="R344" s="1398"/>
      <c r="S344" s="1398"/>
      <c r="T344" s="1398"/>
      <c r="U344" s="1398"/>
      <c r="V344" s="1398"/>
      <c r="W344" s="1398"/>
      <c r="X344" s="1398"/>
      <c r="Y344" s="1398"/>
      <c r="Z344" s="1398"/>
      <c r="AA344" s="1398"/>
      <c r="AB344" s="1398"/>
      <c r="AC344" s="1398"/>
      <c r="AD344" s="1398"/>
      <c r="AE344" s="1398"/>
      <c r="AF344" s="1398"/>
      <c r="AG344" s="1398"/>
      <c r="AH344" s="1398"/>
      <c r="AI344" s="1398"/>
      <c r="AJ344" s="1398"/>
      <c r="AK344" s="1398"/>
    </row>
    <row r="345" spans="1:37" s="1571" customFormat="1">
      <c r="A345" s="1575"/>
      <c r="B345" s="1575"/>
      <c r="C345" s="1575"/>
      <c r="K345" s="1574"/>
      <c r="L345" s="1398"/>
      <c r="M345" s="1398"/>
      <c r="N345" s="1398"/>
      <c r="O345" s="1398"/>
      <c r="P345" s="1398"/>
      <c r="Q345" s="1398"/>
      <c r="R345" s="1398"/>
      <c r="S345" s="1398"/>
      <c r="T345" s="1398"/>
      <c r="U345" s="1398"/>
      <c r="V345" s="1398"/>
      <c r="W345" s="1398"/>
      <c r="X345" s="1398"/>
      <c r="Y345" s="1398"/>
      <c r="Z345" s="1398"/>
      <c r="AA345" s="1398"/>
      <c r="AB345" s="1398"/>
      <c r="AC345" s="1398"/>
      <c r="AD345" s="1398"/>
      <c r="AE345" s="1398"/>
      <c r="AF345" s="1398"/>
      <c r="AG345" s="1398"/>
      <c r="AH345" s="1398"/>
      <c r="AI345" s="1398"/>
      <c r="AJ345" s="1398"/>
      <c r="AK345" s="1398"/>
    </row>
    <row r="346" spans="1:37" s="1571" customFormat="1">
      <c r="A346" s="1575"/>
      <c r="B346" s="1575"/>
      <c r="C346" s="1575"/>
      <c r="K346" s="1574"/>
      <c r="L346" s="1398"/>
      <c r="M346" s="1398"/>
      <c r="N346" s="1398"/>
      <c r="O346" s="1398"/>
      <c r="P346" s="1398"/>
      <c r="Q346" s="1398"/>
      <c r="R346" s="1398"/>
      <c r="S346" s="1398"/>
      <c r="T346" s="1398"/>
      <c r="U346" s="1398"/>
      <c r="V346" s="1398"/>
      <c r="W346" s="1398"/>
      <c r="X346" s="1398"/>
      <c r="Y346" s="1398"/>
      <c r="Z346" s="1398"/>
      <c r="AA346" s="1398"/>
      <c r="AB346" s="1398"/>
      <c r="AC346" s="1398"/>
      <c r="AD346" s="1398"/>
      <c r="AE346" s="1398"/>
      <c r="AF346" s="1398"/>
      <c r="AG346" s="1398"/>
      <c r="AH346" s="1398"/>
      <c r="AI346" s="1398"/>
      <c r="AJ346" s="1398"/>
      <c r="AK346" s="1398"/>
    </row>
    <row r="347" spans="1:37" s="1571" customFormat="1">
      <c r="A347" s="1575"/>
      <c r="B347" s="1575"/>
      <c r="C347" s="1575"/>
      <c r="K347" s="1574"/>
      <c r="L347" s="1398"/>
      <c r="M347" s="1398"/>
      <c r="N347" s="1398"/>
      <c r="O347" s="1398"/>
      <c r="P347" s="1398"/>
      <c r="Q347" s="1398"/>
      <c r="R347" s="1398"/>
      <c r="S347" s="1398"/>
      <c r="T347" s="1398"/>
      <c r="U347" s="1398"/>
      <c r="V347" s="1398"/>
      <c r="W347" s="1398"/>
      <c r="X347" s="1398"/>
      <c r="Y347" s="1398"/>
      <c r="Z347" s="1398"/>
      <c r="AA347" s="1398"/>
      <c r="AB347" s="1398"/>
      <c r="AC347" s="1398"/>
      <c r="AD347" s="1398"/>
      <c r="AE347" s="1398"/>
      <c r="AF347" s="1398"/>
      <c r="AG347" s="1398"/>
      <c r="AH347" s="1398"/>
      <c r="AI347" s="1398"/>
      <c r="AJ347" s="1398"/>
      <c r="AK347" s="1398"/>
    </row>
    <row r="348" spans="1:37" s="1571" customFormat="1">
      <c r="A348" s="1575"/>
      <c r="B348" s="1575"/>
      <c r="C348" s="1575"/>
      <c r="K348" s="1574"/>
      <c r="L348" s="1398"/>
      <c r="M348" s="1398"/>
      <c r="N348" s="1398"/>
      <c r="O348" s="1398"/>
      <c r="P348" s="1398"/>
      <c r="Q348" s="1398"/>
      <c r="R348" s="1398"/>
      <c r="S348" s="1398"/>
      <c r="T348" s="1398"/>
      <c r="U348" s="1398"/>
      <c r="V348" s="1398"/>
      <c r="W348" s="1398"/>
      <c r="X348" s="1398"/>
      <c r="Y348" s="1398"/>
      <c r="Z348" s="1398"/>
      <c r="AA348" s="1398"/>
      <c r="AB348" s="1398"/>
      <c r="AC348" s="1398"/>
      <c r="AD348" s="1398"/>
      <c r="AE348" s="1398"/>
      <c r="AF348" s="1398"/>
      <c r="AG348" s="1398"/>
      <c r="AH348" s="1398"/>
      <c r="AI348" s="1398"/>
      <c r="AJ348" s="1398"/>
      <c r="AK348" s="1398"/>
    </row>
    <row r="349" spans="1:37" s="1571" customFormat="1">
      <c r="A349" s="1575"/>
      <c r="B349" s="1575"/>
      <c r="C349" s="1575"/>
      <c r="K349" s="1574"/>
      <c r="L349" s="1398"/>
      <c r="M349" s="1398"/>
      <c r="N349" s="1398"/>
      <c r="O349" s="1398"/>
      <c r="P349" s="1398"/>
      <c r="Q349" s="1398"/>
      <c r="R349" s="1398"/>
      <c r="S349" s="1398"/>
      <c r="T349" s="1398"/>
      <c r="U349" s="1398"/>
      <c r="V349" s="1398"/>
      <c r="W349" s="1398"/>
      <c r="X349" s="1398"/>
      <c r="Y349" s="1398"/>
      <c r="Z349" s="1398"/>
      <c r="AA349" s="1398"/>
      <c r="AB349" s="1398"/>
      <c r="AC349" s="1398"/>
      <c r="AD349" s="1398"/>
      <c r="AE349" s="1398"/>
      <c r="AF349" s="1398"/>
      <c r="AG349" s="1398"/>
      <c r="AH349" s="1398"/>
      <c r="AI349" s="1398"/>
      <c r="AJ349" s="1398"/>
      <c r="AK349" s="1398"/>
    </row>
    <row r="350" spans="1:37" s="1571" customFormat="1">
      <c r="A350" s="1575"/>
      <c r="B350" s="1575"/>
      <c r="C350" s="1575"/>
      <c r="K350" s="1574"/>
      <c r="L350" s="1398"/>
      <c r="M350" s="1398"/>
      <c r="N350" s="1398"/>
      <c r="O350" s="1398"/>
      <c r="P350" s="1398"/>
      <c r="Q350" s="1398"/>
      <c r="R350" s="1398"/>
      <c r="S350" s="1398"/>
      <c r="T350" s="1398"/>
      <c r="U350" s="1398"/>
      <c r="V350" s="1398"/>
      <c r="W350" s="1398"/>
      <c r="X350" s="1398"/>
      <c r="Y350" s="1398"/>
      <c r="Z350" s="1398"/>
      <c r="AA350" s="1398"/>
      <c r="AB350" s="1398"/>
      <c r="AC350" s="1398"/>
      <c r="AD350" s="1398"/>
      <c r="AE350" s="1398"/>
      <c r="AF350" s="1398"/>
      <c r="AG350" s="1398"/>
      <c r="AH350" s="1398"/>
      <c r="AI350" s="1398"/>
      <c r="AJ350" s="1398"/>
      <c r="AK350" s="1398"/>
    </row>
    <row r="351" spans="1:37" s="1571" customFormat="1">
      <c r="A351" s="1575"/>
      <c r="B351" s="1575"/>
      <c r="C351" s="1575"/>
      <c r="K351" s="1574"/>
      <c r="L351" s="1398"/>
      <c r="M351" s="1398"/>
      <c r="N351" s="1398"/>
      <c r="O351" s="1398"/>
      <c r="P351" s="1398"/>
      <c r="Q351" s="1398"/>
      <c r="R351" s="1398"/>
      <c r="S351" s="1398"/>
      <c r="T351" s="1398"/>
      <c r="U351" s="1398"/>
      <c r="V351" s="1398"/>
      <c r="W351" s="1398"/>
      <c r="X351" s="1398"/>
      <c r="Y351" s="1398"/>
      <c r="Z351" s="1398"/>
      <c r="AA351" s="1398"/>
      <c r="AB351" s="1398"/>
      <c r="AC351" s="1398"/>
      <c r="AD351" s="1398"/>
      <c r="AE351" s="1398"/>
      <c r="AF351" s="1398"/>
      <c r="AG351" s="1398"/>
      <c r="AH351" s="1398"/>
      <c r="AI351" s="1398"/>
      <c r="AJ351" s="1398"/>
      <c r="AK351" s="1398"/>
    </row>
    <row r="352" spans="1:37" s="1571" customFormat="1">
      <c r="A352" s="1575"/>
      <c r="B352" s="1575"/>
      <c r="C352" s="1575"/>
      <c r="K352" s="1574"/>
      <c r="L352" s="1398"/>
      <c r="M352" s="1398"/>
      <c r="N352" s="1398"/>
      <c r="O352" s="1398"/>
      <c r="P352" s="1398"/>
      <c r="Q352" s="1398"/>
      <c r="R352" s="1398"/>
      <c r="S352" s="1398"/>
      <c r="T352" s="1398"/>
      <c r="U352" s="1398"/>
      <c r="V352" s="1398"/>
      <c r="W352" s="1398"/>
      <c r="X352" s="1398"/>
      <c r="Y352" s="1398"/>
      <c r="Z352" s="1398"/>
      <c r="AA352" s="1398"/>
      <c r="AB352" s="1398"/>
      <c r="AC352" s="1398"/>
      <c r="AD352" s="1398"/>
      <c r="AE352" s="1398"/>
      <c r="AF352" s="1398"/>
      <c r="AG352" s="1398"/>
      <c r="AH352" s="1398"/>
      <c r="AI352" s="1398"/>
      <c r="AJ352" s="1398"/>
      <c r="AK352" s="1398"/>
    </row>
    <row r="353" spans="1:37" s="1571" customFormat="1">
      <c r="A353" s="1575"/>
      <c r="B353" s="1575"/>
      <c r="C353" s="1575"/>
      <c r="K353" s="1574"/>
      <c r="L353" s="1398"/>
      <c r="M353" s="1398"/>
      <c r="N353" s="1398"/>
      <c r="O353" s="1398"/>
      <c r="P353" s="1398"/>
      <c r="Q353" s="1398"/>
      <c r="R353" s="1398"/>
      <c r="S353" s="1398"/>
      <c r="T353" s="1398"/>
      <c r="U353" s="1398"/>
      <c r="V353" s="1398"/>
      <c r="W353" s="1398"/>
      <c r="X353" s="1398"/>
      <c r="Y353" s="1398"/>
      <c r="Z353" s="1398"/>
      <c r="AA353" s="1398"/>
      <c r="AB353" s="1398"/>
      <c r="AC353" s="1398"/>
      <c r="AD353" s="1398"/>
      <c r="AE353" s="1398"/>
      <c r="AF353" s="1398"/>
      <c r="AG353" s="1398"/>
      <c r="AH353" s="1398"/>
      <c r="AI353" s="1398"/>
      <c r="AJ353" s="1398"/>
      <c r="AK353" s="1398"/>
    </row>
    <row r="354" spans="1:37" s="1571" customFormat="1">
      <c r="A354" s="1575"/>
      <c r="B354" s="1575"/>
      <c r="C354" s="1575"/>
      <c r="K354" s="1574"/>
      <c r="L354" s="1398"/>
      <c r="M354" s="1398"/>
      <c r="N354" s="1398"/>
      <c r="O354" s="1398"/>
      <c r="P354" s="1398"/>
      <c r="Q354" s="1398"/>
      <c r="R354" s="1398"/>
      <c r="S354" s="1398"/>
      <c r="T354" s="1398"/>
      <c r="U354" s="1398"/>
      <c r="V354" s="1398"/>
      <c r="W354" s="1398"/>
      <c r="X354" s="1398"/>
      <c r="Y354" s="1398"/>
      <c r="Z354" s="1398"/>
      <c r="AA354" s="1398"/>
      <c r="AB354" s="1398"/>
      <c r="AC354" s="1398"/>
      <c r="AD354" s="1398"/>
      <c r="AE354" s="1398"/>
      <c r="AF354" s="1398"/>
      <c r="AG354" s="1398"/>
      <c r="AH354" s="1398"/>
      <c r="AI354" s="1398"/>
      <c r="AJ354" s="1398"/>
      <c r="AK354" s="1398"/>
    </row>
  </sheetData>
  <printOptions horizontalCentered="1"/>
  <pageMargins left="0.19685039370078741" right="0.19685039370078741" top="0.59055118110236227" bottom="0.31496062992125984" header="0.39370078740157483" footer="0.19685039370078741"/>
  <pageSetup paperSize="9" scale="82" fitToHeight="4" orientation="landscape" r:id="rId1"/>
  <headerFooter alignWithMargins="0">
    <oddHeader xml:space="preserve">&amp;R&amp;"Arial,Standard"&amp;8
</oddHeader>
  </headerFooter>
  <rowBreaks count="5" manualBreakCount="5">
    <brk id="34" max="10" man="1"/>
    <brk id="70" max="10" man="1"/>
    <brk id="106" max="16383" man="1"/>
    <brk id="144" max="16383" man="1"/>
    <brk id="180" max="10" man="1"/>
  </rowBreaks>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sheetPr>
  <dimension ref="A2:BP389"/>
  <sheetViews>
    <sheetView topLeftCell="A163" zoomScaleNormal="100" zoomScaleSheetLayoutView="100" workbookViewId="0">
      <selection activeCell="F180" sqref="F180:F184"/>
    </sheetView>
  </sheetViews>
  <sheetFormatPr baseColWidth="10" defaultColWidth="11.42578125" defaultRowHeight="11.1" customHeight="1"/>
  <cols>
    <col min="1" max="1" width="5.5703125" style="366" customWidth="1"/>
    <col min="2" max="2" width="20.5703125" style="80" customWidth="1"/>
    <col min="3" max="8" width="7.5703125" style="80" customWidth="1"/>
    <col min="9" max="10" width="10.5703125" style="80" customWidth="1"/>
    <col min="11" max="14" width="7.5703125" style="80" customWidth="1"/>
    <col min="15" max="16" width="7.5703125" style="70" customWidth="1"/>
    <col min="17" max="16384" width="11.42578125" style="70"/>
  </cols>
  <sheetData>
    <row r="2" spans="1:26" s="90" customFormat="1" ht="12.75">
      <c r="A2" s="728" t="s">
        <v>215</v>
      </c>
      <c r="B2" s="87"/>
      <c r="C2" s="88"/>
      <c r="D2" s="88"/>
      <c r="E2" s="88"/>
      <c r="F2" s="88"/>
      <c r="G2" s="88"/>
      <c r="H2" s="88"/>
      <c r="I2" s="89" t="s">
        <v>117</v>
      </c>
      <c r="J2" s="89"/>
      <c r="K2" s="89"/>
      <c r="L2" s="89"/>
      <c r="M2" s="89"/>
      <c r="N2" s="534"/>
    </row>
    <row r="3" spans="1:26" ht="11.1" customHeight="1">
      <c r="A3" s="340"/>
      <c r="B3" s="91"/>
      <c r="C3" s="92"/>
      <c r="D3" s="92"/>
      <c r="E3" s="92"/>
      <c r="F3" s="92"/>
      <c r="G3" s="92"/>
      <c r="H3" s="92"/>
      <c r="I3" s="92"/>
      <c r="K3" s="93"/>
      <c r="L3" s="92"/>
      <c r="M3" s="92"/>
      <c r="N3" s="92"/>
    </row>
    <row r="4" spans="1:26" ht="18" customHeight="1">
      <c r="A4" s="94"/>
      <c r="B4" s="94"/>
      <c r="C4" s="94"/>
      <c r="D4" s="94"/>
      <c r="E4" s="94"/>
      <c r="F4" s="94"/>
      <c r="G4" s="94"/>
      <c r="H4" s="94"/>
      <c r="I4" s="94"/>
      <c r="J4" s="94"/>
      <c r="K4" s="94"/>
      <c r="L4" s="94"/>
      <c r="M4" s="94"/>
      <c r="N4" s="94"/>
    </row>
    <row r="5" spans="1:26" ht="18" customHeight="1">
      <c r="A5" s="1992" t="s">
        <v>155</v>
      </c>
      <c r="B5" s="1992"/>
      <c r="C5" s="1992"/>
      <c r="D5" s="1992"/>
      <c r="E5" s="1992"/>
      <c r="F5" s="1992"/>
      <c r="G5" s="1992"/>
      <c r="H5" s="1992"/>
      <c r="I5" s="1992"/>
      <c r="J5" s="1992"/>
      <c r="K5" s="1992"/>
      <c r="L5" s="1992"/>
      <c r="M5" s="1992"/>
      <c r="N5" s="1992"/>
      <c r="O5" s="1993"/>
      <c r="P5" s="1993"/>
    </row>
    <row r="6" spans="1:26" ht="11.1" customHeight="1" thickBot="1">
      <c r="A6" s="341" t="s">
        <v>40</v>
      </c>
      <c r="B6" s="2001"/>
      <c r="C6" s="2001"/>
      <c r="D6" s="2001"/>
      <c r="E6" s="2001"/>
      <c r="F6" s="2001"/>
      <c r="G6" s="2001"/>
      <c r="H6" s="92"/>
      <c r="I6" s="92"/>
      <c r="J6" s="92"/>
      <c r="K6" s="92"/>
      <c r="L6" s="92"/>
      <c r="M6" s="92"/>
      <c r="N6" s="92"/>
    </row>
    <row r="7" spans="1:26" ht="24.6" customHeight="1">
      <c r="A7" s="1994" t="s">
        <v>43</v>
      </c>
      <c r="B7" s="342"/>
      <c r="C7" s="196" t="s">
        <v>360</v>
      </c>
      <c r="D7" s="195"/>
      <c r="E7" s="195"/>
      <c r="F7" s="195"/>
      <c r="G7" s="195"/>
      <c r="H7" s="195"/>
      <c r="I7" s="343" t="s">
        <v>0</v>
      </c>
      <c r="J7" s="344" t="s">
        <v>1</v>
      </c>
      <c r="K7" s="2002" t="s">
        <v>217</v>
      </c>
      <c r="L7" s="1989"/>
      <c r="M7" s="1989"/>
      <c r="N7" s="1989"/>
      <c r="O7" s="1989"/>
      <c r="P7" s="1990"/>
    </row>
    <row r="8" spans="1:26" ht="12" customHeight="1">
      <c r="A8" s="1995"/>
      <c r="B8" s="95"/>
      <c r="C8" s="96"/>
      <c r="D8" s="97"/>
      <c r="E8" s="98"/>
      <c r="F8" s="21" t="s">
        <v>167</v>
      </c>
      <c r="G8" s="345"/>
      <c r="H8" s="346"/>
      <c r="I8" s="347" t="s">
        <v>3</v>
      </c>
      <c r="J8" s="97" t="s">
        <v>4</v>
      </c>
      <c r="K8" s="101"/>
      <c r="L8" s="99"/>
      <c r="N8" s="100"/>
      <c r="O8" s="549" t="s">
        <v>2</v>
      </c>
      <c r="P8" s="544"/>
      <c r="Q8" s="41"/>
      <c r="R8" s="41"/>
      <c r="S8" s="41"/>
      <c r="T8" s="41"/>
      <c r="U8" s="41"/>
      <c r="V8" s="41"/>
      <c r="W8" s="42"/>
      <c r="X8" s="41"/>
      <c r="Y8" s="41"/>
      <c r="Z8" s="64"/>
    </row>
    <row r="9" spans="1:26" ht="12" customHeight="1">
      <c r="A9" s="1995"/>
      <c r="B9" s="103" t="s">
        <v>8</v>
      </c>
      <c r="C9" s="104"/>
      <c r="D9" s="348"/>
      <c r="E9" s="105"/>
      <c r="F9" s="349" t="s">
        <v>302</v>
      </c>
      <c r="G9" s="350"/>
      <c r="H9" s="351"/>
      <c r="I9" s="347" t="s">
        <v>8</v>
      </c>
      <c r="J9" s="97" t="s">
        <v>8</v>
      </c>
      <c r="K9" s="105"/>
      <c r="L9" s="106"/>
      <c r="N9" s="717"/>
      <c r="O9" s="375" t="s">
        <v>196</v>
      </c>
      <c r="P9" s="548"/>
    </row>
    <row r="10" spans="1:26" ht="12" customHeight="1">
      <c r="A10" s="1995"/>
      <c r="B10" s="103" t="s">
        <v>61</v>
      </c>
      <c r="C10" s="96" t="s">
        <v>19</v>
      </c>
      <c r="D10" s="97" t="s">
        <v>17</v>
      </c>
      <c r="E10" s="103" t="s">
        <v>18</v>
      </c>
      <c r="F10" s="352"/>
      <c r="G10" s="352"/>
      <c r="H10" s="352"/>
      <c r="I10" s="347" t="s">
        <v>20</v>
      </c>
      <c r="J10" s="97" t="s">
        <v>20</v>
      </c>
      <c r="K10" s="96" t="s">
        <v>19</v>
      </c>
      <c r="L10" s="108" t="s">
        <v>17</v>
      </c>
      <c r="M10" s="102" t="s">
        <v>18</v>
      </c>
      <c r="N10" s="96" t="s">
        <v>19</v>
      </c>
      <c r="O10" s="108" t="s">
        <v>17</v>
      </c>
      <c r="P10" s="210" t="s">
        <v>18</v>
      </c>
    </row>
    <row r="11" spans="1:26" ht="12" customHeight="1">
      <c r="A11" s="1995"/>
      <c r="B11" s="103" t="s">
        <v>62</v>
      </c>
      <c r="C11" s="96" t="s">
        <v>29</v>
      </c>
      <c r="D11" s="97" t="s">
        <v>28</v>
      </c>
      <c r="E11" s="103" t="s">
        <v>28</v>
      </c>
      <c r="F11" s="108" t="s">
        <v>30</v>
      </c>
      <c r="G11" s="108" t="s">
        <v>31</v>
      </c>
      <c r="H11" s="108" t="s">
        <v>32</v>
      </c>
      <c r="I11" s="347" t="s">
        <v>33</v>
      </c>
      <c r="J11" s="97" t="s">
        <v>33</v>
      </c>
      <c r="K11" s="96" t="s">
        <v>29</v>
      </c>
      <c r="L11" s="108" t="s">
        <v>28</v>
      </c>
      <c r="M11" s="102" t="s">
        <v>34</v>
      </c>
      <c r="N11" s="96" t="s">
        <v>29</v>
      </c>
      <c r="O11" s="108" t="s">
        <v>28</v>
      </c>
      <c r="P11" s="210" t="s">
        <v>34</v>
      </c>
    </row>
    <row r="12" spans="1:26" s="82" customFormat="1" ht="12" customHeight="1">
      <c r="A12" s="1996"/>
      <c r="B12" s="353"/>
      <c r="C12" s="714"/>
      <c r="D12" s="715"/>
      <c r="E12" s="550"/>
      <c r="F12" s="716"/>
      <c r="G12" s="717"/>
      <c r="H12" s="716"/>
      <c r="I12" s="349" t="s">
        <v>39</v>
      </c>
      <c r="J12" s="510" t="s">
        <v>39</v>
      </c>
      <c r="K12" s="550"/>
      <c r="L12" s="547"/>
      <c r="M12" s="718"/>
      <c r="N12" s="550"/>
      <c r="O12" s="547"/>
      <c r="P12" s="548"/>
    </row>
    <row r="13" spans="1:26" s="82" customFormat="1" ht="3.6" customHeight="1">
      <c r="A13" s="1053"/>
      <c r="B13" s="374"/>
      <c r="C13" s="326"/>
      <c r="D13" s="91"/>
      <c r="E13" s="1092"/>
      <c r="F13" s="129"/>
      <c r="G13" s="129"/>
      <c r="H13" s="129"/>
      <c r="I13" s="347"/>
      <c r="J13" s="97"/>
      <c r="K13" s="134"/>
      <c r="L13" s="129"/>
      <c r="M13" s="129"/>
      <c r="N13" s="134"/>
      <c r="O13" s="129"/>
      <c r="P13" s="1093"/>
    </row>
    <row r="14" spans="1:26" s="54" customFormat="1" ht="10.5" customHeight="1">
      <c r="A14" s="2003" t="s">
        <v>169</v>
      </c>
      <c r="B14" s="359" t="s">
        <v>303</v>
      </c>
      <c r="C14" s="568">
        <f t="shared" ref="C14:P14" si="0">SUM(C16:C20)</f>
        <v>15</v>
      </c>
      <c r="D14" s="570">
        <f t="shared" si="0"/>
        <v>9</v>
      </c>
      <c r="E14" s="559">
        <f t="shared" si="0"/>
        <v>9</v>
      </c>
      <c r="F14" s="568">
        <f t="shared" si="0"/>
        <v>3</v>
      </c>
      <c r="G14" s="570">
        <f t="shared" si="0"/>
        <v>9</v>
      </c>
      <c r="H14" s="559">
        <f t="shared" si="0"/>
        <v>6</v>
      </c>
      <c r="I14" s="679">
        <f t="shared" si="0"/>
        <v>9</v>
      </c>
      <c r="J14" s="679">
        <f t="shared" si="0"/>
        <v>6</v>
      </c>
      <c r="K14" s="568">
        <f t="shared" si="0"/>
        <v>6</v>
      </c>
      <c r="L14" s="570">
        <f t="shared" si="0"/>
        <v>3</v>
      </c>
      <c r="M14" s="559">
        <f t="shared" si="0"/>
        <v>3</v>
      </c>
      <c r="N14" s="568">
        <f t="shared" si="0"/>
        <v>3</v>
      </c>
      <c r="O14" s="570">
        <f t="shared" si="0"/>
        <v>3</v>
      </c>
      <c r="P14" s="569">
        <f t="shared" si="0"/>
        <v>0</v>
      </c>
    </row>
    <row r="15" spans="1:26" ht="3.95" customHeight="1">
      <c r="A15" s="2003"/>
      <c r="B15" s="107"/>
      <c r="C15" s="1041"/>
      <c r="D15" s="680"/>
      <c r="E15" s="681"/>
      <c r="F15" s="680"/>
      <c r="G15" s="680"/>
      <c r="H15" s="681"/>
      <c r="I15" s="681"/>
      <c r="J15" s="687"/>
      <c r="K15" s="1041"/>
      <c r="L15" s="680"/>
      <c r="M15" s="680"/>
      <c r="N15" s="1102"/>
      <c r="O15" s="71"/>
      <c r="P15" s="682"/>
    </row>
    <row r="16" spans="1:26" ht="11.1" customHeight="1">
      <c r="A16" s="2003"/>
      <c r="B16" s="355" t="s">
        <v>98</v>
      </c>
      <c r="C16" s="684">
        <v>6</v>
      </c>
      <c r="D16" s="555">
        <v>6</v>
      </c>
      <c r="E16" s="556">
        <v>3</v>
      </c>
      <c r="F16" s="684">
        <v>3</v>
      </c>
      <c r="G16" s="555">
        <v>3</v>
      </c>
      <c r="H16" s="556">
        <v>3</v>
      </c>
      <c r="I16" s="556">
        <v>6</v>
      </c>
      <c r="J16" s="678">
        <v>0</v>
      </c>
      <c r="K16" s="1040">
        <v>3</v>
      </c>
      <c r="L16" s="555">
        <v>0</v>
      </c>
      <c r="M16" s="405">
        <v>3</v>
      </c>
      <c r="N16" s="1040">
        <v>0</v>
      </c>
      <c r="O16" s="555">
        <v>0</v>
      </c>
      <c r="P16" s="540">
        <v>0</v>
      </c>
    </row>
    <row r="17" spans="1:36" ht="10.5" customHeight="1">
      <c r="A17" s="2003"/>
      <c r="B17" s="356" t="s">
        <v>99</v>
      </c>
      <c r="C17" s="684">
        <v>0</v>
      </c>
      <c r="D17" s="555">
        <v>0</v>
      </c>
      <c r="E17" s="556">
        <v>0</v>
      </c>
      <c r="F17" s="555">
        <v>0</v>
      </c>
      <c r="G17" s="555">
        <v>0</v>
      </c>
      <c r="H17" s="556">
        <v>0</v>
      </c>
      <c r="I17" s="405">
        <v>0</v>
      </c>
      <c r="J17" s="678">
        <v>3</v>
      </c>
      <c r="K17" s="684">
        <v>0</v>
      </c>
      <c r="L17" s="555">
        <v>0</v>
      </c>
      <c r="M17" s="555">
        <v>0</v>
      </c>
      <c r="N17" s="1040">
        <v>0</v>
      </c>
      <c r="O17" s="555">
        <v>0</v>
      </c>
      <c r="P17" s="688">
        <v>0</v>
      </c>
    </row>
    <row r="18" spans="1:36" ht="11.1" customHeight="1">
      <c r="A18" s="2003"/>
      <c r="B18" s="355" t="s">
        <v>100</v>
      </c>
      <c r="C18" s="684">
        <v>9</v>
      </c>
      <c r="D18" s="555">
        <v>3</v>
      </c>
      <c r="E18" s="556">
        <v>6</v>
      </c>
      <c r="F18" s="555">
        <v>0</v>
      </c>
      <c r="G18" s="555">
        <v>6</v>
      </c>
      <c r="H18" s="556">
        <v>3</v>
      </c>
      <c r="I18" s="556">
        <v>3</v>
      </c>
      <c r="J18" s="678">
        <v>3</v>
      </c>
      <c r="K18" s="684">
        <v>3</v>
      </c>
      <c r="L18" s="555">
        <v>3</v>
      </c>
      <c r="M18" s="555">
        <v>0</v>
      </c>
      <c r="N18" s="1040">
        <v>3</v>
      </c>
      <c r="O18" s="555">
        <v>3</v>
      </c>
      <c r="P18" s="688">
        <v>0</v>
      </c>
    </row>
    <row r="19" spans="1:36" ht="11.1" customHeight="1">
      <c r="A19" s="2003"/>
      <c r="B19" s="355" t="s">
        <v>101</v>
      </c>
      <c r="C19" s="684">
        <v>0</v>
      </c>
      <c r="D19" s="555">
        <v>0</v>
      </c>
      <c r="E19" s="556">
        <v>0</v>
      </c>
      <c r="F19" s="555">
        <v>0</v>
      </c>
      <c r="G19" s="555">
        <v>0</v>
      </c>
      <c r="H19" s="556">
        <v>0</v>
      </c>
      <c r="I19" s="405">
        <v>0</v>
      </c>
      <c r="J19" s="678">
        <v>0</v>
      </c>
      <c r="K19" s="684">
        <v>0</v>
      </c>
      <c r="L19" s="555">
        <v>0</v>
      </c>
      <c r="M19" s="555">
        <v>0</v>
      </c>
      <c r="N19" s="1040">
        <v>0</v>
      </c>
      <c r="O19" s="555">
        <v>0</v>
      </c>
      <c r="P19" s="688">
        <v>0</v>
      </c>
      <c r="Q19" s="113"/>
      <c r="R19" s="71"/>
      <c r="S19" s="71"/>
      <c r="T19" s="71"/>
      <c r="U19" s="76"/>
      <c r="V19" s="76"/>
      <c r="W19" s="114"/>
      <c r="X19" s="29"/>
      <c r="Y19" s="115"/>
      <c r="Z19" s="29"/>
      <c r="AA19" s="29"/>
      <c r="AB19" s="115"/>
      <c r="AC19" s="114"/>
      <c r="AD19" s="115"/>
      <c r="AE19" s="115"/>
      <c r="AF19" s="115"/>
      <c r="AG19" s="115"/>
      <c r="AH19" s="115"/>
      <c r="AI19" s="115"/>
      <c r="AJ19" s="115"/>
    </row>
    <row r="20" spans="1:36" s="538" customFormat="1" ht="11.1" customHeight="1">
      <c r="A20" s="2004"/>
      <c r="B20" s="963" t="s">
        <v>102</v>
      </c>
      <c r="C20" s="1272">
        <v>0</v>
      </c>
      <c r="D20" s="1043">
        <v>0</v>
      </c>
      <c r="E20" s="1044">
        <v>0</v>
      </c>
      <c r="F20" s="1043">
        <v>0</v>
      </c>
      <c r="G20" s="1043">
        <v>0</v>
      </c>
      <c r="H20" s="1044">
        <v>0</v>
      </c>
      <c r="I20" s="1086">
        <v>0</v>
      </c>
      <c r="J20" s="1042">
        <v>0</v>
      </c>
      <c r="K20" s="1272">
        <v>0</v>
      </c>
      <c r="L20" s="1043">
        <v>0</v>
      </c>
      <c r="M20" s="1043">
        <v>0</v>
      </c>
      <c r="N20" s="1345">
        <v>0</v>
      </c>
      <c r="O20" s="1043">
        <v>0</v>
      </c>
      <c r="P20" s="1045">
        <v>0</v>
      </c>
      <c r="Q20" s="847"/>
      <c r="R20" s="517"/>
      <c r="S20" s="517"/>
      <c r="T20" s="517"/>
      <c r="U20" s="961"/>
      <c r="V20" s="961"/>
      <c r="W20" s="964"/>
      <c r="X20" s="964"/>
      <c r="Y20" s="965"/>
      <c r="Z20" s="517"/>
      <c r="AA20" s="517"/>
      <c r="AB20" s="966"/>
      <c r="AC20" s="964"/>
      <c r="AD20" s="964"/>
      <c r="AE20" s="965"/>
      <c r="AF20" s="967"/>
      <c r="AG20" s="517"/>
      <c r="AH20" s="27"/>
      <c r="AI20" s="968"/>
      <c r="AJ20" s="27"/>
    </row>
    <row r="21" spans="1:36" ht="3.95" customHeight="1">
      <c r="A21" s="354"/>
      <c r="B21" s="107"/>
      <c r="C21" s="1041"/>
      <c r="D21" s="680"/>
      <c r="E21" s="681"/>
      <c r="F21" s="680"/>
      <c r="G21" s="680"/>
      <c r="H21" s="681"/>
      <c r="I21" s="681"/>
      <c r="J21" s="687"/>
      <c r="K21" s="1041"/>
      <c r="L21" s="680"/>
      <c r="M21" s="680"/>
      <c r="N21" s="1102"/>
      <c r="O21" s="680"/>
      <c r="P21" s="1096"/>
      <c r="Q21" s="9"/>
      <c r="R21" s="21"/>
      <c r="S21" s="29"/>
      <c r="T21" s="29"/>
      <c r="U21" s="116"/>
      <c r="V21" s="116"/>
      <c r="W21" s="8"/>
      <c r="X21" s="8"/>
      <c r="Y21" s="9"/>
      <c r="Z21" s="8"/>
      <c r="AA21" s="8"/>
      <c r="AB21" s="9"/>
      <c r="AC21" s="8"/>
      <c r="AD21" s="8"/>
      <c r="AE21" s="9"/>
      <c r="AF21" s="76"/>
      <c r="AG21" s="118"/>
      <c r="AH21" s="118"/>
      <c r="AI21" s="119"/>
      <c r="AJ21" s="75"/>
    </row>
    <row r="22" spans="1:36" s="11" customFormat="1" ht="11.1" customHeight="1">
      <c r="A22" s="2003" t="s">
        <v>170</v>
      </c>
      <c r="B22" s="359" t="s">
        <v>303</v>
      </c>
      <c r="C22" s="568">
        <f>SUM(C24:C28)</f>
        <v>0</v>
      </c>
      <c r="D22" s="570">
        <f t="shared" ref="D22:N22" si="1">SUM(D24:D28)</f>
        <v>0</v>
      </c>
      <c r="E22" s="559">
        <f t="shared" si="1"/>
        <v>0</v>
      </c>
      <c r="F22" s="568">
        <f t="shared" si="1"/>
        <v>0</v>
      </c>
      <c r="G22" s="570">
        <f t="shared" si="1"/>
        <v>0</v>
      </c>
      <c r="H22" s="559">
        <f t="shared" si="1"/>
        <v>0</v>
      </c>
      <c r="I22" s="679">
        <f t="shared" si="1"/>
        <v>0</v>
      </c>
      <c r="J22" s="679">
        <f t="shared" si="1"/>
        <v>0</v>
      </c>
      <c r="K22" s="568">
        <f t="shared" si="1"/>
        <v>0</v>
      </c>
      <c r="L22" s="570">
        <f t="shared" si="1"/>
        <v>0</v>
      </c>
      <c r="M22" s="559">
        <f t="shared" si="1"/>
        <v>0</v>
      </c>
      <c r="N22" s="568">
        <f t="shared" si="1"/>
        <v>0</v>
      </c>
      <c r="O22" s="570">
        <f>SUM(O24:O28)</f>
        <v>0</v>
      </c>
      <c r="P22" s="569">
        <f>SUM(P24:P28)</f>
        <v>0</v>
      </c>
      <c r="Q22" s="121"/>
      <c r="R22" s="8"/>
      <c r="S22" s="75"/>
      <c r="T22" s="75"/>
      <c r="U22" s="116"/>
      <c r="V22" s="116"/>
      <c r="W22" s="76"/>
      <c r="X22" s="76"/>
      <c r="Y22" s="121"/>
      <c r="Z22" s="76"/>
      <c r="AA22" s="29"/>
      <c r="AB22" s="121"/>
      <c r="AC22" s="76"/>
      <c r="AD22" s="76"/>
      <c r="AE22" s="121"/>
      <c r="AF22" s="76"/>
      <c r="AG22" s="76"/>
      <c r="AH22" s="76"/>
      <c r="AI22" s="121"/>
      <c r="AJ22" s="75"/>
    </row>
    <row r="23" spans="1:36" ht="3.95" customHeight="1">
      <c r="A23" s="2003"/>
      <c r="B23" s="107"/>
      <c r="C23" s="1041"/>
      <c r="D23" s="680"/>
      <c r="E23" s="681"/>
      <c r="F23" s="680"/>
      <c r="G23" s="680"/>
      <c r="H23" s="681"/>
      <c r="I23" s="681"/>
      <c r="J23" s="687"/>
      <c r="K23" s="1041"/>
      <c r="L23" s="680"/>
      <c r="M23" s="680"/>
      <c r="N23" s="1102"/>
      <c r="O23" s="71"/>
      <c r="P23" s="682"/>
      <c r="Q23" s="121"/>
      <c r="R23" s="76"/>
      <c r="S23" s="76"/>
      <c r="T23" s="76"/>
      <c r="U23" s="116"/>
      <c r="V23" s="116"/>
      <c r="W23" s="76"/>
      <c r="X23" s="76"/>
      <c r="Y23" s="121"/>
      <c r="Z23" s="76"/>
      <c r="AA23" s="76"/>
      <c r="AB23" s="121"/>
      <c r="AC23" s="76"/>
      <c r="AD23" s="76"/>
      <c r="AE23" s="121"/>
      <c r="AF23" s="76"/>
      <c r="AG23" s="76"/>
      <c r="AH23" s="76"/>
      <c r="AI23" s="121"/>
      <c r="AJ23" s="75"/>
    </row>
    <row r="24" spans="1:36" ht="10.5" customHeight="1">
      <c r="A24" s="2003"/>
      <c r="B24" s="355" t="s">
        <v>98</v>
      </c>
      <c r="C24" s="702">
        <v>0</v>
      </c>
      <c r="D24" s="555">
        <v>0</v>
      </c>
      <c r="E24" s="556">
        <v>0</v>
      </c>
      <c r="F24" s="684">
        <v>0</v>
      </c>
      <c r="G24" s="555">
        <v>0</v>
      </c>
      <c r="H24" s="556">
        <v>0</v>
      </c>
      <c r="I24" s="556">
        <v>0</v>
      </c>
      <c r="J24" s="678">
        <v>0</v>
      </c>
      <c r="K24" s="1040">
        <v>0</v>
      </c>
      <c r="L24" s="555">
        <v>0</v>
      </c>
      <c r="M24" s="405">
        <v>0</v>
      </c>
      <c r="N24" s="568">
        <v>0</v>
      </c>
      <c r="O24" s="555">
        <v>0</v>
      </c>
      <c r="P24" s="540">
        <v>0</v>
      </c>
      <c r="Q24" s="9"/>
      <c r="R24" s="8"/>
      <c r="S24" s="8"/>
      <c r="T24" s="8"/>
      <c r="U24" s="122"/>
      <c r="V24" s="122"/>
      <c r="W24" s="8"/>
      <c r="X24" s="8"/>
      <c r="Y24" s="9"/>
      <c r="Z24" s="8"/>
      <c r="AA24" s="8"/>
      <c r="AB24" s="9"/>
      <c r="AC24" s="8"/>
      <c r="AD24" s="8"/>
      <c r="AE24" s="9"/>
      <c r="AF24" s="46"/>
      <c r="AG24" s="8"/>
      <c r="AH24" s="8"/>
      <c r="AI24" s="9"/>
      <c r="AJ24" s="75"/>
    </row>
    <row r="25" spans="1:36" ht="10.5" customHeight="1">
      <c r="A25" s="2003"/>
      <c r="B25" s="355" t="s">
        <v>99</v>
      </c>
      <c r="C25" s="702">
        <v>0</v>
      </c>
      <c r="D25" s="555">
        <v>0</v>
      </c>
      <c r="E25" s="556">
        <v>0</v>
      </c>
      <c r="F25" s="555">
        <v>0</v>
      </c>
      <c r="G25" s="555">
        <v>0</v>
      </c>
      <c r="H25" s="556">
        <v>0</v>
      </c>
      <c r="I25" s="405">
        <v>0</v>
      </c>
      <c r="J25" s="678">
        <v>0</v>
      </c>
      <c r="K25" s="684">
        <v>0</v>
      </c>
      <c r="L25" s="555">
        <v>0</v>
      </c>
      <c r="M25" s="555">
        <v>0</v>
      </c>
      <c r="N25" s="568">
        <v>0</v>
      </c>
      <c r="O25" s="555">
        <v>0</v>
      </c>
      <c r="P25" s="688">
        <v>0</v>
      </c>
    </row>
    <row r="26" spans="1:36" ht="10.5" customHeight="1">
      <c r="A26" s="2003"/>
      <c r="B26" s="355" t="s">
        <v>100</v>
      </c>
      <c r="C26" s="702">
        <v>0</v>
      </c>
      <c r="D26" s="555">
        <v>0</v>
      </c>
      <c r="E26" s="556">
        <v>0</v>
      </c>
      <c r="F26" s="555">
        <v>0</v>
      </c>
      <c r="G26" s="555">
        <v>0</v>
      </c>
      <c r="H26" s="556">
        <v>0</v>
      </c>
      <c r="I26" s="556">
        <v>0</v>
      </c>
      <c r="J26" s="678">
        <v>0</v>
      </c>
      <c r="K26" s="684">
        <v>0</v>
      </c>
      <c r="L26" s="555">
        <v>0</v>
      </c>
      <c r="M26" s="555">
        <v>0</v>
      </c>
      <c r="N26" s="568">
        <v>0</v>
      </c>
      <c r="O26" s="555">
        <v>0</v>
      </c>
      <c r="P26" s="688">
        <v>0</v>
      </c>
    </row>
    <row r="27" spans="1:36" ht="10.5" customHeight="1">
      <c r="A27" s="2003"/>
      <c r="B27" s="358" t="s">
        <v>101</v>
      </c>
      <c r="C27" s="702">
        <v>0</v>
      </c>
      <c r="D27" s="555">
        <v>0</v>
      </c>
      <c r="E27" s="556">
        <v>0</v>
      </c>
      <c r="F27" s="555">
        <v>0</v>
      </c>
      <c r="G27" s="555">
        <v>0</v>
      </c>
      <c r="H27" s="556">
        <v>0</v>
      </c>
      <c r="I27" s="405">
        <v>0</v>
      </c>
      <c r="J27" s="678">
        <v>0</v>
      </c>
      <c r="K27" s="684">
        <v>0</v>
      </c>
      <c r="L27" s="555">
        <v>0</v>
      </c>
      <c r="M27" s="555">
        <v>0</v>
      </c>
      <c r="N27" s="568">
        <v>0</v>
      </c>
      <c r="O27" s="555">
        <v>0</v>
      </c>
      <c r="P27" s="688">
        <v>0</v>
      </c>
    </row>
    <row r="28" spans="1:36" s="538" customFormat="1" ht="10.5" customHeight="1">
      <c r="A28" s="2004"/>
      <c r="B28" s="969" t="s">
        <v>102</v>
      </c>
      <c r="C28" s="1046">
        <v>0</v>
      </c>
      <c r="D28" s="1043">
        <v>0</v>
      </c>
      <c r="E28" s="1044">
        <v>0</v>
      </c>
      <c r="F28" s="1043">
        <v>0</v>
      </c>
      <c r="G28" s="1043">
        <v>0</v>
      </c>
      <c r="H28" s="1044">
        <v>0</v>
      </c>
      <c r="I28" s="1086">
        <v>0</v>
      </c>
      <c r="J28" s="1042">
        <v>0</v>
      </c>
      <c r="K28" s="1272">
        <v>0</v>
      </c>
      <c r="L28" s="1043">
        <v>0</v>
      </c>
      <c r="M28" s="1043">
        <v>0</v>
      </c>
      <c r="N28" s="1103">
        <v>0</v>
      </c>
      <c r="O28" s="1043">
        <v>0</v>
      </c>
      <c r="P28" s="1045">
        <v>0</v>
      </c>
    </row>
    <row r="29" spans="1:36" ht="3.95" customHeight="1">
      <c r="A29" s="354"/>
      <c r="B29" s="107"/>
      <c r="C29" s="1041"/>
      <c r="D29" s="680"/>
      <c r="E29" s="681"/>
      <c r="F29" s="686"/>
      <c r="G29" s="680"/>
      <c r="H29" s="681"/>
      <c r="I29" s="681"/>
      <c r="J29" s="687"/>
      <c r="K29" s="1041"/>
      <c r="L29" s="680"/>
      <c r="M29" s="680"/>
      <c r="N29" s="1102"/>
      <c r="O29" s="585"/>
      <c r="P29" s="682"/>
    </row>
    <row r="30" spans="1:36" s="11" customFormat="1" ht="11.1" customHeight="1">
      <c r="A30" s="2003" t="s">
        <v>171</v>
      </c>
      <c r="B30" s="359" t="s">
        <v>303</v>
      </c>
      <c r="C30" s="568">
        <f t="shared" ref="C30:P30" si="2">SUM(C32:C36)</f>
        <v>63</v>
      </c>
      <c r="D30" s="570">
        <f t="shared" si="2"/>
        <v>30</v>
      </c>
      <c r="E30" s="559">
        <f t="shared" si="2"/>
        <v>30</v>
      </c>
      <c r="F30" s="568">
        <f t="shared" si="2"/>
        <v>12</v>
      </c>
      <c r="G30" s="570">
        <f t="shared" si="2"/>
        <v>15</v>
      </c>
      <c r="H30" s="559">
        <f t="shared" si="2"/>
        <v>30</v>
      </c>
      <c r="I30" s="679">
        <f t="shared" si="2"/>
        <v>24</v>
      </c>
      <c r="J30" s="679">
        <f t="shared" si="2"/>
        <v>9</v>
      </c>
      <c r="K30" s="568">
        <f t="shared" si="2"/>
        <v>30</v>
      </c>
      <c r="L30" s="570">
        <f t="shared" si="2"/>
        <v>27</v>
      </c>
      <c r="M30" s="559">
        <f t="shared" si="2"/>
        <v>0</v>
      </c>
      <c r="N30" s="568">
        <f t="shared" si="2"/>
        <v>18</v>
      </c>
      <c r="O30" s="570">
        <f t="shared" si="2"/>
        <v>18</v>
      </c>
      <c r="P30" s="569">
        <f t="shared" si="2"/>
        <v>0</v>
      </c>
    </row>
    <row r="31" spans="1:36" ht="3.6" customHeight="1">
      <c r="A31" s="2003"/>
      <c r="B31" s="107"/>
      <c r="C31" s="1041"/>
      <c r="D31" s="680"/>
      <c r="E31" s="681"/>
      <c r="F31" s="680"/>
      <c r="G31" s="680"/>
      <c r="H31" s="681"/>
      <c r="I31" s="681"/>
      <c r="J31" s="687"/>
      <c r="K31" s="1041"/>
      <c r="L31" s="680"/>
      <c r="M31" s="680"/>
      <c r="N31" s="1102"/>
      <c r="O31" s="71"/>
      <c r="P31" s="682"/>
    </row>
    <row r="32" spans="1:36" ht="10.5" customHeight="1">
      <c r="A32" s="2003"/>
      <c r="B32" s="358" t="s">
        <v>98</v>
      </c>
      <c r="C32" s="684">
        <v>6</v>
      </c>
      <c r="D32" s="555">
        <v>0</v>
      </c>
      <c r="E32" s="556">
        <v>3</v>
      </c>
      <c r="F32" s="684">
        <v>0</v>
      </c>
      <c r="G32" s="555">
        <v>0</v>
      </c>
      <c r="H32" s="556">
        <v>3</v>
      </c>
      <c r="I32" s="556">
        <v>3</v>
      </c>
      <c r="J32" s="678">
        <v>0</v>
      </c>
      <c r="K32" s="1040">
        <v>3</v>
      </c>
      <c r="L32" s="555">
        <v>0</v>
      </c>
      <c r="M32" s="405">
        <v>0</v>
      </c>
      <c r="N32" s="1040">
        <v>0</v>
      </c>
      <c r="O32" s="555">
        <v>0</v>
      </c>
      <c r="P32" s="540">
        <v>0</v>
      </c>
    </row>
    <row r="33" spans="1:16" ht="10.5" customHeight="1">
      <c r="A33" s="2003"/>
      <c r="B33" s="355" t="s">
        <v>99</v>
      </c>
      <c r="C33" s="684">
        <v>12</v>
      </c>
      <c r="D33" s="555">
        <v>0</v>
      </c>
      <c r="E33" s="556">
        <v>12</v>
      </c>
      <c r="F33" s="555">
        <v>3</v>
      </c>
      <c r="G33" s="555">
        <v>0</v>
      </c>
      <c r="H33" s="556">
        <v>6</v>
      </c>
      <c r="I33" s="405">
        <v>3</v>
      </c>
      <c r="J33" s="678">
        <v>3</v>
      </c>
      <c r="K33" s="684">
        <v>3</v>
      </c>
      <c r="L33" s="555">
        <v>3</v>
      </c>
      <c r="M33" s="555">
        <v>0</v>
      </c>
      <c r="N33" s="1040">
        <v>3</v>
      </c>
      <c r="O33" s="555">
        <v>3</v>
      </c>
      <c r="P33" s="688">
        <v>0</v>
      </c>
    </row>
    <row r="34" spans="1:16" ht="10.5" customHeight="1">
      <c r="A34" s="2003"/>
      <c r="B34" s="358" t="s">
        <v>100</v>
      </c>
      <c r="C34" s="684">
        <v>9</v>
      </c>
      <c r="D34" s="555">
        <v>6</v>
      </c>
      <c r="E34" s="556">
        <v>3</v>
      </c>
      <c r="F34" s="555">
        <v>3</v>
      </c>
      <c r="G34" s="555">
        <v>3</v>
      </c>
      <c r="H34" s="556">
        <v>3</v>
      </c>
      <c r="I34" s="556">
        <v>6</v>
      </c>
      <c r="J34" s="678">
        <v>3</v>
      </c>
      <c r="K34" s="684">
        <v>3</v>
      </c>
      <c r="L34" s="555">
        <v>3</v>
      </c>
      <c r="M34" s="555">
        <v>0</v>
      </c>
      <c r="N34" s="1040">
        <v>3</v>
      </c>
      <c r="O34" s="555">
        <v>3</v>
      </c>
      <c r="P34" s="688">
        <v>0</v>
      </c>
    </row>
    <row r="35" spans="1:16" ht="10.5" customHeight="1">
      <c r="A35" s="2003"/>
      <c r="B35" s="355" t="s">
        <v>101</v>
      </c>
      <c r="C35" s="684">
        <v>24</v>
      </c>
      <c r="D35" s="555">
        <v>18</v>
      </c>
      <c r="E35" s="556">
        <v>6</v>
      </c>
      <c r="F35" s="555">
        <v>6</v>
      </c>
      <c r="G35" s="555">
        <v>6</v>
      </c>
      <c r="H35" s="556">
        <v>12</v>
      </c>
      <c r="I35" s="405">
        <v>6</v>
      </c>
      <c r="J35" s="678">
        <v>3</v>
      </c>
      <c r="K35" s="684">
        <v>15</v>
      </c>
      <c r="L35" s="555">
        <v>15</v>
      </c>
      <c r="M35" s="555">
        <v>0</v>
      </c>
      <c r="N35" s="1040">
        <v>9</v>
      </c>
      <c r="O35" s="555">
        <v>9</v>
      </c>
      <c r="P35" s="688">
        <v>0</v>
      </c>
    </row>
    <row r="36" spans="1:16" s="538" customFormat="1" ht="10.5" customHeight="1">
      <c r="A36" s="2004"/>
      <c r="B36" s="963" t="s">
        <v>102</v>
      </c>
      <c r="C36" s="1272">
        <v>12</v>
      </c>
      <c r="D36" s="1043">
        <v>6</v>
      </c>
      <c r="E36" s="1044">
        <v>6</v>
      </c>
      <c r="F36" s="1043">
        <v>0</v>
      </c>
      <c r="G36" s="1043">
        <v>6</v>
      </c>
      <c r="H36" s="1044">
        <v>6</v>
      </c>
      <c r="I36" s="1086">
        <v>6</v>
      </c>
      <c r="J36" s="1042">
        <v>0</v>
      </c>
      <c r="K36" s="1272">
        <v>6</v>
      </c>
      <c r="L36" s="1043">
        <v>6</v>
      </c>
      <c r="M36" s="1043">
        <v>0</v>
      </c>
      <c r="N36" s="1345">
        <v>3</v>
      </c>
      <c r="O36" s="1043">
        <v>3</v>
      </c>
      <c r="P36" s="1045">
        <v>0</v>
      </c>
    </row>
    <row r="37" spans="1:16" ht="3.95" customHeight="1">
      <c r="A37" s="354"/>
      <c r="B37" s="107"/>
      <c r="C37" s="1041"/>
      <c r="D37" s="680"/>
      <c r="E37" s="681"/>
      <c r="F37" s="680"/>
      <c r="G37" s="680"/>
      <c r="H37" s="681"/>
      <c r="I37" s="681"/>
      <c r="J37" s="678"/>
      <c r="K37" s="1041"/>
      <c r="L37" s="680"/>
      <c r="M37" s="680"/>
      <c r="N37" s="1102"/>
      <c r="O37" s="585"/>
      <c r="P37" s="682"/>
    </row>
    <row r="38" spans="1:16" s="11" customFormat="1" ht="11.1" customHeight="1">
      <c r="A38" s="2003" t="s">
        <v>172</v>
      </c>
      <c r="B38" s="359" t="s">
        <v>303</v>
      </c>
      <c r="C38" s="568">
        <f t="shared" ref="C38:P38" si="3">SUM(C40:C44)</f>
        <v>0</v>
      </c>
      <c r="D38" s="570">
        <f t="shared" si="3"/>
        <v>0</v>
      </c>
      <c r="E38" s="559">
        <f t="shared" si="3"/>
        <v>0</v>
      </c>
      <c r="F38" s="568">
        <f t="shared" si="3"/>
        <v>0</v>
      </c>
      <c r="G38" s="570">
        <f t="shared" si="3"/>
        <v>0</v>
      </c>
      <c r="H38" s="559">
        <f t="shared" si="3"/>
        <v>0</v>
      </c>
      <c r="I38" s="679">
        <f t="shared" si="3"/>
        <v>0</v>
      </c>
      <c r="J38" s="679">
        <f t="shared" si="3"/>
        <v>0</v>
      </c>
      <c r="K38" s="568">
        <f t="shared" si="3"/>
        <v>0</v>
      </c>
      <c r="L38" s="570">
        <f t="shared" si="3"/>
        <v>0</v>
      </c>
      <c r="M38" s="559">
        <f t="shared" si="3"/>
        <v>0</v>
      </c>
      <c r="N38" s="568">
        <f t="shared" si="3"/>
        <v>0</v>
      </c>
      <c r="O38" s="570">
        <f t="shared" si="3"/>
        <v>0</v>
      </c>
      <c r="P38" s="569">
        <f t="shared" si="3"/>
        <v>0</v>
      </c>
    </row>
    <row r="39" spans="1:16" ht="3.95" customHeight="1">
      <c r="A39" s="2003"/>
      <c r="B39" s="107"/>
      <c r="C39" s="1041"/>
      <c r="D39" s="680"/>
      <c r="E39" s="681"/>
      <c r="F39" s="680"/>
      <c r="G39" s="680"/>
      <c r="H39" s="681"/>
      <c r="I39" s="681"/>
      <c r="J39" s="687"/>
      <c r="K39" s="1041"/>
      <c r="L39" s="680"/>
      <c r="M39" s="680"/>
      <c r="N39" s="1102"/>
      <c r="O39" s="71"/>
      <c r="P39" s="682"/>
    </row>
    <row r="40" spans="1:16" ht="10.5" customHeight="1">
      <c r="A40" s="2003"/>
      <c r="B40" s="355" t="s">
        <v>98</v>
      </c>
      <c r="C40" s="684">
        <v>0</v>
      </c>
      <c r="D40" s="555">
        <v>0</v>
      </c>
      <c r="E40" s="556">
        <v>0</v>
      </c>
      <c r="F40" s="684">
        <v>0</v>
      </c>
      <c r="G40" s="555">
        <v>0</v>
      </c>
      <c r="H40" s="556">
        <v>0</v>
      </c>
      <c r="I40" s="556">
        <v>0</v>
      </c>
      <c r="J40" s="678">
        <v>0</v>
      </c>
      <c r="K40" s="1040">
        <v>0</v>
      </c>
      <c r="L40" s="555">
        <v>0</v>
      </c>
      <c r="M40" s="405">
        <v>0</v>
      </c>
      <c r="N40" s="568">
        <v>0</v>
      </c>
      <c r="O40" s="555">
        <v>0</v>
      </c>
      <c r="P40" s="540">
        <v>0</v>
      </c>
    </row>
    <row r="41" spans="1:16" ht="10.5" customHeight="1">
      <c r="A41" s="2003"/>
      <c r="B41" s="355" t="s">
        <v>99</v>
      </c>
      <c r="C41" s="684">
        <v>0</v>
      </c>
      <c r="D41" s="555">
        <v>0</v>
      </c>
      <c r="E41" s="556">
        <v>0</v>
      </c>
      <c r="F41" s="555">
        <v>0</v>
      </c>
      <c r="G41" s="555">
        <v>0</v>
      </c>
      <c r="H41" s="556">
        <v>0</v>
      </c>
      <c r="I41" s="405">
        <v>0</v>
      </c>
      <c r="J41" s="678">
        <v>0</v>
      </c>
      <c r="K41" s="684">
        <v>0</v>
      </c>
      <c r="L41" s="555">
        <v>0</v>
      </c>
      <c r="M41" s="555">
        <v>0</v>
      </c>
      <c r="N41" s="568">
        <v>0</v>
      </c>
      <c r="O41" s="555">
        <v>0</v>
      </c>
      <c r="P41" s="688">
        <v>0</v>
      </c>
    </row>
    <row r="42" spans="1:16" ht="10.5" customHeight="1">
      <c r="A42" s="2003"/>
      <c r="B42" s="355" t="s">
        <v>100</v>
      </c>
      <c r="C42" s="684">
        <v>0</v>
      </c>
      <c r="D42" s="555">
        <v>0</v>
      </c>
      <c r="E42" s="556">
        <v>0</v>
      </c>
      <c r="F42" s="555">
        <v>0</v>
      </c>
      <c r="G42" s="555">
        <v>0</v>
      </c>
      <c r="H42" s="556">
        <v>0</v>
      </c>
      <c r="I42" s="556">
        <v>0</v>
      </c>
      <c r="J42" s="678">
        <v>0</v>
      </c>
      <c r="K42" s="684">
        <v>0</v>
      </c>
      <c r="L42" s="555">
        <v>0</v>
      </c>
      <c r="M42" s="555">
        <v>0</v>
      </c>
      <c r="N42" s="568">
        <v>0</v>
      </c>
      <c r="O42" s="555">
        <v>0</v>
      </c>
      <c r="P42" s="688">
        <v>0</v>
      </c>
    </row>
    <row r="43" spans="1:16" ht="10.5" customHeight="1">
      <c r="A43" s="2003"/>
      <c r="B43" s="355" t="s">
        <v>101</v>
      </c>
      <c r="C43" s="684">
        <v>0</v>
      </c>
      <c r="D43" s="555">
        <v>0</v>
      </c>
      <c r="E43" s="556">
        <v>0</v>
      </c>
      <c r="F43" s="555">
        <v>0</v>
      </c>
      <c r="G43" s="555">
        <v>0</v>
      </c>
      <c r="H43" s="556">
        <v>0</v>
      </c>
      <c r="I43" s="405">
        <v>0</v>
      </c>
      <c r="J43" s="678">
        <v>0</v>
      </c>
      <c r="K43" s="684">
        <v>0</v>
      </c>
      <c r="L43" s="555">
        <v>0</v>
      </c>
      <c r="M43" s="555">
        <v>0</v>
      </c>
      <c r="N43" s="568">
        <v>0</v>
      </c>
      <c r="O43" s="555">
        <v>0</v>
      </c>
      <c r="P43" s="688">
        <v>0</v>
      </c>
    </row>
    <row r="44" spans="1:16" s="538" customFormat="1" ht="10.5" customHeight="1">
      <c r="A44" s="2004"/>
      <c r="B44" s="963" t="s">
        <v>102</v>
      </c>
      <c r="C44" s="1272">
        <v>0</v>
      </c>
      <c r="D44" s="1043">
        <v>0</v>
      </c>
      <c r="E44" s="1044">
        <v>0</v>
      </c>
      <c r="F44" s="1043">
        <v>0</v>
      </c>
      <c r="G44" s="1043">
        <v>0</v>
      </c>
      <c r="H44" s="1044">
        <v>0</v>
      </c>
      <c r="I44" s="1086">
        <v>0</v>
      </c>
      <c r="J44" s="1042">
        <v>0</v>
      </c>
      <c r="K44" s="1272">
        <v>0</v>
      </c>
      <c r="L44" s="1043">
        <v>0</v>
      </c>
      <c r="M44" s="1043">
        <v>0</v>
      </c>
      <c r="N44" s="1103">
        <v>0</v>
      </c>
      <c r="O44" s="1043">
        <v>0</v>
      </c>
      <c r="P44" s="1045">
        <v>0</v>
      </c>
    </row>
    <row r="45" spans="1:16" ht="3.95" customHeight="1">
      <c r="A45" s="354"/>
      <c r="B45" s="107"/>
      <c r="C45" s="1041"/>
      <c r="D45" s="680"/>
      <c r="E45" s="681"/>
      <c r="F45" s="680"/>
      <c r="G45" s="680"/>
      <c r="H45" s="681"/>
      <c r="I45" s="681"/>
      <c r="J45" s="687"/>
      <c r="K45" s="1041"/>
      <c r="L45" s="680"/>
      <c r="M45" s="680"/>
      <c r="N45" s="1102"/>
      <c r="O45" s="585"/>
      <c r="P45" s="682"/>
    </row>
    <row r="46" spans="1:16" s="11" customFormat="1" ht="11.1" customHeight="1">
      <c r="A46" s="2003" t="s">
        <v>53</v>
      </c>
      <c r="B46" s="359" t="s">
        <v>303</v>
      </c>
      <c r="C46" s="568">
        <f t="shared" ref="C46:P46" si="4">SUM(C48:C52)</f>
        <v>18</v>
      </c>
      <c r="D46" s="570">
        <f t="shared" si="4"/>
        <v>9</v>
      </c>
      <c r="E46" s="559">
        <f t="shared" si="4"/>
        <v>9</v>
      </c>
      <c r="F46" s="568">
        <f t="shared" si="4"/>
        <v>3</v>
      </c>
      <c r="G46" s="570">
        <f t="shared" si="4"/>
        <v>6</v>
      </c>
      <c r="H46" s="559">
        <f t="shared" si="4"/>
        <v>3</v>
      </c>
      <c r="I46" s="679">
        <f t="shared" si="4"/>
        <v>9</v>
      </c>
      <c r="J46" s="679">
        <f t="shared" si="4"/>
        <v>3</v>
      </c>
      <c r="K46" s="568">
        <f t="shared" si="4"/>
        <v>3</v>
      </c>
      <c r="L46" s="403">
        <f t="shared" si="4"/>
        <v>0</v>
      </c>
      <c r="M46" s="405">
        <f t="shared" si="4"/>
        <v>0</v>
      </c>
      <c r="N46" s="568">
        <f t="shared" si="4"/>
        <v>3</v>
      </c>
      <c r="O46" s="403">
        <f t="shared" si="4"/>
        <v>0</v>
      </c>
      <c r="P46" s="540">
        <f t="shared" si="4"/>
        <v>0</v>
      </c>
    </row>
    <row r="47" spans="1:16" ht="3.95" customHeight="1">
      <c r="A47" s="2003"/>
      <c r="B47" s="107"/>
      <c r="C47" s="1041"/>
      <c r="D47" s="680"/>
      <c r="E47" s="681"/>
      <c r="F47" s="680"/>
      <c r="G47" s="680"/>
      <c r="H47" s="681"/>
      <c r="I47" s="681"/>
      <c r="J47" s="687"/>
      <c r="K47" s="1041"/>
      <c r="L47" s="680"/>
      <c r="M47" s="680"/>
      <c r="N47" s="1102"/>
      <c r="O47" s="71"/>
      <c r="P47" s="682"/>
    </row>
    <row r="48" spans="1:16" ht="10.5" customHeight="1">
      <c r="A48" s="2003"/>
      <c r="B48" s="355" t="s">
        <v>98</v>
      </c>
      <c r="C48" s="684">
        <v>3</v>
      </c>
      <c r="D48" s="555">
        <v>0</v>
      </c>
      <c r="E48" s="556">
        <v>3</v>
      </c>
      <c r="F48" s="684">
        <v>0</v>
      </c>
      <c r="G48" s="555">
        <v>0</v>
      </c>
      <c r="H48" s="556">
        <v>0</v>
      </c>
      <c r="I48" s="556">
        <v>3</v>
      </c>
      <c r="J48" s="678">
        <v>0</v>
      </c>
      <c r="K48" s="1040">
        <v>0</v>
      </c>
      <c r="L48" s="555">
        <v>0</v>
      </c>
      <c r="M48" s="405">
        <v>0</v>
      </c>
      <c r="N48" s="1040">
        <v>0</v>
      </c>
      <c r="O48" s="555">
        <v>0</v>
      </c>
      <c r="P48" s="540">
        <v>0</v>
      </c>
    </row>
    <row r="49" spans="1:16" ht="10.5" customHeight="1">
      <c r="A49" s="2003"/>
      <c r="B49" s="355" t="s">
        <v>99</v>
      </c>
      <c r="C49" s="684">
        <v>3</v>
      </c>
      <c r="D49" s="555">
        <v>0</v>
      </c>
      <c r="E49" s="556">
        <v>0</v>
      </c>
      <c r="F49" s="555">
        <v>0</v>
      </c>
      <c r="G49" s="555">
        <v>0</v>
      </c>
      <c r="H49" s="556">
        <v>0</v>
      </c>
      <c r="I49" s="405">
        <v>0</v>
      </c>
      <c r="J49" s="678">
        <v>0</v>
      </c>
      <c r="K49" s="684">
        <v>0</v>
      </c>
      <c r="L49" s="555">
        <v>0</v>
      </c>
      <c r="M49" s="555">
        <v>0</v>
      </c>
      <c r="N49" s="1040">
        <v>0</v>
      </c>
      <c r="O49" s="555">
        <v>0</v>
      </c>
      <c r="P49" s="688">
        <v>0</v>
      </c>
    </row>
    <row r="50" spans="1:16" ht="10.5" customHeight="1">
      <c r="A50" s="2003"/>
      <c r="B50" s="355" t="s">
        <v>100</v>
      </c>
      <c r="C50" s="684">
        <v>3</v>
      </c>
      <c r="D50" s="555">
        <v>3</v>
      </c>
      <c r="E50" s="556">
        <v>3</v>
      </c>
      <c r="F50" s="555">
        <v>0</v>
      </c>
      <c r="G50" s="555">
        <v>3</v>
      </c>
      <c r="H50" s="556">
        <v>0</v>
      </c>
      <c r="I50" s="556">
        <v>0</v>
      </c>
      <c r="J50" s="678">
        <v>3</v>
      </c>
      <c r="K50" s="684">
        <v>0</v>
      </c>
      <c r="L50" s="555">
        <v>0</v>
      </c>
      <c r="M50" s="555">
        <v>0</v>
      </c>
      <c r="N50" s="1040">
        <v>0</v>
      </c>
      <c r="O50" s="555">
        <v>0</v>
      </c>
      <c r="P50" s="688">
        <v>0</v>
      </c>
    </row>
    <row r="51" spans="1:16" ht="10.5" customHeight="1">
      <c r="A51" s="2003"/>
      <c r="B51" s="355" t="s">
        <v>101</v>
      </c>
      <c r="C51" s="684">
        <v>3</v>
      </c>
      <c r="D51" s="555">
        <v>0</v>
      </c>
      <c r="E51" s="556">
        <v>0</v>
      </c>
      <c r="F51" s="555">
        <v>0</v>
      </c>
      <c r="G51" s="555">
        <v>0</v>
      </c>
      <c r="H51" s="556">
        <v>0</v>
      </c>
      <c r="I51" s="405">
        <v>0</v>
      </c>
      <c r="J51" s="678">
        <v>0</v>
      </c>
      <c r="K51" s="684">
        <v>0</v>
      </c>
      <c r="L51" s="555">
        <v>0</v>
      </c>
      <c r="M51" s="555">
        <v>0</v>
      </c>
      <c r="N51" s="1040">
        <v>0</v>
      </c>
      <c r="O51" s="555">
        <v>0</v>
      </c>
      <c r="P51" s="688">
        <v>0</v>
      </c>
    </row>
    <row r="52" spans="1:16" ht="10.5" customHeight="1">
      <c r="A52" s="2003"/>
      <c r="B52" s="355" t="s">
        <v>102</v>
      </c>
      <c r="C52" s="684">
        <v>6</v>
      </c>
      <c r="D52" s="555">
        <v>6</v>
      </c>
      <c r="E52" s="556">
        <v>3</v>
      </c>
      <c r="F52" s="555">
        <v>3</v>
      </c>
      <c r="G52" s="555">
        <v>3</v>
      </c>
      <c r="H52" s="556">
        <v>3</v>
      </c>
      <c r="I52" s="405">
        <v>6</v>
      </c>
      <c r="J52" s="678">
        <v>0</v>
      </c>
      <c r="K52" s="684">
        <v>3</v>
      </c>
      <c r="L52" s="555">
        <v>0</v>
      </c>
      <c r="M52" s="555">
        <v>0</v>
      </c>
      <c r="N52" s="1040">
        <v>3</v>
      </c>
      <c r="O52" s="555">
        <v>0</v>
      </c>
      <c r="P52" s="688">
        <v>0</v>
      </c>
    </row>
    <row r="53" spans="1:16" ht="3.95" customHeight="1" thickBot="1">
      <c r="A53" s="360"/>
      <c r="B53" s="666"/>
      <c r="C53" s="1094"/>
      <c r="D53" s="197"/>
      <c r="E53" s="362"/>
      <c r="F53" s="197"/>
      <c r="G53" s="197"/>
      <c r="H53" s="362"/>
      <c r="I53" s="362"/>
      <c r="J53" s="198"/>
      <c r="K53" s="1095"/>
      <c r="L53" s="197"/>
      <c r="M53" s="199"/>
      <c r="N53" s="1104"/>
      <c r="O53" s="305"/>
      <c r="P53" s="306"/>
    </row>
    <row r="54" spans="1:16" ht="11.1" customHeight="1">
      <c r="A54" s="109"/>
      <c r="B54" s="340"/>
      <c r="C54" s="110"/>
      <c r="D54" s="110"/>
      <c r="E54" s="77"/>
      <c r="F54" s="110"/>
      <c r="G54" s="110"/>
      <c r="H54" s="110"/>
      <c r="I54" s="110"/>
      <c r="J54" s="110"/>
      <c r="K54" s="110"/>
      <c r="L54" s="110"/>
      <c r="M54" s="77"/>
      <c r="N54" s="109"/>
    </row>
    <row r="55" spans="1:16" s="90" customFormat="1" ht="11.1" customHeight="1">
      <c r="A55" s="363"/>
      <c r="B55" s="364" t="s">
        <v>156</v>
      </c>
      <c r="C55" s="87"/>
      <c r="D55" s="87"/>
      <c r="E55" s="88"/>
      <c r="F55" s="87"/>
      <c r="G55" s="87"/>
      <c r="H55" s="87"/>
      <c r="I55" s="89" t="s">
        <v>152</v>
      </c>
      <c r="J55" s="365"/>
      <c r="L55" s="87"/>
      <c r="M55" s="88"/>
      <c r="N55" s="328"/>
    </row>
    <row r="56" spans="1:16" ht="11.1" customHeight="1">
      <c r="B56" s="357"/>
      <c r="C56" s="91"/>
      <c r="D56" s="91"/>
      <c r="E56" s="92"/>
      <c r="F56" s="91"/>
      <c r="G56" s="91"/>
      <c r="H56" s="91"/>
      <c r="I56" s="91"/>
      <c r="K56" s="89"/>
      <c r="L56" s="91"/>
      <c r="M56" s="92"/>
      <c r="N56" s="109"/>
    </row>
    <row r="57" spans="1:16" ht="11.1" customHeight="1" thickBot="1">
      <c r="A57" s="367"/>
      <c r="B57" s="92"/>
      <c r="C57" s="110"/>
      <c r="D57" s="110"/>
      <c r="E57" s="77"/>
      <c r="F57" s="110"/>
      <c r="G57" s="110"/>
      <c r="H57" s="110"/>
      <c r="I57" s="110"/>
      <c r="J57" s="110"/>
      <c r="K57" s="110"/>
      <c r="L57" s="110"/>
      <c r="M57" s="77"/>
      <c r="N57" s="110"/>
    </row>
    <row r="58" spans="1:16" s="125" customFormat="1" ht="13.35" customHeight="1">
      <c r="A58" s="1994" t="s">
        <v>43</v>
      </c>
      <c r="B58" s="2011"/>
      <c r="C58" s="2005" t="s">
        <v>360</v>
      </c>
      <c r="D58" s="2006"/>
      <c r="E58" s="2006"/>
      <c r="F58" s="2006"/>
      <c r="G58" s="2006"/>
      <c r="H58" s="2007"/>
      <c r="I58" s="2013" t="s">
        <v>0</v>
      </c>
      <c r="J58" s="2013" t="s">
        <v>1</v>
      </c>
      <c r="K58" s="2005" t="s">
        <v>217</v>
      </c>
      <c r="L58" s="2006"/>
      <c r="M58" s="2006"/>
      <c r="N58" s="2006"/>
      <c r="O58" s="2006"/>
      <c r="P58" s="2015"/>
    </row>
    <row r="59" spans="1:16" s="125" customFormat="1" ht="13.35" customHeight="1">
      <c r="A59" s="1997"/>
      <c r="B59" s="2012"/>
      <c r="C59" s="2008"/>
      <c r="D59" s="2009"/>
      <c r="E59" s="2009"/>
      <c r="F59" s="2009"/>
      <c r="G59" s="2009"/>
      <c r="H59" s="2010"/>
      <c r="I59" s="2014"/>
      <c r="J59" s="2014"/>
      <c r="K59" s="2016"/>
      <c r="L59" s="2001"/>
      <c r="M59" s="2001"/>
      <c r="N59" s="2001"/>
      <c r="O59" s="2001"/>
      <c r="P59" s="2017"/>
    </row>
    <row r="60" spans="1:16" s="125" customFormat="1" ht="12" customHeight="1">
      <c r="A60" s="1995"/>
      <c r="B60" s="95"/>
      <c r="C60" s="96"/>
      <c r="D60" s="97"/>
      <c r="E60" s="98"/>
      <c r="F60" s="21" t="s">
        <v>167</v>
      </c>
      <c r="G60" s="345"/>
      <c r="H60" s="346"/>
      <c r="I60" s="347" t="s">
        <v>3</v>
      </c>
      <c r="J60" s="97" t="s">
        <v>4</v>
      </c>
      <c r="K60" s="101"/>
      <c r="L60" s="99"/>
      <c r="M60" s="376"/>
      <c r="N60" s="100"/>
      <c r="O60" s="549" t="s">
        <v>2</v>
      </c>
      <c r="P60" s="544"/>
    </row>
    <row r="61" spans="1:16" s="125" customFormat="1" ht="12" customHeight="1">
      <c r="A61" s="1995"/>
      <c r="B61" s="103" t="s">
        <v>8</v>
      </c>
      <c r="C61" s="104"/>
      <c r="D61" s="348"/>
      <c r="E61" s="105"/>
      <c r="F61" s="349" t="s">
        <v>302</v>
      </c>
      <c r="G61" s="350"/>
      <c r="H61" s="351"/>
      <c r="I61" s="347" t="s">
        <v>8</v>
      </c>
      <c r="J61" s="97" t="s">
        <v>8</v>
      </c>
      <c r="K61" s="105"/>
      <c r="L61" s="106"/>
      <c r="M61" s="80"/>
      <c r="N61" s="717"/>
      <c r="O61" s="375" t="s">
        <v>196</v>
      </c>
      <c r="P61" s="548"/>
    </row>
    <row r="62" spans="1:16" s="125" customFormat="1" ht="12" customHeight="1">
      <c r="A62" s="1995"/>
      <c r="B62" s="103" t="s">
        <v>61</v>
      </c>
      <c r="C62" s="96" t="s">
        <v>19</v>
      </c>
      <c r="D62" s="97" t="s">
        <v>17</v>
      </c>
      <c r="E62" s="103" t="s">
        <v>18</v>
      </c>
      <c r="F62" s="352"/>
      <c r="G62" s="352"/>
      <c r="H62" s="352"/>
      <c r="I62" s="347" t="s">
        <v>20</v>
      </c>
      <c r="J62" s="97" t="s">
        <v>20</v>
      </c>
      <c r="K62" s="96" t="s">
        <v>19</v>
      </c>
      <c r="L62" s="108" t="s">
        <v>17</v>
      </c>
      <c r="M62" s="102" t="s">
        <v>18</v>
      </c>
      <c r="N62" s="1105" t="s">
        <v>19</v>
      </c>
      <c r="O62" s="549" t="s">
        <v>17</v>
      </c>
      <c r="P62" s="210" t="s">
        <v>18</v>
      </c>
    </row>
    <row r="63" spans="1:16" s="125" customFormat="1" ht="12" customHeight="1">
      <c r="A63" s="1995"/>
      <c r="B63" s="103" t="s">
        <v>62</v>
      </c>
      <c r="C63" s="96" t="s">
        <v>29</v>
      </c>
      <c r="D63" s="97" t="s">
        <v>28</v>
      </c>
      <c r="E63" s="103" t="s">
        <v>28</v>
      </c>
      <c r="F63" s="108" t="s">
        <v>30</v>
      </c>
      <c r="G63" s="108" t="s">
        <v>31</v>
      </c>
      <c r="H63" s="108" t="s">
        <v>32</v>
      </c>
      <c r="I63" s="347" t="s">
        <v>33</v>
      </c>
      <c r="J63" s="97" t="s">
        <v>33</v>
      </c>
      <c r="K63" s="96" t="s">
        <v>29</v>
      </c>
      <c r="L63" s="108" t="s">
        <v>28</v>
      </c>
      <c r="M63" s="102" t="s">
        <v>34</v>
      </c>
      <c r="N63" s="1215" t="s">
        <v>29</v>
      </c>
      <c r="O63" s="103" t="s">
        <v>28</v>
      </c>
      <c r="P63" s="210" t="s">
        <v>34</v>
      </c>
    </row>
    <row r="64" spans="1:16" s="125" customFormat="1" ht="12" customHeight="1">
      <c r="A64" s="1996"/>
      <c r="B64" s="353"/>
      <c r="C64" s="714"/>
      <c r="D64" s="715"/>
      <c r="E64" s="550"/>
      <c r="F64" s="716"/>
      <c r="G64" s="717"/>
      <c r="H64" s="716"/>
      <c r="I64" s="349" t="s">
        <v>39</v>
      </c>
      <c r="J64" s="510" t="s">
        <v>39</v>
      </c>
      <c r="K64" s="550"/>
      <c r="L64" s="547"/>
      <c r="M64" s="718"/>
      <c r="N64" s="1106"/>
      <c r="O64" s="717"/>
      <c r="P64" s="548"/>
    </row>
    <row r="65" spans="1:16" s="125" customFormat="1" ht="3.6" customHeight="1">
      <c r="A65" s="1053"/>
      <c r="B65" s="374"/>
      <c r="C65" s="326"/>
      <c r="D65" s="1098"/>
      <c r="E65" s="667"/>
      <c r="F65" s="133"/>
      <c r="G65" s="133"/>
      <c r="H65" s="382"/>
      <c r="I65" s="1101"/>
      <c r="J65" s="1101"/>
      <c r="K65" s="1099"/>
      <c r="L65" s="133"/>
      <c r="M65" s="382"/>
      <c r="N65" s="134"/>
      <c r="O65" s="133"/>
      <c r="P65" s="1100"/>
    </row>
    <row r="66" spans="1:16" ht="11.1" customHeight="1">
      <c r="A66" s="2003" t="s">
        <v>173</v>
      </c>
      <c r="B66" s="359" t="s">
        <v>303</v>
      </c>
      <c r="C66" s="568">
        <f t="shared" ref="C66:P66" si="5">SUM(C68:C72)</f>
        <v>18</v>
      </c>
      <c r="D66" s="570">
        <f t="shared" si="5"/>
        <v>9</v>
      </c>
      <c r="E66" s="559">
        <f t="shared" si="5"/>
        <v>9</v>
      </c>
      <c r="F66" s="568">
        <f t="shared" si="5"/>
        <v>0</v>
      </c>
      <c r="G66" s="570">
        <f t="shared" si="5"/>
        <v>9</v>
      </c>
      <c r="H66" s="559">
        <f t="shared" si="5"/>
        <v>9</v>
      </c>
      <c r="I66" s="679">
        <f t="shared" si="5"/>
        <v>6</v>
      </c>
      <c r="J66" s="679">
        <f t="shared" si="5"/>
        <v>3</v>
      </c>
      <c r="K66" s="568">
        <f t="shared" si="5"/>
        <v>9</v>
      </c>
      <c r="L66" s="570">
        <f t="shared" si="5"/>
        <v>3</v>
      </c>
      <c r="M66" s="559">
        <f t="shared" si="5"/>
        <v>3</v>
      </c>
      <c r="N66" s="568">
        <f t="shared" si="5"/>
        <v>6</v>
      </c>
      <c r="O66" s="570">
        <f t="shared" si="5"/>
        <v>3</v>
      </c>
      <c r="P66" s="569">
        <f t="shared" si="5"/>
        <v>3</v>
      </c>
    </row>
    <row r="67" spans="1:16" ht="5.0999999999999996" customHeight="1">
      <c r="A67" s="2003"/>
      <c r="B67" s="107"/>
      <c r="C67" s="1041"/>
      <c r="D67" s="680"/>
      <c r="E67" s="681"/>
      <c r="F67" s="680"/>
      <c r="G67" s="680"/>
      <c r="H67" s="681"/>
      <c r="I67" s="681"/>
      <c r="J67" s="687"/>
      <c r="K67" s="1041"/>
      <c r="L67" s="680"/>
      <c r="M67" s="680"/>
      <c r="N67" s="1102"/>
      <c r="O67" s="71"/>
      <c r="P67" s="682"/>
    </row>
    <row r="68" spans="1:16" ht="11.1" customHeight="1">
      <c r="A68" s="2003"/>
      <c r="B68" s="355" t="s">
        <v>98</v>
      </c>
      <c r="C68" s="684">
        <v>0</v>
      </c>
      <c r="D68" s="555">
        <v>0</v>
      </c>
      <c r="E68" s="556">
        <v>0</v>
      </c>
      <c r="F68" s="684">
        <v>0</v>
      </c>
      <c r="G68" s="555">
        <v>0</v>
      </c>
      <c r="H68" s="556">
        <v>0</v>
      </c>
      <c r="I68" s="556">
        <v>0</v>
      </c>
      <c r="J68" s="678">
        <v>0</v>
      </c>
      <c r="K68" s="1040">
        <v>0</v>
      </c>
      <c r="L68" s="555">
        <v>0</v>
      </c>
      <c r="M68" s="405">
        <v>0</v>
      </c>
      <c r="N68" s="1040">
        <v>0</v>
      </c>
      <c r="O68" s="555">
        <v>0</v>
      </c>
      <c r="P68" s="540">
        <v>0</v>
      </c>
    </row>
    <row r="69" spans="1:16" ht="11.1" customHeight="1">
      <c r="A69" s="2003"/>
      <c r="B69" s="355" t="s">
        <v>99</v>
      </c>
      <c r="C69" s="684">
        <v>0</v>
      </c>
      <c r="D69" s="555">
        <v>0</v>
      </c>
      <c r="E69" s="556">
        <v>0</v>
      </c>
      <c r="F69" s="555">
        <v>0</v>
      </c>
      <c r="G69" s="555">
        <v>0</v>
      </c>
      <c r="H69" s="556">
        <v>0</v>
      </c>
      <c r="I69" s="405">
        <v>0</v>
      </c>
      <c r="J69" s="678">
        <v>0</v>
      </c>
      <c r="K69" s="684">
        <v>0</v>
      </c>
      <c r="L69" s="555">
        <v>0</v>
      </c>
      <c r="M69" s="555">
        <v>0</v>
      </c>
      <c r="N69" s="1040">
        <v>0</v>
      </c>
      <c r="O69" s="555">
        <v>0</v>
      </c>
      <c r="P69" s="688">
        <v>0</v>
      </c>
    </row>
    <row r="70" spans="1:16" ht="11.1" customHeight="1">
      <c r="A70" s="2003"/>
      <c r="B70" s="355" t="s">
        <v>100</v>
      </c>
      <c r="C70" s="684">
        <v>6</v>
      </c>
      <c r="D70" s="555">
        <v>3</v>
      </c>
      <c r="E70" s="556">
        <v>3</v>
      </c>
      <c r="F70" s="555">
        <v>0</v>
      </c>
      <c r="G70" s="555">
        <v>3</v>
      </c>
      <c r="H70" s="556">
        <v>3</v>
      </c>
      <c r="I70" s="556">
        <v>3</v>
      </c>
      <c r="J70" s="678">
        <v>3</v>
      </c>
      <c r="K70" s="684">
        <v>3</v>
      </c>
      <c r="L70" s="555">
        <v>3</v>
      </c>
      <c r="M70" s="555">
        <v>0</v>
      </c>
      <c r="N70" s="1040">
        <v>3</v>
      </c>
      <c r="O70" s="555">
        <v>3</v>
      </c>
      <c r="P70" s="688">
        <v>0</v>
      </c>
    </row>
    <row r="71" spans="1:16" ht="11.1" customHeight="1">
      <c r="A71" s="2003"/>
      <c r="B71" s="355" t="s">
        <v>101</v>
      </c>
      <c r="C71" s="684">
        <v>0</v>
      </c>
      <c r="D71" s="555">
        <v>0</v>
      </c>
      <c r="E71" s="556">
        <v>0</v>
      </c>
      <c r="F71" s="555">
        <v>0</v>
      </c>
      <c r="G71" s="555">
        <v>0</v>
      </c>
      <c r="H71" s="556">
        <v>0</v>
      </c>
      <c r="I71" s="405">
        <v>0</v>
      </c>
      <c r="J71" s="678">
        <v>0</v>
      </c>
      <c r="K71" s="684">
        <v>3</v>
      </c>
      <c r="L71" s="555">
        <v>0</v>
      </c>
      <c r="M71" s="555">
        <v>0</v>
      </c>
      <c r="N71" s="1040">
        <v>0</v>
      </c>
      <c r="O71" s="555">
        <v>0</v>
      </c>
      <c r="P71" s="688">
        <v>0</v>
      </c>
    </row>
    <row r="72" spans="1:16" s="538" customFormat="1" ht="11.1" customHeight="1">
      <c r="A72" s="2004"/>
      <c r="B72" s="963" t="s">
        <v>102</v>
      </c>
      <c r="C72" s="1272">
        <v>12</v>
      </c>
      <c r="D72" s="1043">
        <v>6</v>
      </c>
      <c r="E72" s="1044">
        <v>6</v>
      </c>
      <c r="F72" s="1043">
        <v>0</v>
      </c>
      <c r="G72" s="1043">
        <v>6</v>
      </c>
      <c r="H72" s="1044">
        <v>6</v>
      </c>
      <c r="I72" s="1086">
        <v>3</v>
      </c>
      <c r="J72" s="1042">
        <v>0</v>
      </c>
      <c r="K72" s="1272">
        <v>3</v>
      </c>
      <c r="L72" s="1043">
        <v>0</v>
      </c>
      <c r="M72" s="1043">
        <v>3</v>
      </c>
      <c r="N72" s="1345">
        <v>3</v>
      </c>
      <c r="O72" s="1043">
        <v>0</v>
      </c>
      <c r="P72" s="1045">
        <v>3</v>
      </c>
    </row>
    <row r="73" spans="1:16" s="82" customFormat="1" ht="5.0999999999999996" customHeight="1">
      <c r="A73" s="354"/>
      <c r="B73" s="370"/>
      <c r="C73" s="1041"/>
      <c r="D73" s="680"/>
      <c r="E73" s="681"/>
      <c r="F73" s="680"/>
      <c r="G73" s="680"/>
      <c r="H73" s="681"/>
      <c r="I73" s="681"/>
      <c r="J73" s="687"/>
      <c r="K73" s="1041"/>
      <c r="L73" s="680"/>
      <c r="M73" s="680"/>
      <c r="N73" s="1102"/>
      <c r="O73" s="680"/>
      <c r="P73" s="1096"/>
    </row>
    <row r="74" spans="1:16" s="54" customFormat="1" ht="11.1" customHeight="1">
      <c r="A74" s="2003" t="s">
        <v>54</v>
      </c>
      <c r="B74" s="359" t="s">
        <v>303</v>
      </c>
      <c r="C74" s="568">
        <f t="shared" ref="C74:P74" si="6">SUM(C76:C80)</f>
        <v>12</v>
      </c>
      <c r="D74" s="570">
        <f>SUM(D76:D80)</f>
        <v>6</v>
      </c>
      <c r="E74" s="559">
        <f t="shared" si="6"/>
        <v>6</v>
      </c>
      <c r="F74" s="568">
        <f t="shared" si="6"/>
        <v>3</v>
      </c>
      <c r="G74" s="570">
        <f t="shared" si="6"/>
        <v>6</v>
      </c>
      <c r="H74" s="559">
        <f t="shared" si="6"/>
        <v>0</v>
      </c>
      <c r="I74" s="679">
        <f t="shared" si="6"/>
        <v>6</v>
      </c>
      <c r="J74" s="679">
        <f t="shared" si="6"/>
        <v>0</v>
      </c>
      <c r="K74" s="568">
        <f t="shared" si="6"/>
        <v>3</v>
      </c>
      <c r="L74" s="570">
        <f t="shared" si="6"/>
        <v>3</v>
      </c>
      <c r="M74" s="559">
        <f t="shared" si="6"/>
        <v>0</v>
      </c>
      <c r="N74" s="568">
        <f t="shared" si="6"/>
        <v>3</v>
      </c>
      <c r="O74" s="570">
        <f t="shared" si="6"/>
        <v>3</v>
      </c>
      <c r="P74" s="569">
        <f t="shared" si="6"/>
        <v>0</v>
      </c>
    </row>
    <row r="75" spans="1:16" ht="5.0999999999999996" customHeight="1">
      <c r="A75" s="2003"/>
      <c r="B75" s="107"/>
      <c r="C75" s="1041"/>
      <c r="D75" s="680"/>
      <c r="E75" s="681"/>
      <c r="F75" s="680"/>
      <c r="G75" s="680"/>
      <c r="H75" s="681"/>
      <c r="I75" s="681"/>
      <c r="J75" s="687"/>
      <c r="K75" s="1041"/>
      <c r="L75" s="680"/>
      <c r="M75" s="680"/>
      <c r="N75" s="1346"/>
      <c r="O75" s="71"/>
      <c r="P75" s="682"/>
    </row>
    <row r="76" spans="1:16" ht="11.1" customHeight="1">
      <c r="A76" s="2003"/>
      <c r="B76" s="355" t="s">
        <v>98</v>
      </c>
      <c r="C76" s="684">
        <v>0</v>
      </c>
      <c r="D76" s="555">
        <v>0</v>
      </c>
      <c r="E76" s="556">
        <v>0</v>
      </c>
      <c r="F76" s="684">
        <v>0</v>
      </c>
      <c r="G76" s="555">
        <v>0</v>
      </c>
      <c r="H76" s="556">
        <v>0</v>
      </c>
      <c r="I76" s="556">
        <v>0</v>
      </c>
      <c r="J76" s="678">
        <v>0</v>
      </c>
      <c r="K76" s="1040">
        <v>0</v>
      </c>
      <c r="L76" s="555">
        <v>0</v>
      </c>
      <c r="M76" s="405">
        <v>0</v>
      </c>
      <c r="N76" s="1040">
        <v>0</v>
      </c>
      <c r="O76" s="555">
        <v>0</v>
      </c>
      <c r="P76" s="540">
        <v>0</v>
      </c>
    </row>
    <row r="77" spans="1:16" ht="11.1" customHeight="1">
      <c r="A77" s="2003"/>
      <c r="B77" s="355" t="s">
        <v>99</v>
      </c>
      <c r="C77" s="684">
        <v>0</v>
      </c>
      <c r="D77" s="555">
        <v>0</v>
      </c>
      <c r="E77" s="556">
        <v>0</v>
      </c>
      <c r="F77" s="555">
        <v>0</v>
      </c>
      <c r="G77" s="555">
        <v>0</v>
      </c>
      <c r="H77" s="556">
        <v>0</v>
      </c>
      <c r="I77" s="405">
        <v>0</v>
      </c>
      <c r="J77" s="678">
        <v>0</v>
      </c>
      <c r="K77" s="684">
        <v>0</v>
      </c>
      <c r="L77" s="555">
        <v>0</v>
      </c>
      <c r="M77" s="555">
        <v>0</v>
      </c>
      <c r="N77" s="1040">
        <v>0</v>
      </c>
      <c r="O77" s="555">
        <v>0</v>
      </c>
      <c r="P77" s="688">
        <v>0</v>
      </c>
    </row>
    <row r="78" spans="1:16" ht="11.1" customHeight="1">
      <c r="A78" s="2003"/>
      <c r="B78" s="355" t="s">
        <v>100</v>
      </c>
      <c r="C78" s="684">
        <v>3</v>
      </c>
      <c r="D78" s="555">
        <v>3</v>
      </c>
      <c r="E78" s="556">
        <v>0</v>
      </c>
      <c r="F78" s="555">
        <v>0</v>
      </c>
      <c r="G78" s="555">
        <v>0</v>
      </c>
      <c r="H78" s="556">
        <v>0</v>
      </c>
      <c r="I78" s="556">
        <v>0</v>
      </c>
      <c r="J78" s="678">
        <v>0</v>
      </c>
      <c r="K78" s="684">
        <v>0</v>
      </c>
      <c r="L78" s="555">
        <v>0</v>
      </c>
      <c r="M78" s="555">
        <v>0</v>
      </c>
      <c r="N78" s="1040">
        <v>0</v>
      </c>
      <c r="O78" s="555">
        <v>0</v>
      </c>
      <c r="P78" s="688">
        <v>0</v>
      </c>
    </row>
    <row r="79" spans="1:16" ht="11.1" customHeight="1">
      <c r="A79" s="2003"/>
      <c r="B79" s="355" t="s">
        <v>101</v>
      </c>
      <c r="C79" s="684">
        <v>0</v>
      </c>
      <c r="D79" s="555">
        <v>0</v>
      </c>
      <c r="E79" s="556">
        <v>0</v>
      </c>
      <c r="F79" s="555">
        <v>0</v>
      </c>
      <c r="G79" s="555">
        <v>0</v>
      </c>
      <c r="H79" s="556">
        <v>0</v>
      </c>
      <c r="I79" s="405">
        <v>0</v>
      </c>
      <c r="J79" s="678">
        <v>0</v>
      </c>
      <c r="K79" s="684">
        <v>0</v>
      </c>
      <c r="L79" s="555">
        <v>0</v>
      </c>
      <c r="M79" s="555">
        <v>0</v>
      </c>
      <c r="N79" s="1040">
        <v>0</v>
      </c>
      <c r="O79" s="555">
        <v>0</v>
      </c>
      <c r="P79" s="688">
        <v>0</v>
      </c>
    </row>
    <row r="80" spans="1:16" s="538" customFormat="1" ht="11.1" customHeight="1">
      <c r="A80" s="2004"/>
      <c r="B80" s="963" t="s">
        <v>102</v>
      </c>
      <c r="C80" s="1272">
        <v>9</v>
      </c>
      <c r="D80" s="1043">
        <v>3</v>
      </c>
      <c r="E80" s="1044">
        <v>6</v>
      </c>
      <c r="F80" s="1043">
        <v>3</v>
      </c>
      <c r="G80" s="1043">
        <v>6</v>
      </c>
      <c r="H80" s="1044">
        <v>0</v>
      </c>
      <c r="I80" s="1086">
        <v>6</v>
      </c>
      <c r="J80" s="1042">
        <v>0</v>
      </c>
      <c r="K80" s="1272">
        <v>3</v>
      </c>
      <c r="L80" s="1043">
        <v>3</v>
      </c>
      <c r="M80" s="1043">
        <v>0</v>
      </c>
      <c r="N80" s="1345">
        <v>3</v>
      </c>
      <c r="O80" s="1043">
        <v>3</v>
      </c>
      <c r="P80" s="1045">
        <v>0</v>
      </c>
    </row>
    <row r="81" spans="1:16" ht="5.0999999999999996" customHeight="1">
      <c r="A81" s="354"/>
      <c r="B81" s="107"/>
      <c r="C81" s="1041"/>
      <c r="D81" s="680"/>
      <c r="E81" s="681"/>
      <c r="F81" s="686"/>
      <c r="G81" s="680"/>
      <c r="H81" s="681"/>
      <c r="I81" s="681"/>
      <c r="J81" s="687"/>
      <c r="K81" s="1041"/>
      <c r="L81" s="680"/>
      <c r="M81" s="680"/>
      <c r="N81" s="1102"/>
      <c r="O81" s="585"/>
      <c r="P81" s="682"/>
    </row>
    <row r="82" spans="1:16" s="11" customFormat="1" ht="11.1" customHeight="1">
      <c r="A82" s="2003" t="s">
        <v>174</v>
      </c>
      <c r="B82" s="359" t="s">
        <v>303</v>
      </c>
      <c r="C82" s="568">
        <f t="shared" ref="C82:P82" si="7">SUM(C84:C88)</f>
        <v>12</v>
      </c>
      <c r="D82" s="570">
        <f t="shared" si="7"/>
        <v>6</v>
      </c>
      <c r="E82" s="559">
        <f t="shared" si="7"/>
        <v>6</v>
      </c>
      <c r="F82" s="568">
        <f t="shared" si="7"/>
        <v>0</v>
      </c>
      <c r="G82" s="570">
        <f t="shared" si="7"/>
        <v>6</v>
      </c>
      <c r="H82" s="559">
        <f t="shared" si="7"/>
        <v>6</v>
      </c>
      <c r="I82" s="679">
        <f t="shared" si="7"/>
        <v>6</v>
      </c>
      <c r="J82" s="679">
        <f t="shared" si="7"/>
        <v>0</v>
      </c>
      <c r="K82" s="568">
        <f t="shared" si="7"/>
        <v>9</v>
      </c>
      <c r="L82" s="570">
        <f t="shared" si="7"/>
        <v>6</v>
      </c>
      <c r="M82" s="559">
        <f t="shared" si="7"/>
        <v>3</v>
      </c>
      <c r="N82" s="568">
        <f t="shared" si="7"/>
        <v>3</v>
      </c>
      <c r="O82" s="570">
        <f t="shared" si="7"/>
        <v>3</v>
      </c>
      <c r="P82" s="569">
        <f t="shared" si="7"/>
        <v>0</v>
      </c>
    </row>
    <row r="83" spans="1:16" ht="5.0999999999999996" customHeight="1">
      <c r="A83" s="2003"/>
      <c r="B83" s="107"/>
      <c r="C83" s="1041"/>
      <c r="D83" s="680"/>
      <c r="E83" s="681"/>
      <c r="F83" s="680"/>
      <c r="G83" s="680"/>
      <c r="H83" s="681"/>
      <c r="I83" s="681"/>
      <c r="J83" s="687"/>
      <c r="K83" s="1041"/>
      <c r="L83" s="680"/>
      <c r="M83" s="680"/>
      <c r="N83" s="1102"/>
      <c r="O83" s="71"/>
      <c r="P83" s="682"/>
    </row>
    <row r="84" spans="1:16" ht="11.1" customHeight="1">
      <c r="A84" s="2003"/>
      <c r="B84" s="355" t="s">
        <v>98</v>
      </c>
      <c r="C84" s="684">
        <v>0</v>
      </c>
      <c r="D84" s="555">
        <v>0</v>
      </c>
      <c r="E84" s="556">
        <v>0</v>
      </c>
      <c r="F84" s="684">
        <v>0</v>
      </c>
      <c r="G84" s="555">
        <v>0</v>
      </c>
      <c r="H84" s="556">
        <v>0</v>
      </c>
      <c r="I84" s="556">
        <v>0</v>
      </c>
      <c r="J84" s="678">
        <v>0</v>
      </c>
      <c r="K84" s="1040">
        <v>0</v>
      </c>
      <c r="L84" s="555">
        <v>0</v>
      </c>
      <c r="M84" s="405">
        <v>0</v>
      </c>
      <c r="N84" s="1040">
        <v>0</v>
      </c>
      <c r="O84" s="555">
        <v>0</v>
      </c>
      <c r="P84" s="540">
        <v>0</v>
      </c>
    </row>
    <row r="85" spans="1:16" ht="11.1" customHeight="1">
      <c r="A85" s="2003"/>
      <c r="B85" s="355" t="s">
        <v>99</v>
      </c>
      <c r="C85" s="684">
        <v>0</v>
      </c>
      <c r="D85" s="555">
        <v>0</v>
      </c>
      <c r="E85" s="556">
        <v>0</v>
      </c>
      <c r="F85" s="555">
        <v>0</v>
      </c>
      <c r="G85" s="555">
        <v>0</v>
      </c>
      <c r="H85" s="556">
        <v>0</v>
      </c>
      <c r="I85" s="405">
        <v>0</v>
      </c>
      <c r="J85" s="678">
        <v>0</v>
      </c>
      <c r="K85" s="684">
        <v>0</v>
      </c>
      <c r="L85" s="555">
        <v>0</v>
      </c>
      <c r="M85" s="555">
        <v>0</v>
      </c>
      <c r="N85" s="1040">
        <v>0</v>
      </c>
      <c r="O85" s="555">
        <v>0</v>
      </c>
      <c r="P85" s="688">
        <v>0</v>
      </c>
    </row>
    <row r="86" spans="1:16" ht="11.1" customHeight="1">
      <c r="A86" s="2003"/>
      <c r="B86" s="355" t="s">
        <v>100</v>
      </c>
      <c r="C86" s="684">
        <v>9</v>
      </c>
      <c r="D86" s="555">
        <v>3</v>
      </c>
      <c r="E86" s="556">
        <v>6</v>
      </c>
      <c r="F86" s="555">
        <v>0</v>
      </c>
      <c r="G86" s="555">
        <v>3</v>
      </c>
      <c r="H86" s="556">
        <v>6</v>
      </c>
      <c r="I86" s="556">
        <v>3</v>
      </c>
      <c r="J86" s="678">
        <v>0</v>
      </c>
      <c r="K86" s="684">
        <v>6</v>
      </c>
      <c r="L86" s="555">
        <v>3</v>
      </c>
      <c r="M86" s="555">
        <v>3</v>
      </c>
      <c r="N86" s="1040">
        <v>0</v>
      </c>
      <c r="O86" s="555">
        <v>0</v>
      </c>
      <c r="P86" s="688">
        <v>0</v>
      </c>
    </row>
    <row r="87" spans="1:16" ht="11.1" customHeight="1">
      <c r="A87" s="2003"/>
      <c r="B87" s="355" t="s">
        <v>101</v>
      </c>
      <c r="C87" s="684">
        <v>0</v>
      </c>
      <c r="D87" s="555">
        <v>0</v>
      </c>
      <c r="E87" s="556">
        <v>0</v>
      </c>
      <c r="F87" s="555">
        <v>0</v>
      </c>
      <c r="G87" s="555">
        <v>0</v>
      </c>
      <c r="H87" s="556">
        <v>0</v>
      </c>
      <c r="I87" s="405">
        <v>0</v>
      </c>
      <c r="J87" s="678">
        <v>0</v>
      </c>
      <c r="K87" s="684">
        <v>0</v>
      </c>
      <c r="L87" s="555">
        <v>0</v>
      </c>
      <c r="M87" s="555">
        <v>0</v>
      </c>
      <c r="N87" s="1040">
        <v>0</v>
      </c>
      <c r="O87" s="555">
        <v>0</v>
      </c>
      <c r="P87" s="688">
        <v>0</v>
      </c>
    </row>
    <row r="88" spans="1:16" s="538" customFormat="1" ht="11.1" customHeight="1">
      <c r="A88" s="2004"/>
      <c r="B88" s="963" t="s">
        <v>102</v>
      </c>
      <c r="C88" s="1272">
        <v>3</v>
      </c>
      <c r="D88" s="1043">
        <v>3</v>
      </c>
      <c r="E88" s="1044">
        <v>0</v>
      </c>
      <c r="F88" s="1043">
        <v>0</v>
      </c>
      <c r="G88" s="1043">
        <v>3</v>
      </c>
      <c r="H88" s="1044">
        <v>0</v>
      </c>
      <c r="I88" s="1086">
        <v>3</v>
      </c>
      <c r="J88" s="1042">
        <v>0</v>
      </c>
      <c r="K88" s="1272">
        <v>3</v>
      </c>
      <c r="L88" s="1043">
        <v>3</v>
      </c>
      <c r="M88" s="1043">
        <v>0</v>
      </c>
      <c r="N88" s="1345">
        <v>3</v>
      </c>
      <c r="O88" s="1043">
        <v>3</v>
      </c>
      <c r="P88" s="1045">
        <v>0</v>
      </c>
    </row>
    <row r="89" spans="1:16" ht="5.0999999999999996" customHeight="1">
      <c r="A89" s="354"/>
      <c r="B89" s="107"/>
      <c r="C89" s="1041"/>
      <c r="D89" s="680"/>
      <c r="E89" s="681"/>
      <c r="F89" s="680"/>
      <c r="G89" s="680"/>
      <c r="H89" s="681"/>
      <c r="I89" s="681"/>
      <c r="J89" s="678"/>
      <c r="K89" s="1041"/>
      <c r="L89" s="680"/>
      <c r="M89" s="680"/>
      <c r="N89" s="1102"/>
      <c r="O89" s="585"/>
      <c r="P89" s="682"/>
    </row>
    <row r="90" spans="1:16" s="11" customFormat="1" ht="11.1" customHeight="1">
      <c r="A90" s="2003" t="s">
        <v>175</v>
      </c>
      <c r="B90" s="359" t="s">
        <v>303</v>
      </c>
      <c r="C90" s="568">
        <f t="shared" ref="C90:P90" si="8">SUM(C92:C96)</f>
        <v>27</v>
      </c>
      <c r="D90" s="570">
        <f t="shared" si="8"/>
        <v>18</v>
      </c>
      <c r="E90" s="559">
        <f t="shared" si="8"/>
        <v>6</v>
      </c>
      <c r="F90" s="568">
        <f t="shared" si="8"/>
        <v>0</v>
      </c>
      <c r="G90" s="570">
        <f t="shared" si="8"/>
        <v>15</v>
      </c>
      <c r="H90" s="559">
        <f t="shared" si="8"/>
        <v>12</v>
      </c>
      <c r="I90" s="679">
        <f t="shared" si="8"/>
        <v>15</v>
      </c>
      <c r="J90" s="679">
        <f t="shared" si="8"/>
        <v>0</v>
      </c>
      <c r="K90" s="568">
        <f t="shared" si="8"/>
        <v>12</v>
      </c>
      <c r="L90" s="570">
        <f t="shared" si="8"/>
        <v>9</v>
      </c>
      <c r="M90" s="559">
        <f t="shared" si="8"/>
        <v>3</v>
      </c>
      <c r="N90" s="568">
        <f t="shared" si="8"/>
        <v>9</v>
      </c>
      <c r="O90" s="570">
        <f t="shared" si="8"/>
        <v>9</v>
      </c>
      <c r="P90" s="569">
        <f t="shared" si="8"/>
        <v>0</v>
      </c>
    </row>
    <row r="91" spans="1:16" ht="5.0999999999999996" customHeight="1">
      <c r="A91" s="2003"/>
      <c r="B91" s="107"/>
      <c r="C91" s="1041"/>
      <c r="D91" s="680"/>
      <c r="E91" s="681"/>
      <c r="F91" s="680"/>
      <c r="G91" s="680"/>
      <c r="H91" s="681"/>
      <c r="I91" s="681"/>
      <c r="J91" s="687"/>
      <c r="K91" s="1041"/>
      <c r="L91" s="680"/>
      <c r="M91" s="680"/>
      <c r="N91" s="1102"/>
      <c r="O91" s="71"/>
      <c r="P91" s="682"/>
    </row>
    <row r="92" spans="1:16" ht="11.1" customHeight="1">
      <c r="A92" s="2003"/>
      <c r="B92" s="355" t="s">
        <v>98</v>
      </c>
      <c r="C92" s="684">
        <v>0</v>
      </c>
      <c r="D92" s="555">
        <v>0</v>
      </c>
      <c r="E92" s="556">
        <v>0</v>
      </c>
      <c r="F92" s="684">
        <v>0</v>
      </c>
      <c r="G92" s="555">
        <v>0</v>
      </c>
      <c r="H92" s="556">
        <v>0</v>
      </c>
      <c r="I92" s="556">
        <v>0</v>
      </c>
      <c r="J92" s="678">
        <v>0</v>
      </c>
      <c r="K92" s="1040">
        <v>0</v>
      </c>
      <c r="L92" s="555">
        <v>0</v>
      </c>
      <c r="M92" s="405">
        <v>0</v>
      </c>
      <c r="N92" s="1040">
        <v>0</v>
      </c>
      <c r="O92" s="555">
        <v>0</v>
      </c>
      <c r="P92" s="540">
        <v>0</v>
      </c>
    </row>
    <row r="93" spans="1:16" ht="11.1" customHeight="1">
      <c r="A93" s="2003"/>
      <c r="B93" s="355" t="s">
        <v>99</v>
      </c>
      <c r="C93" s="684">
        <v>0</v>
      </c>
      <c r="D93" s="555">
        <v>0</v>
      </c>
      <c r="E93" s="556">
        <v>0</v>
      </c>
      <c r="F93" s="555">
        <v>0</v>
      </c>
      <c r="G93" s="555">
        <v>0</v>
      </c>
      <c r="H93" s="556">
        <v>0</v>
      </c>
      <c r="I93" s="405">
        <v>0</v>
      </c>
      <c r="J93" s="678">
        <v>0</v>
      </c>
      <c r="K93" s="684">
        <v>0</v>
      </c>
      <c r="L93" s="555">
        <v>0</v>
      </c>
      <c r="M93" s="555">
        <v>0</v>
      </c>
      <c r="N93" s="1040">
        <v>0</v>
      </c>
      <c r="O93" s="555">
        <v>0</v>
      </c>
      <c r="P93" s="688">
        <v>0</v>
      </c>
    </row>
    <row r="94" spans="1:16" ht="11.1" customHeight="1">
      <c r="A94" s="2003"/>
      <c r="B94" s="355" t="s">
        <v>100</v>
      </c>
      <c r="C94" s="684">
        <v>15</v>
      </c>
      <c r="D94" s="555">
        <v>9</v>
      </c>
      <c r="E94" s="556">
        <v>6</v>
      </c>
      <c r="F94" s="555">
        <v>0</v>
      </c>
      <c r="G94" s="555">
        <v>9</v>
      </c>
      <c r="H94" s="556">
        <v>6</v>
      </c>
      <c r="I94" s="556">
        <v>9</v>
      </c>
      <c r="J94" s="678">
        <v>0</v>
      </c>
      <c r="K94" s="684">
        <v>6</v>
      </c>
      <c r="L94" s="555">
        <v>3</v>
      </c>
      <c r="M94" s="555">
        <v>3</v>
      </c>
      <c r="N94" s="1040">
        <v>3</v>
      </c>
      <c r="O94" s="555">
        <v>3</v>
      </c>
      <c r="P94" s="688">
        <v>0</v>
      </c>
    </row>
    <row r="95" spans="1:16" ht="11.1" customHeight="1">
      <c r="A95" s="2003"/>
      <c r="B95" s="355" t="s">
        <v>101</v>
      </c>
      <c r="C95" s="684">
        <v>6</v>
      </c>
      <c r="D95" s="555">
        <v>6</v>
      </c>
      <c r="E95" s="556">
        <v>0</v>
      </c>
      <c r="F95" s="555">
        <v>0</v>
      </c>
      <c r="G95" s="555">
        <v>3</v>
      </c>
      <c r="H95" s="556">
        <v>3</v>
      </c>
      <c r="I95" s="405">
        <v>3</v>
      </c>
      <c r="J95" s="678">
        <v>0</v>
      </c>
      <c r="K95" s="684">
        <v>6</v>
      </c>
      <c r="L95" s="555">
        <v>6</v>
      </c>
      <c r="M95" s="555">
        <v>0</v>
      </c>
      <c r="N95" s="1040">
        <v>6</v>
      </c>
      <c r="O95" s="555">
        <v>6</v>
      </c>
      <c r="P95" s="688">
        <v>0</v>
      </c>
    </row>
    <row r="96" spans="1:16" s="538" customFormat="1" ht="11.1" customHeight="1">
      <c r="A96" s="2004"/>
      <c r="B96" s="963" t="s">
        <v>102</v>
      </c>
      <c r="C96" s="1272">
        <v>6</v>
      </c>
      <c r="D96" s="1043">
        <v>3</v>
      </c>
      <c r="E96" s="1044">
        <v>0</v>
      </c>
      <c r="F96" s="1043">
        <v>0</v>
      </c>
      <c r="G96" s="1043">
        <v>3</v>
      </c>
      <c r="H96" s="1044">
        <v>3</v>
      </c>
      <c r="I96" s="1086">
        <v>3</v>
      </c>
      <c r="J96" s="1042">
        <v>0</v>
      </c>
      <c r="K96" s="1272">
        <v>0</v>
      </c>
      <c r="L96" s="1043">
        <v>0</v>
      </c>
      <c r="M96" s="1043">
        <v>0</v>
      </c>
      <c r="N96" s="1345">
        <v>0</v>
      </c>
      <c r="O96" s="1043">
        <v>0</v>
      </c>
      <c r="P96" s="1045">
        <v>0</v>
      </c>
    </row>
    <row r="97" spans="1:18" ht="5.0999999999999996" customHeight="1">
      <c r="A97" s="2018" t="s">
        <v>176</v>
      </c>
      <c r="B97" s="107"/>
      <c r="C97" s="1041"/>
      <c r="D97" s="680"/>
      <c r="E97" s="681"/>
      <c r="F97" s="680"/>
      <c r="G97" s="680"/>
      <c r="H97" s="681"/>
      <c r="I97" s="681"/>
      <c r="J97" s="687"/>
      <c r="K97" s="1041"/>
      <c r="L97" s="680"/>
      <c r="M97" s="680"/>
      <c r="N97" s="1102"/>
      <c r="O97" s="585"/>
      <c r="P97" s="682"/>
    </row>
    <row r="98" spans="1:18" s="11" customFormat="1" ht="11.1" customHeight="1">
      <c r="A98" s="2003"/>
      <c r="B98" s="359" t="s">
        <v>303</v>
      </c>
      <c r="C98" s="568">
        <f t="shared" ref="C98:P98" si="9">SUM(C100:C104)</f>
        <v>0</v>
      </c>
      <c r="D98" s="570">
        <f t="shared" si="9"/>
        <v>0</v>
      </c>
      <c r="E98" s="559">
        <f t="shared" si="9"/>
        <v>0</v>
      </c>
      <c r="F98" s="568">
        <f t="shared" si="9"/>
        <v>0</v>
      </c>
      <c r="G98" s="570">
        <f t="shared" si="9"/>
        <v>0</v>
      </c>
      <c r="H98" s="559">
        <f t="shared" si="9"/>
        <v>0</v>
      </c>
      <c r="I98" s="679">
        <f t="shared" si="9"/>
        <v>0</v>
      </c>
      <c r="J98" s="679">
        <f t="shared" si="9"/>
        <v>0</v>
      </c>
      <c r="K98" s="568">
        <f t="shared" si="9"/>
        <v>0</v>
      </c>
      <c r="L98" s="570">
        <f t="shared" si="9"/>
        <v>0</v>
      </c>
      <c r="M98" s="559">
        <f t="shared" si="9"/>
        <v>0</v>
      </c>
      <c r="N98" s="568">
        <f t="shared" si="9"/>
        <v>0</v>
      </c>
      <c r="O98" s="570">
        <f t="shared" si="9"/>
        <v>0</v>
      </c>
      <c r="P98" s="569">
        <f t="shared" si="9"/>
        <v>0</v>
      </c>
    </row>
    <row r="99" spans="1:18" ht="5.0999999999999996" customHeight="1">
      <c r="A99" s="2003"/>
      <c r="B99" s="107"/>
      <c r="C99" s="1041"/>
      <c r="D99" s="680"/>
      <c r="E99" s="681"/>
      <c r="F99" s="680"/>
      <c r="G99" s="680"/>
      <c r="H99" s="681"/>
      <c r="I99" s="681"/>
      <c r="J99" s="687"/>
      <c r="K99" s="1041"/>
      <c r="L99" s="680"/>
      <c r="M99" s="680"/>
      <c r="N99" s="1102"/>
      <c r="O99" s="71"/>
      <c r="P99" s="682"/>
    </row>
    <row r="100" spans="1:18" ht="11.1" customHeight="1">
      <c r="A100" s="2003"/>
      <c r="B100" s="355" t="s">
        <v>98</v>
      </c>
      <c r="C100" s="684">
        <v>0</v>
      </c>
      <c r="D100" s="555">
        <v>0</v>
      </c>
      <c r="E100" s="556">
        <v>0</v>
      </c>
      <c r="F100" s="684">
        <v>0</v>
      </c>
      <c r="G100" s="555">
        <v>0</v>
      </c>
      <c r="H100" s="556">
        <v>0</v>
      </c>
      <c r="I100" s="556">
        <v>0</v>
      </c>
      <c r="J100" s="678">
        <v>0</v>
      </c>
      <c r="K100" s="1040">
        <v>0</v>
      </c>
      <c r="L100" s="555">
        <v>0</v>
      </c>
      <c r="M100" s="405">
        <v>0</v>
      </c>
      <c r="N100" s="568">
        <v>0</v>
      </c>
      <c r="O100" s="555">
        <v>0</v>
      </c>
      <c r="P100" s="540">
        <v>0</v>
      </c>
    </row>
    <row r="101" spans="1:18" ht="11.1" customHeight="1">
      <c r="A101" s="2003"/>
      <c r="B101" s="355" t="s">
        <v>99</v>
      </c>
      <c r="C101" s="684">
        <v>0</v>
      </c>
      <c r="D101" s="555">
        <v>0</v>
      </c>
      <c r="E101" s="556">
        <v>0</v>
      </c>
      <c r="F101" s="555">
        <v>0</v>
      </c>
      <c r="G101" s="555">
        <v>0</v>
      </c>
      <c r="H101" s="556">
        <v>0</v>
      </c>
      <c r="I101" s="405">
        <v>0</v>
      </c>
      <c r="J101" s="678">
        <v>0</v>
      </c>
      <c r="K101" s="684">
        <v>0</v>
      </c>
      <c r="L101" s="555">
        <v>0</v>
      </c>
      <c r="M101" s="555">
        <v>0</v>
      </c>
      <c r="N101" s="568">
        <v>0</v>
      </c>
      <c r="O101" s="555">
        <v>0</v>
      </c>
      <c r="P101" s="688">
        <v>0</v>
      </c>
    </row>
    <row r="102" spans="1:18" ht="11.1" customHeight="1">
      <c r="A102" s="2003"/>
      <c r="B102" s="355" t="s">
        <v>100</v>
      </c>
      <c r="C102" s="684">
        <v>0</v>
      </c>
      <c r="D102" s="555">
        <v>0</v>
      </c>
      <c r="E102" s="556">
        <v>0</v>
      </c>
      <c r="F102" s="555">
        <v>0</v>
      </c>
      <c r="G102" s="555">
        <v>0</v>
      </c>
      <c r="H102" s="556">
        <v>0</v>
      </c>
      <c r="I102" s="556">
        <v>0</v>
      </c>
      <c r="J102" s="678">
        <v>0</v>
      </c>
      <c r="K102" s="684">
        <v>0</v>
      </c>
      <c r="L102" s="555">
        <v>0</v>
      </c>
      <c r="M102" s="555">
        <v>0</v>
      </c>
      <c r="N102" s="568">
        <v>0</v>
      </c>
      <c r="O102" s="555">
        <v>0</v>
      </c>
      <c r="P102" s="688">
        <v>0</v>
      </c>
    </row>
    <row r="103" spans="1:18" ht="11.1" customHeight="1">
      <c r="A103" s="2003"/>
      <c r="B103" s="355" t="s">
        <v>101</v>
      </c>
      <c r="C103" s="684">
        <v>0</v>
      </c>
      <c r="D103" s="555">
        <v>0</v>
      </c>
      <c r="E103" s="556">
        <v>0</v>
      </c>
      <c r="F103" s="555">
        <v>0</v>
      </c>
      <c r="G103" s="555">
        <v>0</v>
      </c>
      <c r="H103" s="556">
        <v>0</v>
      </c>
      <c r="I103" s="405">
        <v>0</v>
      </c>
      <c r="J103" s="678">
        <v>0</v>
      </c>
      <c r="K103" s="684">
        <v>0</v>
      </c>
      <c r="L103" s="555">
        <v>0</v>
      </c>
      <c r="M103" s="555">
        <v>0</v>
      </c>
      <c r="N103" s="568">
        <v>0</v>
      </c>
      <c r="O103" s="555">
        <v>0</v>
      </c>
      <c r="P103" s="688">
        <v>0</v>
      </c>
    </row>
    <row r="104" spans="1:18" ht="11.1" customHeight="1">
      <c r="A104" s="2003"/>
      <c r="B104" s="355" t="s">
        <v>102</v>
      </c>
      <c r="C104" s="684">
        <v>0</v>
      </c>
      <c r="D104" s="555">
        <v>0</v>
      </c>
      <c r="E104" s="556">
        <v>0</v>
      </c>
      <c r="F104" s="555">
        <v>0</v>
      </c>
      <c r="G104" s="555">
        <v>0</v>
      </c>
      <c r="H104" s="556">
        <v>0</v>
      </c>
      <c r="I104" s="405">
        <v>0</v>
      </c>
      <c r="J104" s="678">
        <v>0</v>
      </c>
      <c r="K104" s="684">
        <v>0</v>
      </c>
      <c r="L104" s="555">
        <v>0</v>
      </c>
      <c r="M104" s="555">
        <v>0</v>
      </c>
      <c r="N104" s="568">
        <v>0</v>
      </c>
      <c r="O104" s="555">
        <v>0</v>
      </c>
      <c r="P104" s="688">
        <v>0</v>
      </c>
      <c r="Q104" s="82"/>
      <c r="R104" s="82"/>
    </row>
    <row r="105" spans="1:18" ht="5.0999999999999996" customHeight="1" thickBot="1">
      <c r="A105" s="360"/>
      <c r="B105" s="361"/>
      <c r="C105" s="1097"/>
      <c r="D105" s="200"/>
      <c r="E105" s="371"/>
      <c r="F105" s="372"/>
      <c r="G105" s="372"/>
      <c r="H105" s="373"/>
      <c r="I105" s="201"/>
      <c r="J105" s="201"/>
      <c r="K105" s="1097"/>
      <c r="L105" s="200"/>
      <c r="M105" s="200"/>
      <c r="N105" s="1097"/>
      <c r="O105" s="305"/>
      <c r="P105" s="306"/>
    </row>
    <row r="106" spans="1:18" ht="11.1" customHeight="1">
      <c r="A106" s="109"/>
      <c r="B106" s="340"/>
      <c r="C106" s="111"/>
      <c r="D106" s="111"/>
      <c r="E106" s="111"/>
      <c r="F106" s="111"/>
      <c r="G106" s="111"/>
      <c r="H106" s="111"/>
      <c r="I106" s="111"/>
      <c r="J106" s="111"/>
      <c r="K106" s="111"/>
      <c r="L106" s="111"/>
      <c r="M106" s="111"/>
      <c r="N106" s="111"/>
    </row>
    <row r="107" spans="1:18" s="90" customFormat="1" ht="11.1" customHeight="1">
      <c r="A107" s="365"/>
      <c r="B107" s="364" t="s">
        <v>156</v>
      </c>
      <c r="C107" s="87"/>
      <c r="D107" s="87"/>
      <c r="E107" s="88"/>
      <c r="F107" s="87"/>
      <c r="G107" s="87"/>
      <c r="H107" s="87"/>
      <c r="I107" s="127" t="s">
        <v>118</v>
      </c>
      <c r="J107" s="126"/>
      <c r="K107" s="127"/>
      <c r="L107" s="126"/>
      <c r="M107" s="128"/>
      <c r="N107" s="126"/>
    </row>
    <row r="108" spans="1:18" ht="11.1" customHeight="1">
      <c r="A108" s="80"/>
      <c r="B108" s="357"/>
      <c r="C108" s="91"/>
      <c r="D108" s="91"/>
      <c r="E108" s="92"/>
      <c r="F108" s="91"/>
      <c r="G108" s="91"/>
      <c r="H108" s="91"/>
      <c r="I108" s="91"/>
      <c r="J108" s="129"/>
      <c r="K108" s="127"/>
      <c r="L108" s="129"/>
      <c r="M108" s="79"/>
      <c r="N108" s="129"/>
    </row>
    <row r="109" spans="1:18" ht="11.1" customHeight="1" thickBot="1">
      <c r="A109" s="367"/>
      <c r="B109" s="92"/>
      <c r="C109" s="110"/>
      <c r="D109" s="110"/>
      <c r="E109" s="77"/>
      <c r="F109" s="110"/>
      <c r="G109" s="110"/>
      <c r="H109" s="110"/>
      <c r="I109" s="110"/>
      <c r="J109" s="110"/>
      <c r="K109" s="110"/>
      <c r="L109" s="110"/>
      <c r="M109" s="77"/>
      <c r="N109" s="110"/>
    </row>
    <row r="110" spans="1:18" s="125" customFormat="1" ht="15" customHeight="1">
      <c r="A110" s="1994" t="s">
        <v>43</v>
      </c>
      <c r="B110" s="368"/>
      <c r="C110" s="2019" t="str">
        <f>C7</f>
        <v>Auszubildende am 31.12.2015</v>
      </c>
      <c r="D110" s="2020"/>
      <c r="E110" s="2020"/>
      <c r="F110" s="2020"/>
      <c r="G110" s="2020"/>
      <c r="H110" s="2021"/>
      <c r="I110" s="2013" t="s">
        <v>0</v>
      </c>
      <c r="J110" s="2013" t="s">
        <v>1</v>
      </c>
      <c r="K110" s="2005" t="s">
        <v>218</v>
      </c>
      <c r="L110" s="2006"/>
      <c r="M110" s="2006"/>
      <c r="N110" s="2006"/>
      <c r="O110" s="2006"/>
      <c r="P110" s="2015"/>
    </row>
    <row r="111" spans="1:18" s="125" customFormat="1" ht="15" customHeight="1">
      <c r="A111" s="1997"/>
      <c r="B111" s="107"/>
      <c r="C111" s="2022"/>
      <c r="D111" s="2023"/>
      <c r="E111" s="2023"/>
      <c r="F111" s="2023"/>
      <c r="G111" s="2023"/>
      <c r="H111" s="2024"/>
      <c r="I111" s="2014"/>
      <c r="J111" s="2014"/>
      <c r="K111" s="2008"/>
      <c r="L111" s="2009"/>
      <c r="M111" s="2009"/>
      <c r="N111" s="2009"/>
      <c r="O111" s="2009"/>
      <c r="P111" s="2025"/>
    </row>
    <row r="112" spans="1:18" s="125" customFormat="1" ht="12" customHeight="1">
      <c r="A112" s="1995"/>
      <c r="B112" s="107"/>
      <c r="C112" s="96"/>
      <c r="D112" s="97"/>
      <c r="E112" s="98"/>
      <c r="F112" s="21" t="s">
        <v>167</v>
      </c>
      <c r="G112" s="345"/>
      <c r="H112" s="346"/>
      <c r="I112" s="103" t="s">
        <v>3</v>
      </c>
      <c r="J112" s="103" t="s">
        <v>4</v>
      </c>
      <c r="K112" s="209"/>
      <c r="L112" s="211"/>
      <c r="M112" s="209"/>
      <c r="N112" s="100"/>
      <c r="O112" s="549" t="s">
        <v>2</v>
      </c>
      <c r="P112" s="544"/>
    </row>
    <row r="113" spans="1:68" s="125" customFormat="1" ht="12" customHeight="1">
      <c r="A113" s="1995"/>
      <c r="B113" s="103" t="s">
        <v>8</v>
      </c>
      <c r="C113" s="104"/>
      <c r="D113" s="348"/>
      <c r="E113" s="105"/>
      <c r="F113" s="349" t="s">
        <v>302</v>
      </c>
      <c r="G113" s="350"/>
      <c r="H113" s="351"/>
      <c r="I113" s="103" t="s">
        <v>8</v>
      </c>
      <c r="J113" s="103" t="s">
        <v>8</v>
      </c>
      <c r="K113" s="105"/>
      <c r="L113" s="212"/>
      <c r="M113" s="105"/>
      <c r="N113" s="717"/>
      <c r="O113" s="375" t="s">
        <v>196</v>
      </c>
      <c r="P113" s="548"/>
    </row>
    <row r="114" spans="1:68" s="125" customFormat="1" ht="12" customHeight="1">
      <c r="A114" s="1995"/>
      <c r="B114" s="103" t="s">
        <v>61</v>
      </c>
      <c r="C114" s="96" t="s">
        <v>19</v>
      </c>
      <c r="D114" s="97" t="s">
        <v>17</v>
      </c>
      <c r="E114" s="103" t="s">
        <v>18</v>
      </c>
      <c r="F114" s="108"/>
      <c r="G114" s="108"/>
      <c r="H114" s="108"/>
      <c r="I114" s="103" t="s">
        <v>20</v>
      </c>
      <c r="J114" s="103" t="s">
        <v>20</v>
      </c>
      <c r="K114" s="96" t="s">
        <v>19</v>
      </c>
      <c r="L114" s="97" t="s">
        <v>17</v>
      </c>
      <c r="M114" s="103" t="s">
        <v>18</v>
      </c>
      <c r="N114" s="96" t="s">
        <v>19</v>
      </c>
      <c r="O114" s="502" t="s">
        <v>17</v>
      </c>
      <c r="P114" s="210" t="s">
        <v>18</v>
      </c>
    </row>
    <row r="115" spans="1:68" s="125" customFormat="1" ht="12" customHeight="1">
      <c r="A115" s="1995"/>
      <c r="B115" s="103" t="s">
        <v>62</v>
      </c>
      <c r="C115" s="96" t="s">
        <v>29</v>
      </c>
      <c r="D115" s="97" t="s">
        <v>28</v>
      </c>
      <c r="E115" s="103" t="s">
        <v>28</v>
      </c>
      <c r="F115" s="103" t="s">
        <v>30</v>
      </c>
      <c r="G115" s="103" t="s">
        <v>31</v>
      </c>
      <c r="H115" s="108" t="s">
        <v>32</v>
      </c>
      <c r="I115" s="103" t="s">
        <v>33</v>
      </c>
      <c r="J115" s="103" t="s">
        <v>33</v>
      </c>
      <c r="K115" s="96" t="s">
        <v>29</v>
      </c>
      <c r="L115" s="97" t="s">
        <v>28</v>
      </c>
      <c r="M115" s="103" t="s">
        <v>34</v>
      </c>
      <c r="N115" s="96" t="s">
        <v>29</v>
      </c>
      <c r="O115" s="502" t="s">
        <v>28</v>
      </c>
      <c r="P115" s="210" t="s">
        <v>34</v>
      </c>
    </row>
    <row r="116" spans="1:68" s="125" customFormat="1" ht="12" customHeight="1">
      <c r="A116" s="1996"/>
      <c r="B116" s="374"/>
      <c r="C116" s="104"/>
      <c r="D116" s="348"/>
      <c r="E116" s="105"/>
      <c r="F116" s="438"/>
      <c r="G116" s="438"/>
      <c r="I116" s="103" t="s">
        <v>39</v>
      </c>
      <c r="J116" s="103" t="s">
        <v>39</v>
      </c>
      <c r="K116" s="105"/>
      <c r="L116" s="212"/>
      <c r="M116" s="105"/>
      <c r="N116" s="96"/>
      <c r="O116" s="1110"/>
      <c r="P116" s="1111"/>
    </row>
    <row r="117" spans="1:68" s="11" customFormat="1" ht="5.0999999999999996" customHeight="1">
      <c r="A117" s="354"/>
      <c r="B117" s="376"/>
      <c r="C117" s="1107"/>
      <c r="D117" s="124"/>
      <c r="E117" s="377"/>
      <c r="F117" s="124"/>
      <c r="G117" s="124"/>
      <c r="H117" s="377"/>
      <c r="I117" s="378"/>
      <c r="J117" s="124"/>
      <c r="K117" s="1107"/>
      <c r="L117" s="124"/>
      <c r="M117" s="124"/>
      <c r="N117" s="1108"/>
      <c r="O117" s="54"/>
      <c r="P117" s="545"/>
    </row>
    <row r="118" spans="1:68" ht="11.1" customHeight="1">
      <c r="A118" s="2003" t="s">
        <v>177</v>
      </c>
      <c r="B118" s="359" t="s">
        <v>303</v>
      </c>
      <c r="C118" s="568">
        <f t="shared" ref="C118:P118" si="10">SUM(C120:C124)</f>
        <v>0</v>
      </c>
      <c r="D118" s="570">
        <f t="shared" si="10"/>
        <v>0</v>
      </c>
      <c r="E118" s="559">
        <f t="shared" si="10"/>
        <v>0</v>
      </c>
      <c r="F118" s="568">
        <f t="shared" si="10"/>
        <v>0</v>
      </c>
      <c r="G118" s="570">
        <f t="shared" si="10"/>
        <v>0</v>
      </c>
      <c r="H118" s="559">
        <f t="shared" si="10"/>
        <v>0</v>
      </c>
      <c r="I118" s="679">
        <f t="shared" si="10"/>
        <v>0</v>
      </c>
      <c r="J118" s="679">
        <f t="shared" si="10"/>
        <v>0</v>
      </c>
      <c r="K118" s="568">
        <f t="shared" si="10"/>
        <v>3</v>
      </c>
      <c r="L118" s="570">
        <f t="shared" si="10"/>
        <v>3</v>
      </c>
      <c r="M118" s="559">
        <f t="shared" si="10"/>
        <v>0</v>
      </c>
      <c r="N118" s="568">
        <f t="shared" si="10"/>
        <v>3</v>
      </c>
      <c r="O118" s="570">
        <f t="shared" si="10"/>
        <v>3</v>
      </c>
      <c r="P118" s="569">
        <f t="shared" si="10"/>
        <v>0</v>
      </c>
    </row>
    <row r="119" spans="1:68" ht="5.0999999999999996" customHeight="1">
      <c r="A119" s="2003"/>
      <c r="B119" s="107"/>
      <c r="C119" s="1041"/>
      <c r="D119" s="680"/>
      <c r="E119" s="681"/>
      <c r="F119" s="680"/>
      <c r="G119" s="680"/>
      <c r="H119" s="681"/>
      <c r="I119" s="681"/>
      <c r="J119" s="687"/>
      <c r="K119" s="1041"/>
      <c r="L119" s="680"/>
      <c r="M119" s="680"/>
      <c r="N119" s="1102"/>
      <c r="O119" s="71"/>
      <c r="P119" s="682"/>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c r="AO119" s="130"/>
      <c r="AP119" s="130"/>
      <c r="AQ119" s="130"/>
      <c r="AR119" s="130"/>
      <c r="AS119" s="130"/>
      <c r="AT119" s="130"/>
      <c r="AU119" s="130"/>
      <c r="AV119" s="130"/>
      <c r="AW119" s="130"/>
      <c r="AX119" s="130"/>
      <c r="AY119" s="130"/>
      <c r="AZ119" s="130"/>
      <c r="BA119" s="130"/>
      <c r="BB119" s="130"/>
      <c r="BC119" s="130"/>
      <c r="BD119" s="130"/>
      <c r="BE119" s="130"/>
      <c r="BF119" s="130"/>
      <c r="BG119" s="130"/>
      <c r="BH119" s="130"/>
      <c r="BI119" s="130"/>
      <c r="BJ119" s="130"/>
      <c r="BK119" s="130"/>
      <c r="BL119" s="130"/>
      <c r="BM119" s="130"/>
      <c r="BN119" s="130"/>
      <c r="BO119" s="130"/>
      <c r="BP119" s="130"/>
    </row>
    <row r="120" spans="1:68" ht="11.1" customHeight="1">
      <c r="A120" s="2003"/>
      <c r="B120" s="355" t="s">
        <v>98</v>
      </c>
      <c r="C120" s="684">
        <v>0</v>
      </c>
      <c r="D120" s="555">
        <v>0</v>
      </c>
      <c r="E120" s="556">
        <v>0</v>
      </c>
      <c r="F120" s="684">
        <v>0</v>
      </c>
      <c r="G120" s="555">
        <v>0</v>
      </c>
      <c r="H120" s="556">
        <v>0</v>
      </c>
      <c r="I120" s="556">
        <v>0</v>
      </c>
      <c r="J120" s="678">
        <v>0</v>
      </c>
      <c r="K120" s="1040">
        <v>0</v>
      </c>
      <c r="L120" s="555">
        <v>0</v>
      </c>
      <c r="M120" s="405">
        <v>0</v>
      </c>
      <c r="N120" s="1040">
        <v>0</v>
      </c>
      <c r="O120" s="555">
        <v>0</v>
      </c>
      <c r="P120" s="540">
        <v>0</v>
      </c>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c r="AO120" s="130"/>
      <c r="AP120" s="130"/>
      <c r="AQ120" s="130"/>
      <c r="AR120" s="130"/>
      <c r="AS120" s="130"/>
      <c r="AT120" s="130"/>
      <c r="AU120" s="130"/>
      <c r="AV120" s="130"/>
      <c r="AW120" s="130"/>
      <c r="AX120" s="130"/>
      <c r="AY120" s="130"/>
      <c r="AZ120" s="130"/>
      <c r="BA120" s="130"/>
      <c r="BB120" s="130"/>
      <c r="BC120" s="130"/>
      <c r="BD120" s="130"/>
      <c r="BE120" s="130"/>
      <c r="BF120" s="130"/>
      <c r="BG120" s="130"/>
      <c r="BH120" s="130"/>
      <c r="BI120" s="130"/>
      <c r="BJ120" s="130"/>
      <c r="BK120" s="130"/>
      <c r="BL120" s="130"/>
      <c r="BM120" s="130"/>
      <c r="BN120" s="130"/>
      <c r="BO120" s="130"/>
      <c r="BP120" s="130"/>
    </row>
    <row r="121" spans="1:68" ht="11.1" customHeight="1">
      <c r="A121" s="2003"/>
      <c r="B121" s="355" t="s">
        <v>99</v>
      </c>
      <c r="C121" s="684">
        <v>0</v>
      </c>
      <c r="D121" s="555">
        <v>0</v>
      </c>
      <c r="E121" s="556">
        <v>0</v>
      </c>
      <c r="F121" s="555">
        <v>0</v>
      </c>
      <c r="G121" s="555">
        <v>0</v>
      </c>
      <c r="H121" s="556">
        <v>0</v>
      </c>
      <c r="I121" s="405">
        <v>0</v>
      </c>
      <c r="J121" s="678">
        <v>0</v>
      </c>
      <c r="K121" s="684">
        <v>0</v>
      </c>
      <c r="L121" s="555">
        <v>0</v>
      </c>
      <c r="M121" s="555">
        <v>0</v>
      </c>
      <c r="N121" s="1040">
        <v>0</v>
      </c>
      <c r="O121" s="555">
        <v>0</v>
      </c>
      <c r="P121" s="688">
        <v>0</v>
      </c>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30"/>
      <c r="AM121" s="130"/>
      <c r="AN121" s="130"/>
      <c r="AO121" s="130"/>
      <c r="AP121" s="130"/>
      <c r="AQ121" s="130"/>
      <c r="AR121" s="130"/>
      <c r="AS121" s="130"/>
      <c r="AT121" s="130"/>
      <c r="AU121" s="130"/>
      <c r="AV121" s="130"/>
      <c r="AW121" s="130"/>
      <c r="AX121" s="130"/>
      <c r="AY121" s="130"/>
      <c r="AZ121" s="130"/>
      <c r="BA121" s="130"/>
      <c r="BB121" s="130"/>
      <c r="BC121" s="130"/>
      <c r="BD121" s="130"/>
      <c r="BE121" s="130"/>
      <c r="BF121" s="130"/>
      <c r="BG121" s="130"/>
      <c r="BH121" s="130"/>
      <c r="BI121" s="130"/>
      <c r="BJ121" s="130"/>
      <c r="BK121" s="130"/>
      <c r="BL121" s="130"/>
      <c r="BM121" s="130"/>
      <c r="BN121" s="130"/>
      <c r="BO121" s="130"/>
      <c r="BP121" s="130"/>
    </row>
    <row r="122" spans="1:68" ht="11.1" customHeight="1">
      <c r="A122" s="2003"/>
      <c r="B122" s="355" t="s">
        <v>100</v>
      </c>
      <c r="C122" s="684">
        <v>0</v>
      </c>
      <c r="D122" s="555">
        <v>0</v>
      </c>
      <c r="E122" s="556">
        <v>0</v>
      </c>
      <c r="F122" s="555">
        <v>0</v>
      </c>
      <c r="G122" s="555">
        <v>0</v>
      </c>
      <c r="H122" s="556">
        <v>0</v>
      </c>
      <c r="I122" s="556">
        <v>0</v>
      </c>
      <c r="J122" s="678">
        <v>0</v>
      </c>
      <c r="K122" s="684">
        <v>0</v>
      </c>
      <c r="L122" s="555">
        <v>0</v>
      </c>
      <c r="M122" s="555">
        <v>0</v>
      </c>
      <c r="N122" s="1040">
        <v>0</v>
      </c>
      <c r="O122" s="555">
        <v>0</v>
      </c>
      <c r="P122" s="688">
        <v>0</v>
      </c>
      <c r="Q122" s="130"/>
      <c r="R122" s="130"/>
      <c r="S122" s="130"/>
      <c r="T122" s="130"/>
      <c r="U122" s="130"/>
      <c r="V122" s="130"/>
      <c r="W122" s="130"/>
      <c r="X122" s="130"/>
      <c r="Y122" s="130"/>
      <c r="Z122" s="130"/>
      <c r="AA122" s="130"/>
      <c r="AB122" s="130"/>
      <c r="AC122" s="130"/>
      <c r="AD122" s="130"/>
      <c r="AE122" s="130"/>
      <c r="AF122" s="130"/>
      <c r="AG122" s="130"/>
      <c r="AH122" s="130"/>
      <c r="AI122" s="130"/>
      <c r="AJ122" s="130"/>
      <c r="AK122" s="130"/>
      <c r="AL122" s="130"/>
      <c r="AM122" s="130"/>
      <c r="AN122" s="130"/>
      <c r="AO122" s="130"/>
      <c r="AP122" s="130"/>
      <c r="AQ122" s="130"/>
      <c r="AR122" s="130"/>
      <c r="AS122" s="130"/>
      <c r="AT122" s="130"/>
      <c r="AU122" s="130"/>
      <c r="AV122" s="130"/>
      <c r="AW122" s="130"/>
      <c r="AX122" s="130"/>
      <c r="AY122" s="130"/>
      <c r="AZ122" s="130"/>
      <c r="BA122" s="130"/>
      <c r="BB122" s="130"/>
      <c r="BC122" s="130"/>
      <c r="BD122" s="130"/>
      <c r="BE122" s="130"/>
      <c r="BF122" s="130"/>
      <c r="BG122" s="130"/>
      <c r="BH122" s="130"/>
      <c r="BI122" s="130"/>
      <c r="BJ122" s="130"/>
      <c r="BK122" s="130"/>
      <c r="BL122" s="130"/>
      <c r="BM122" s="130"/>
      <c r="BN122" s="130"/>
      <c r="BO122" s="130"/>
      <c r="BP122" s="130"/>
    </row>
    <row r="123" spans="1:68" ht="11.1" customHeight="1">
      <c r="A123" s="2003"/>
      <c r="B123" s="355" t="s">
        <v>101</v>
      </c>
      <c r="C123" s="684">
        <v>0</v>
      </c>
      <c r="D123" s="555">
        <v>0</v>
      </c>
      <c r="E123" s="556">
        <v>0</v>
      </c>
      <c r="F123" s="555">
        <v>0</v>
      </c>
      <c r="G123" s="555">
        <v>0</v>
      </c>
      <c r="H123" s="556">
        <v>0</v>
      </c>
      <c r="I123" s="405">
        <v>0</v>
      </c>
      <c r="J123" s="678">
        <v>0</v>
      </c>
      <c r="K123" s="684">
        <v>0</v>
      </c>
      <c r="L123" s="555">
        <v>0</v>
      </c>
      <c r="M123" s="555">
        <v>0</v>
      </c>
      <c r="N123" s="1040">
        <v>0</v>
      </c>
      <c r="O123" s="555">
        <v>0</v>
      </c>
      <c r="P123" s="688">
        <v>0</v>
      </c>
      <c r="Q123" s="130"/>
      <c r="R123" s="130"/>
      <c r="S123" s="130"/>
      <c r="T123" s="130"/>
      <c r="U123" s="130"/>
      <c r="V123" s="130"/>
      <c r="W123" s="130"/>
      <c r="X123" s="130"/>
      <c r="Y123" s="130"/>
      <c r="Z123" s="130"/>
      <c r="AA123" s="130"/>
      <c r="AB123" s="130"/>
      <c r="AC123" s="130"/>
      <c r="AD123" s="130"/>
      <c r="AE123" s="130"/>
      <c r="AF123" s="130"/>
      <c r="AG123" s="130"/>
      <c r="AH123" s="130"/>
      <c r="AI123" s="130"/>
      <c r="AJ123" s="130"/>
      <c r="AK123" s="130"/>
      <c r="AL123" s="130"/>
      <c r="AM123" s="130"/>
      <c r="AN123" s="130"/>
      <c r="AO123" s="130"/>
      <c r="AP123" s="130"/>
      <c r="AQ123" s="130"/>
      <c r="AR123" s="130"/>
      <c r="AS123" s="130"/>
      <c r="AT123" s="130"/>
      <c r="AU123" s="130"/>
      <c r="AV123" s="130"/>
      <c r="AW123" s="130"/>
      <c r="AX123" s="130"/>
      <c r="AY123" s="130"/>
      <c r="AZ123" s="130"/>
      <c r="BA123" s="130"/>
      <c r="BB123" s="130"/>
      <c r="BC123" s="130"/>
      <c r="BD123" s="130"/>
      <c r="BE123" s="130"/>
      <c r="BF123" s="130"/>
      <c r="BG123" s="130"/>
      <c r="BH123" s="130"/>
      <c r="BI123" s="130"/>
      <c r="BJ123" s="130"/>
      <c r="BK123" s="130"/>
      <c r="BL123" s="130"/>
      <c r="BM123" s="130"/>
      <c r="BN123" s="130"/>
      <c r="BO123" s="130"/>
      <c r="BP123" s="130"/>
    </row>
    <row r="124" spans="1:68" s="538" customFormat="1" ht="11.1" customHeight="1">
      <c r="A124" s="2004"/>
      <c r="B124" s="963" t="s">
        <v>102</v>
      </c>
      <c r="C124" s="1272">
        <v>0</v>
      </c>
      <c r="D124" s="1043">
        <v>0</v>
      </c>
      <c r="E124" s="1044">
        <v>0</v>
      </c>
      <c r="F124" s="1043">
        <v>0</v>
      </c>
      <c r="G124" s="1043">
        <v>0</v>
      </c>
      <c r="H124" s="1044">
        <v>0</v>
      </c>
      <c r="I124" s="1086">
        <v>0</v>
      </c>
      <c r="J124" s="1042">
        <v>0</v>
      </c>
      <c r="K124" s="1272">
        <v>3</v>
      </c>
      <c r="L124" s="1043">
        <v>3</v>
      </c>
      <c r="M124" s="1043">
        <v>0</v>
      </c>
      <c r="N124" s="1345">
        <v>3</v>
      </c>
      <c r="O124" s="1043">
        <v>3</v>
      </c>
      <c r="P124" s="1045">
        <v>0</v>
      </c>
    </row>
    <row r="125" spans="1:68" ht="5.0999999999999996" customHeight="1">
      <c r="A125" s="354"/>
      <c r="B125" s="131"/>
      <c r="C125" s="1041"/>
      <c r="D125" s="680"/>
      <c r="E125" s="681"/>
      <c r="F125" s="680"/>
      <c r="G125" s="680"/>
      <c r="H125" s="681"/>
      <c r="I125" s="681"/>
      <c r="J125" s="687"/>
      <c r="K125" s="1041"/>
      <c r="L125" s="680"/>
      <c r="M125" s="680"/>
      <c r="N125" s="1102"/>
      <c r="O125" s="680"/>
      <c r="P125" s="1096"/>
    </row>
    <row r="126" spans="1:68" s="11" customFormat="1" ht="11.1" customHeight="1">
      <c r="A126" s="2003" t="s">
        <v>178</v>
      </c>
      <c r="B126" s="359" t="s">
        <v>303</v>
      </c>
      <c r="C126" s="568">
        <f t="shared" ref="C126:P126" si="11">SUM(C128:C132)</f>
        <v>141</v>
      </c>
      <c r="D126" s="570">
        <f t="shared" si="11"/>
        <v>57</v>
      </c>
      <c r="E126" s="559">
        <f t="shared" si="11"/>
        <v>81</v>
      </c>
      <c r="F126" s="568">
        <f t="shared" si="11"/>
        <v>48</v>
      </c>
      <c r="G126" s="570">
        <f t="shared" si="11"/>
        <v>39</v>
      </c>
      <c r="H126" s="559">
        <f t="shared" si="11"/>
        <v>48</v>
      </c>
      <c r="I126" s="679">
        <f t="shared" si="11"/>
        <v>57</v>
      </c>
      <c r="J126" s="679">
        <f t="shared" si="11"/>
        <v>27</v>
      </c>
      <c r="K126" s="568">
        <f t="shared" si="11"/>
        <v>51</v>
      </c>
      <c r="L126" s="570">
        <f t="shared" si="11"/>
        <v>24</v>
      </c>
      <c r="M126" s="559">
        <f t="shared" si="11"/>
        <v>30</v>
      </c>
      <c r="N126" s="568">
        <f t="shared" si="11"/>
        <v>39</v>
      </c>
      <c r="O126" s="570">
        <f t="shared" si="11"/>
        <v>15</v>
      </c>
      <c r="P126" s="569">
        <f t="shared" si="11"/>
        <v>21</v>
      </c>
    </row>
    <row r="127" spans="1:68" ht="5.0999999999999996" customHeight="1">
      <c r="A127" s="2003"/>
      <c r="B127" s="107"/>
      <c r="C127" s="1041"/>
      <c r="D127" s="680"/>
      <c r="E127" s="681"/>
      <c r="F127" s="680"/>
      <c r="G127" s="680"/>
      <c r="H127" s="681"/>
      <c r="I127" s="681"/>
      <c r="J127" s="687"/>
      <c r="K127" s="1041"/>
      <c r="L127" s="680"/>
      <c r="M127" s="680"/>
      <c r="N127" s="1102"/>
      <c r="O127" s="71"/>
      <c r="P127" s="682"/>
    </row>
    <row r="128" spans="1:68" ht="11.1" customHeight="1">
      <c r="A128" s="2003"/>
      <c r="B128" s="355" t="s">
        <v>98</v>
      </c>
      <c r="C128" s="684">
        <v>114</v>
      </c>
      <c r="D128" s="555">
        <v>42</v>
      </c>
      <c r="E128" s="556">
        <v>72</v>
      </c>
      <c r="F128" s="684">
        <v>45</v>
      </c>
      <c r="G128" s="555">
        <v>33</v>
      </c>
      <c r="H128" s="556">
        <v>39</v>
      </c>
      <c r="I128" s="556">
        <v>51</v>
      </c>
      <c r="J128" s="678">
        <v>24</v>
      </c>
      <c r="K128" s="1040">
        <v>42</v>
      </c>
      <c r="L128" s="555">
        <v>18</v>
      </c>
      <c r="M128" s="405">
        <v>24</v>
      </c>
      <c r="N128" s="1040">
        <v>33</v>
      </c>
      <c r="O128" s="555">
        <v>15</v>
      </c>
      <c r="P128" s="540">
        <v>18</v>
      </c>
    </row>
    <row r="129" spans="1:16" ht="11.1" customHeight="1">
      <c r="A129" s="2003"/>
      <c r="B129" s="355" t="s">
        <v>99</v>
      </c>
      <c r="C129" s="684">
        <v>9</v>
      </c>
      <c r="D129" s="555">
        <v>6</v>
      </c>
      <c r="E129" s="556">
        <v>3</v>
      </c>
      <c r="F129" s="555">
        <v>0</v>
      </c>
      <c r="G129" s="555">
        <v>3</v>
      </c>
      <c r="H129" s="556">
        <v>6</v>
      </c>
      <c r="I129" s="405">
        <v>0</v>
      </c>
      <c r="J129" s="678">
        <v>3</v>
      </c>
      <c r="K129" s="684">
        <v>3</v>
      </c>
      <c r="L129" s="555">
        <v>3</v>
      </c>
      <c r="M129" s="555">
        <v>3</v>
      </c>
      <c r="N129" s="1040">
        <v>3</v>
      </c>
      <c r="O129" s="555">
        <v>0</v>
      </c>
      <c r="P129" s="688">
        <v>0</v>
      </c>
    </row>
    <row r="130" spans="1:16" ht="11.1" customHeight="1">
      <c r="A130" s="2003"/>
      <c r="B130" s="355" t="s">
        <v>100</v>
      </c>
      <c r="C130" s="684">
        <v>6</v>
      </c>
      <c r="D130" s="555">
        <v>3</v>
      </c>
      <c r="E130" s="556">
        <v>3</v>
      </c>
      <c r="F130" s="555">
        <v>0</v>
      </c>
      <c r="G130" s="555">
        <v>3</v>
      </c>
      <c r="H130" s="556">
        <v>0</v>
      </c>
      <c r="I130" s="556">
        <v>3</v>
      </c>
      <c r="J130" s="678">
        <v>0</v>
      </c>
      <c r="K130" s="684">
        <v>3</v>
      </c>
      <c r="L130" s="555">
        <v>3</v>
      </c>
      <c r="M130" s="555">
        <v>0</v>
      </c>
      <c r="N130" s="1040">
        <v>0</v>
      </c>
      <c r="O130" s="555">
        <v>0</v>
      </c>
      <c r="P130" s="688">
        <v>0</v>
      </c>
    </row>
    <row r="131" spans="1:16" ht="11.1" customHeight="1">
      <c r="A131" s="2003"/>
      <c r="B131" s="355" t="s">
        <v>101</v>
      </c>
      <c r="C131" s="684">
        <v>9</v>
      </c>
      <c r="D131" s="555">
        <v>6</v>
      </c>
      <c r="E131" s="556">
        <v>3</v>
      </c>
      <c r="F131" s="555">
        <v>3</v>
      </c>
      <c r="G131" s="555">
        <v>0</v>
      </c>
      <c r="H131" s="556">
        <v>3</v>
      </c>
      <c r="I131" s="405">
        <v>3</v>
      </c>
      <c r="J131" s="678">
        <v>0</v>
      </c>
      <c r="K131" s="684">
        <v>3</v>
      </c>
      <c r="L131" s="555">
        <v>0</v>
      </c>
      <c r="M131" s="555">
        <v>3</v>
      </c>
      <c r="N131" s="1040">
        <v>3</v>
      </c>
      <c r="O131" s="555">
        <v>0</v>
      </c>
      <c r="P131" s="688">
        <v>3</v>
      </c>
    </row>
    <row r="132" spans="1:16" s="538" customFormat="1" ht="11.1" customHeight="1">
      <c r="A132" s="2004"/>
      <c r="B132" s="963" t="s">
        <v>102</v>
      </c>
      <c r="C132" s="1272">
        <v>3</v>
      </c>
      <c r="D132" s="1043">
        <v>0</v>
      </c>
      <c r="E132" s="1044">
        <v>0</v>
      </c>
      <c r="F132" s="1043">
        <v>0</v>
      </c>
      <c r="G132" s="1043">
        <v>0</v>
      </c>
      <c r="H132" s="1044">
        <v>0</v>
      </c>
      <c r="I132" s="1086">
        <v>0</v>
      </c>
      <c r="J132" s="1042">
        <v>0</v>
      </c>
      <c r="K132" s="1272">
        <v>0</v>
      </c>
      <c r="L132" s="1043">
        <v>0</v>
      </c>
      <c r="M132" s="1043">
        <v>0</v>
      </c>
      <c r="N132" s="1345">
        <v>0</v>
      </c>
      <c r="O132" s="1043">
        <v>0</v>
      </c>
      <c r="P132" s="1045">
        <v>0</v>
      </c>
    </row>
    <row r="133" spans="1:16" ht="5.0999999999999996" customHeight="1">
      <c r="A133" s="354"/>
      <c r="B133" s="107"/>
      <c r="C133" s="1041"/>
      <c r="D133" s="680"/>
      <c r="E133" s="681"/>
      <c r="F133" s="686"/>
      <c r="G133" s="680"/>
      <c r="H133" s="681"/>
      <c r="I133" s="681"/>
      <c r="J133" s="687"/>
      <c r="K133" s="1041"/>
      <c r="L133" s="680"/>
      <c r="M133" s="680"/>
      <c r="N133" s="1102"/>
      <c r="O133" s="585"/>
      <c r="P133" s="682"/>
    </row>
    <row r="134" spans="1:16" s="11" customFormat="1" ht="11.1" customHeight="1">
      <c r="A134" s="2003" t="s">
        <v>179</v>
      </c>
      <c r="B134" s="359" t="s">
        <v>303</v>
      </c>
      <c r="C134" s="568">
        <f t="shared" ref="C134:P134" si="12">SUM(C136:C140)</f>
        <v>96</v>
      </c>
      <c r="D134" s="570">
        <f t="shared" si="12"/>
        <v>51</v>
      </c>
      <c r="E134" s="559">
        <f t="shared" si="12"/>
        <v>36</v>
      </c>
      <c r="F134" s="568">
        <f t="shared" si="12"/>
        <v>36</v>
      </c>
      <c r="G134" s="570">
        <f t="shared" si="12"/>
        <v>30</v>
      </c>
      <c r="H134" s="559">
        <f t="shared" si="12"/>
        <v>27</v>
      </c>
      <c r="I134" s="679">
        <f t="shared" si="12"/>
        <v>42</v>
      </c>
      <c r="J134" s="679">
        <f t="shared" si="12"/>
        <v>15</v>
      </c>
      <c r="K134" s="568">
        <f t="shared" si="12"/>
        <v>42</v>
      </c>
      <c r="L134" s="570">
        <f t="shared" si="12"/>
        <v>24</v>
      </c>
      <c r="M134" s="559">
        <f t="shared" si="12"/>
        <v>18</v>
      </c>
      <c r="N134" s="568">
        <f t="shared" si="12"/>
        <v>33</v>
      </c>
      <c r="O134" s="570">
        <f t="shared" si="12"/>
        <v>18</v>
      </c>
      <c r="P134" s="569">
        <f t="shared" si="12"/>
        <v>12</v>
      </c>
    </row>
    <row r="135" spans="1:16" ht="5.0999999999999996" customHeight="1">
      <c r="A135" s="2003"/>
      <c r="B135" s="107"/>
      <c r="C135" s="1041"/>
      <c r="D135" s="680"/>
      <c r="E135" s="681"/>
      <c r="F135" s="680"/>
      <c r="G135" s="680"/>
      <c r="H135" s="681"/>
      <c r="I135" s="681"/>
      <c r="J135" s="687"/>
      <c r="K135" s="1041"/>
      <c r="L135" s="680"/>
      <c r="M135" s="680"/>
      <c r="N135" s="1102"/>
      <c r="O135" s="71"/>
      <c r="P135" s="682"/>
    </row>
    <row r="136" spans="1:16" ht="11.1" customHeight="1">
      <c r="A136" s="2003"/>
      <c r="B136" s="355" t="s">
        <v>98</v>
      </c>
      <c r="C136" s="684">
        <v>84</v>
      </c>
      <c r="D136" s="555">
        <v>48</v>
      </c>
      <c r="E136" s="556">
        <v>33</v>
      </c>
      <c r="F136" s="684">
        <v>33</v>
      </c>
      <c r="G136" s="555">
        <v>27</v>
      </c>
      <c r="H136" s="556">
        <v>24</v>
      </c>
      <c r="I136" s="556">
        <v>39</v>
      </c>
      <c r="J136" s="678">
        <v>12</v>
      </c>
      <c r="K136" s="1040">
        <v>36</v>
      </c>
      <c r="L136" s="555">
        <v>24</v>
      </c>
      <c r="M136" s="405">
        <v>12</v>
      </c>
      <c r="N136" s="1040">
        <v>27</v>
      </c>
      <c r="O136" s="555">
        <v>18</v>
      </c>
      <c r="P136" s="540">
        <v>9</v>
      </c>
    </row>
    <row r="137" spans="1:16" ht="11.1" customHeight="1">
      <c r="A137" s="2003"/>
      <c r="B137" s="355" t="s">
        <v>99</v>
      </c>
      <c r="C137" s="684">
        <v>9</v>
      </c>
      <c r="D137" s="555">
        <v>3</v>
      </c>
      <c r="E137" s="556">
        <v>3</v>
      </c>
      <c r="F137" s="555">
        <v>3</v>
      </c>
      <c r="G137" s="555">
        <v>3</v>
      </c>
      <c r="H137" s="556">
        <v>3</v>
      </c>
      <c r="I137" s="405">
        <v>3</v>
      </c>
      <c r="J137" s="678">
        <v>3</v>
      </c>
      <c r="K137" s="684">
        <v>3</v>
      </c>
      <c r="L137" s="555">
        <v>0</v>
      </c>
      <c r="M137" s="555">
        <v>3</v>
      </c>
      <c r="N137" s="1040">
        <v>3</v>
      </c>
      <c r="O137" s="555">
        <v>0</v>
      </c>
      <c r="P137" s="688">
        <v>0</v>
      </c>
    </row>
    <row r="138" spans="1:16" ht="11.1" customHeight="1">
      <c r="A138" s="2003"/>
      <c r="B138" s="355" t="s">
        <v>100</v>
      </c>
      <c r="C138" s="684">
        <v>0</v>
      </c>
      <c r="D138" s="555">
        <v>0</v>
      </c>
      <c r="E138" s="556">
        <v>0</v>
      </c>
      <c r="F138" s="555">
        <v>0</v>
      </c>
      <c r="G138" s="555">
        <v>0</v>
      </c>
      <c r="H138" s="556">
        <v>0</v>
      </c>
      <c r="I138" s="556">
        <v>0</v>
      </c>
      <c r="J138" s="678">
        <v>0</v>
      </c>
      <c r="K138" s="684">
        <v>0</v>
      </c>
      <c r="L138" s="555">
        <v>0</v>
      </c>
      <c r="M138" s="555">
        <v>0</v>
      </c>
      <c r="N138" s="1040">
        <v>0</v>
      </c>
      <c r="O138" s="555">
        <v>0</v>
      </c>
      <c r="P138" s="688">
        <v>0</v>
      </c>
    </row>
    <row r="139" spans="1:16" ht="11.1" customHeight="1">
      <c r="A139" s="2003"/>
      <c r="B139" s="355" t="s">
        <v>101</v>
      </c>
      <c r="C139" s="684">
        <v>0</v>
      </c>
      <c r="D139" s="555">
        <v>0</v>
      </c>
      <c r="E139" s="556">
        <v>0</v>
      </c>
      <c r="F139" s="555">
        <v>0</v>
      </c>
      <c r="G139" s="555">
        <v>0</v>
      </c>
      <c r="H139" s="556">
        <v>0</v>
      </c>
      <c r="I139" s="405">
        <v>0</v>
      </c>
      <c r="J139" s="678">
        <v>0</v>
      </c>
      <c r="K139" s="684">
        <v>3</v>
      </c>
      <c r="L139" s="555">
        <v>0</v>
      </c>
      <c r="M139" s="555">
        <v>3</v>
      </c>
      <c r="N139" s="1040">
        <v>3</v>
      </c>
      <c r="O139" s="555">
        <v>0</v>
      </c>
      <c r="P139" s="688">
        <v>3</v>
      </c>
    </row>
    <row r="140" spans="1:16" s="538" customFormat="1" ht="11.1" customHeight="1">
      <c r="A140" s="2004"/>
      <c r="B140" s="963" t="s">
        <v>102</v>
      </c>
      <c r="C140" s="1272">
        <v>3</v>
      </c>
      <c r="D140" s="1043">
        <v>0</v>
      </c>
      <c r="E140" s="1044">
        <v>0</v>
      </c>
      <c r="F140" s="1043">
        <v>0</v>
      </c>
      <c r="G140" s="1043">
        <v>0</v>
      </c>
      <c r="H140" s="1044">
        <v>0</v>
      </c>
      <c r="I140" s="1086">
        <v>0</v>
      </c>
      <c r="J140" s="1042">
        <v>0</v>
      </c>
      <c r="K140" s="1272">
        <v>0</v>
      </c>
      <c r="L140" s="1043">
        <v>0</v>
      </c>
      <c r="M140" s="1043">
        <v>0</v>
      </c>
      <c r="N140" s="1345">
        <v>0</v>
      </c>
      <c r="O140" s="1043">
        <v>0</v>
      </c>
      <c r="P140" s="1045">
        <v>0</v>
      </c>
    </row>
    <row r="141" spans="1:16" ht="5.0999999999999996" customHeight="1">
      <c r="A141" s="354"/>
      <c r="B141" s="107"/>
      <c r="C141" s="1041"/>
      <c r="D141" s="680"/>
      <c r="E141" s="681"/>
      <c r="F141" s="680"/>
      <c r="G141" s="680"/>
      <c r="H141" s="681"/>
      <c r="I141" s="681"/>
      <c r="J141" s="678"/>
      <c r="K141" s="1041"/>
      <c r="L141" s="680"/>
      <c r="M141" s="680"/>
      <c r="N141" s="1102"/>
      <c r="O141" s="585"/>
      <c r="P141" s="682"/>
    </row>
    <row r="142" spans="1:16" s="11" customFormat="1" ht="11.1" customHeight="1">
      <c r="A142" s="2003" t="s">
        <v>180</v>
      </c>
      <c r="B142" s="359" t="s">
        <v>303</v>
      </c>
      <c r="C142" s="568">
        <f t="shared" ref="C142:P142" si="13">SUM(C144:C148)</f>
        <v>231</v>
      </c>
      <c r="D142" s="570">
        <f t="shared" si="13"/>
        <v>87</v>
      </c>
      <c r="E142" s="559">
        <f t="shared" si="13"/>
        <v>144</v>
      </c>
      <c r="F142" s="568">
        <f t="shared" si="13"/>
        <v>81</v>
      </c>
      <c r="G142" s="570">
        <f t="shared" si="13"/>
        <v>87</v>
      </c>
      <c r="H142" s="559">
        <f t="shared" si="13"/>
        <v>60</v>
      </c>
      <c r="I142" s="679">
        <f t="shared" si="13"/>
        <v>96</v>
      </c>
      <c r="J142" s="679">
        <f t="shared" si="13"/>
        <v>15</v>
      </c>
      <c r="K142" s="568">
        <f t="shared" si="13"/>
        <v>57</v>
      </c>
      <c r="L142" s="570">
        <f t="shared" si="13"/>
        <v>24</v>
      </c>
      <c r="M142" s="559">
        <f t="shared" si="13"/>
        <v>36</v>
      </c>
      <c r="N142" s="568">
        <f t="shared" si="13"/>
        <v>51</v>
      </c>
      <c r="O142" s="570">
        <f t="shared" si="13"/>
        <v>18</v>
      </c>
      <c r="P142" s="569">
        <f t="shared" si="13"/>
        <v>30</v>
      </c>
    </row>
    <row r="143" spans="1:16" ht="5.0999999999999996" customHeight="1">
      <c r="A143" s="2003"/>
      <c r="B143" s="107"/>
      <c r="C143" s="1041"/>
      <c r="D143" s="680"/>
      <c r="E143" s="681"/>
      <c r="F143" s="680"/>
      <c r="G143" s="680"/>
      <c r="H143" s="681"/>
      <c r="I143" s="681"/>
      <c r="J143" s="687"/>
      <c r="K143" s="1041"/>
      <c r="L143" s="680"/>
      <c r="M143" s="680"/>
      <c r="N143" s="1102"/>
      <c r="O143" s="71"/>
      <c r="P143" s="682"/>
    </row>
    <row r="144" spans="1:16" ht="11.1" customHeight="1">
      <c r="A144" s="2003"/>
      <c r="B144" s="355" t="s">
        <v>98</v>
      </c>
      <c r="C144" s="684">
        <v>210</v>
      </c>
      <c r="D144" s="555">
        <v>81</v>
      </c>
      <c r="E144" s="556">
        <v>132</v>
      </c>
      <c r="F144" s="684">
        <v>78</v>
      </c>
      <c r="G144" s="555">
        <v>81</v>
      </c>
      <c r="H144" s="556">
        <v>51</v>
      </c>
      <c r="I144" s="556">
        <v>93</v>
      </c>
      <c r="J144" s="678">
        <v>12</v>
      </c>
      <c r="K144" s="1040">
        <v>45</v>
      </c>
      <c r="L144" s="555">
        <v>18</v>
      </c>
      <c r="M144" s="405">
        <v>27</v>
      </c>
      <c r="N144" s="1040">
        <v>42</v>
      </c>
      <c r="O144" s="555">
        <v>15</v>
      </c>
      <c r="P144" s="540">
        <v>24</v>
      </c>
    </row>
    <row r="145" spans="1:40" ht="11.1" customHeight="1">
      <c r="A145" s="2003"/>
      <c r="B145" s="355" t="s">
        <v>99</v>
      </c>
      <c r="C145" s="684">
        <v>9</v>
      </c>
      <c r="D145" s="555">
        <v>3</v>
      </c>
      <c r="E145" s="556">
        <v>6</v>
      </c>
      <c r="F145" s="555">
        <v>0</v>
      </c>
      <c r="G145" s="555">
        <v>3</v>
      </c>
      <c r="H145" s="556">
        <v>6</v>
      </c>
      <c r="I145" s="405">
        <v>0</v>
      </c>
      <c r="J145" s="678">
        <v>3</v>
      </c>
      <c r="K145" s="684">
        <v>9</v>
      </c>
      <c r="L145" s="555">
        <v>3</v>
      </c>
      <c r="M145" s="555">
        <v>6</v>
      </c>
      <c r="N145" s="1040">
        <v>6</v>
      </c>
      <c r="O145" s="555">
        <v>3</v>
      </c>
      <c r="P145" s="688">
        <v>3</v>
      </c>
    </row>
    <row r="146" spans="1:40" ht="11.1" customHeight="1">
      <c r="A146" s="2003"/>
      <c r="B146" s="355" t="s">
        <v>100</v>
      </c>
      <c r="C146" s="684">
        <v>3</v>
      </c>
      <c r="D146" s="555">
        <v>0</v>
      </c>
      <c r="E146" s="556">
        <v>3</v>
      </c>
      <c r="F146" s="555">
        <v>0</v>
      </c>
      <c r="G146" s="555">
        <v>0</v>
      </c>
      <c r="H146" s="556">
        <v>0</v>
      </c>
      <c r="I146" s="556">
        <v>0</v>
      </c>
      <c r="J146" s="678">
        <v>0</v>
      </c>
      <c r="K146" s="684">
        <v>0</v>
      </c>
      <c r="L146" s="555">
        <v>0</v>
      </c>
      <c r="M146" s="555">
        <v>0</v>
      </c>
      <c r="N146" s="1040">
        <v>0</v>
      </c>
      <c r="O146" s="555">
        <v>0</v>
      </c>
      <c r="P146" s="688">
        <v>0</v>
      </c>
    </row>
    <row r="147" spans="1:40" ht="11.1" customHeight="1">
      <c r="A147" s="2003"/>
      <c r="B147" s="355" t="s">
        <v>101</v>
      </c>
      <c r="C147" s="684">
        <v>9</v>
      </c>
      <c r="D147" s="555">
        <v>3</v>
      </c>
      <c r="E147" s="556">
        <v>3</v>
      </c>
      <c r="F147" s="555">
        <v>3</v>
      </c>
      <c r="G147" s="555">
        <v>3</v>
      </c>
      <c r="H147" s="556">
        <v>3</v>
      </c>
      <c r="I147" s="405">
        <v>3</v>
      </c>
      <c r="J147" s="678">
        <v>0</v>
      </c>
      <c r="K147" s="684">
        <v>3</v>
      </c>
      <c r="L147" s="555">
        <v>3</v>
      </c>
      <c r="M147" s="555">
        <v>3</v>
      </c>
      <c r="N147" s="1040">
        <v>3</v>
      </c>
      <c r="O147" s="555">
        <v>0</v>
      </c>
      <c r="P147" s="688">
        <v>3</v>
      </c>
    </row>
    <row r="148" spans="1:40" s="538" customFormat="1" ht="11.1" customHeight="1">
      <c r="A148" s="2004"/>
      <c r="B148" s="963" t="s">
        <v>102</v>
      </c>
      <c r="C148" s="1272">
        <v>0</v>
      </c>
      <c r="D148" s="1043">
        <v>0</v>
      </c>
      <c r="E148" s="1044">
        <v>0</v>
      </c>
      <c r="F148" s="1043">
        <v>0</v>
      </c>
      <c r="G148" s="1043">
        <v>0</v>
      </c>
      <c r="H148" s="1044">
        <v>0</v>
      </c>
      <c r="I148" s="1086">
        <v>0</v>
      </c>
      <c r="J148" s="1042">
        <v>0</v>
      </c>
      <c r="K148" s="1272">
        <v>0</v>
      </c>
      <c r="L148" s="1043">
        <v>0</v>
      </c>
      <c r="M148" s="1043">
        <v>0</v>
      </c>
      <c r="N148" s="1103">
        <v>0</v>
      </c>
      <c r="O148" s="1043">
        <v>0</v>
      </c>
      <c r="P148" s="1045">
        <v>0</v>
      </c>
    </row>
    <row r="149" spans="1:40" ht="5.0999999999999996" customHeight="1">
      <c r="A149" s="354"/>
      <c r="B149" s="379"/>
      <c r="C149" s="1041"/>
      <c r="D149" s="680"/>
      <c r="E149" s="681"/>
      <c r="F149" s="680"/>
      <c r="G149" s="680"/>
      <c r="H149" s="681"/>
      <c r="I149" s="681"/>
      <c r="J149" s="687"/>
      <c r="K149" s="1041"/>
      <c r="L149" s="680"/>
      <c r="M149" s="680"/>
      <c r="N149" s="1102"/>
      <c r="O149" s="585"/>
      <c r="P149" s="6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row>
    <row r="150" spans="1:40" ht="11.1" customHeight="1">
      <c r="A150" s="2003" t="s">
        <v>181</v>
      </c>
      <c r="B150" s="359" t="s">
        <v>303</v>
      </c>
      <c r="C150" s="568">
        <f t="shared" ref="C150:P150" si="14">SUM(C152:C156)</f>
        <v>117</v>
      </c>
      <c r="D150" s="570">
        <f t="shared" si="14"/>
        <v>57</v>
      </c>
      <c r="E150" s="559">
        <f t="shared" si="14"/>
        <v>60</v>
      </c>
      <c r="F150" s="568">
        <f t="shared" si="14"/>
        <v>30</v>
      </c>
      <c r="G150" s="570">
        <f t="shared" si="14"/>
        <v>42</v>
      </c>
      <c r="H150" s="559">
        <f t="shared" si="14"/>
        <v>39</v>
      </c>
      <c r="I150" s="679">
        <f t="shared" si="14"/>
        <v>42</v>
      </c>
      <c r="J150" s="679">
        <f t="shared" si="14"/>
        <v>24</v>
      </c>
      <c r="K150" s="568">
        <f t="shared" si="14"/>
        <v>45</v>
      </c>
      <c r="L150" s="570">
        <f t="shared" si="14"/>
        <v>24</v>
      </c>
      <c r="M150" s="559">
        <f t="shared" si="14"/>
        <v>21</v>
      </c>
      <c r="N150" s="568">
        <f t="shared" si="14"/>
        <v>33</v>
      </c>
      <c r="O150" s="570">
        <f t="shared" si="14"/>
        <v>18</v>
      </c>
      <c r="P150" s="569">
        <f t="shared" si="14"/>
        <v>15</v>
      </c>
    </row>
    <row r="151" spans="1:40" ht="5.0999999999999996" customHeight="1">
      <c r="A151" s="2003"/>
      <c r="B151" s="107"/>
      <c r="C151" s="1041"/>
      <c r="D151" s="680"/>
      <c r="E151" s="681"/>
      <c r="F151" s="680"/>
      <c r="G151" s="680"/>
      <c r="H151" s="681"/>
      <c r="I151" s="681"/>
      <c r="J151" s="687"/>
      <c r="K151" s="1041"/>
      <c r="L151" s="680"/>
      <c r="M151" s="680"/>
      <c r="N151" s="1102"/>
      <c r="O151" s="71"/>
      <c r="P151" s="682"/>
    </row>
    <row r="152" spans="1:40" ht="11.1" customHeight="1">
      <c r="A152" s="2003"/>
      <c r="B152" s="355" t="s">
        <v>98</v>
      </c>
      <c r="C152" s="684">
        <v>93</v>
      </c>
      <c r="D152" s="555">
        <v>45</v>
      </c>
      <c r="E152" s="556">
        <v>48</v>
      </c>
      <c r="F152" s="684">
        <v>27</v>
      </c>
      <c r="G152" s="555">
        <v>33</v>
      </c>
      <c r="H152" s="556">
        <v>30</v>
      </c>
      <c r="I152" s="556">
        <v>33</v>
      </c>
      <c r="J152" s="678">
        <v>21</v>
      </c>
      <c r="K152" s="1040">
        <v>36</v>
      </c>
      <c r="L152" s="555">
        <v>21</v>
      </c>
      <c r="M152" s="405">
        <v>18</v>
      </c>
      <c r="N152" s="1040">
        <v>24</v>
      </c>
      <c r="O152" s="555">
        <v>15</v>
      </c>
      <c r="P152" s="540">
        <v>12</v>
      </c>
    </row>
    <row r="153" spans="1:40" ht="11.1" customHeight="1">
      <c r="A153" s="2003"/>
      <c r="B153" s="355" t="s">
        <v>99</v>
      </c>
      <c r="C153" s="684">
        <v>12</v>
      </c>
      <c r="D153" s="555">
        <v>6</v>
      </c>
      <c r="E153" s="556">
        <v>6</v>
      </c>
      <c r="F153" s="555">
        <v>0</v>
      </c>
      <c r="G153" s="555">
        <v>6</v>
      </c>
      <c r="H153" s="556">
        <v>3</v>
      </c>
      <c r="I153" s="405">
        <v>3</v>
      </c>
      <c r="J153" s="678">
        <v>3</v>
      </c>
      <c r="K153" s="684">
        <v>6</v>
      </c>
      <c r="L153" s="555">
        <v>3</v>
      </c>
      <c r="M153" s="555">
        <v>3</v>
      </c>
      <c r="N153" s="1040">
        <v>6</v>
      </c>
      <c r="O153" s="555">
        <v>3</v>
      </c>
      <c r="P153" s="688">
        <v>3</v>
      </c>
    </row>
    <row r="154" spans="1:40" ht="11.1" customHeight="1">
      <c r="A154" s="2003"/>
      <c r="B154" s="355" t="s">
        <v>100</v>
      </c>
      <c r="C154" s="684">
        <v>3</v>
      </c>
      <c r="D154" s="555">
        <v>3</v>
      </c>
      <c r="E154" s="556">
        <v>0</v>
      </c>
      <c r="F154" s="555">
        <v>0</v>
      </c>
      <c r="G154" s="555">
        <v>0</v>
      </c>
      <c r="H154" s="556">
        <v>3</v>
      </c>
      <c r="I154" s="556">
        <v>0</v>
      </c>
      <c r="J154" s="678">
        <v>0</v>
      </c>
      <c r="K154" s="684">
        <v>0</v>
      </c>
      <c r="L154" s="555">
        <v>0</v>
      </c>
      <c r="M154" s="555">
        <v>0</v>
      </c>
      <c r="N154" s="1040">
        <v>0</v>
      </c>
      <c r="O154" s="555">
        <v>0</v>
      </c>
      <c r="P154" s="688">
        <v>0</v>
      </c>
    </row>
    <row r="155" spans="1:40" ht="11.1" customHeight="1">
      <c r="A155" s="2003"/>
      <c r="B155" s="355" t="s">
        <v>101</v>
      </c>
      <c r="C155" s="684">
        <v>9</v>
      </c>
      <c r="D155" s="555">
        <v>3</v>
      </c>
      <c r="E155" s="556">
        <v>6</v>
      </c>
      <c r="F155" s="555">
        <v>3</v>
      </c>
      <c r="G155" s="555">
        <v>3</v>
      </c>
      <c r="H155" s="556">
        <v>3</v>
      </c>
      <c r="I155" s="405">
        <v>6</v>
      </c>
      <c r="J155" s="678">
        <v>0</v>
      </c>
      <c r="K155" s="684">
        <v>3</v>
      </c>
      <c r="L155" s="555">
        <v>0</v>
      </c>
      <c r="M155" s="555">
        <v>0</v>
      </c>
      <c r="N155" s="1040">
        <v>3</v>
      </c>
      <c r="O155" s="555">
        <v>0</v>
      </c>
      <c r="P155" s="688">
        <v>0</v>
      </c>
    </row>
    <row r="156" spans="1:40" ht="11.1" customHeight="1">
      <c r="A156" s="2003"/>
      <c r="B156" s="355" t="s">
        <v>102</v>
      </c>
      <c r="C156" s="684">
        <v>0</v>
      </c>
      <c r="D156" s="555">
        <v>0</v>
      </c>
      <c r="E156" s="556">
        <v>0</v>
      </c>
      <c r="F156" s="555">
        <v>0</v>
      </c>
      <c r="G156" s="555">
        <v>0</v>
      </c>
      <c r="H156" s="556">
        <v>0</v>
      </c>
      <c r="I156" s="405">
        <v>0</v>
      </c>
      <c r="J156" s="678">
        <v>0</v>
      </c>
      <c r="K156" s="684">
        <v>0</v>
      </c>
      <c r="L156" s="555">
        <v>0</v>
      </c>
      <c r="M156" s="555">
        <v>0</v>
      </c>
      <c r="N156" s="1040">
        <v>0</v>
      </c>
      <c r="O156" s="555">
        <v>0</v>
      </c>
      <c r="P156" s="688">
        <v>0</v>
      </c>
    </row>
    <row r="157" spans="1:40" ht="5.0999999999999996" customHeight="1" thickBot="1">
      <c r="A157" s="360"/>
      <c r="B157" s="203"/>
      <c r="C157" s="1109"/>
      <c r="D157" s="692"/>
      <c r="E157" s="693"/>
      <c r="F157" s="692"/>
      <c r="G157" s="692"/>
      <c r="H157" s="694"/>
      <c r="I157" s="694"/>
      <c r="J157" s="692"/>
      <c r="K157" s="1109"/>
      <c r="L157" s="692"/>
      <c r="M157" s="695"/>
      <c r="N157" s="1344"/>
      <c r="O157" s="696"/>
      <c r="P157" s="697"/>
    </row>
    <row r="158" spans="1:40" ht="11.1" customHeight="1">
      <c r="A158" s="109"/>
      <c r="B158" s="381"/>
      <c r="C158" s="111"/>
      <c r="D158" s="111"/>
      <c r="E158" s="78"/>
      <c r="F158" s="111"/>
      <c r="G158" s="111"/>
      <c r="H158" s="111"/>
      <c r="I158" s="129"/>
      <c r="J158" s="129"/>
      <c r="K158" s="111"/>
      <c r="L158" s="111"/>
      <c r="M158" s="78"/>
      <c r="N158" s="111"/>
    </row>
    <row r="159" spans="1:40" s="90" customFormat="1" ht="11.1" customHeight="1">
      <c r="A159" s="365"/>
      <c r="B159" s="364" t="s">
        <v>156</v>
      </c>
      <c r="C159" s="87"/>
      <c r="D159" s="87"/>
      <c r="E159" s="88"/>
      <c r="F159" s="87"/>
      <c r="G159" s="87"/>
      <c r="H159" s="87"/>
      <c r="I159" s="127" t="s">
        <v>113</v>
      </c>
      <c r="J159" s="126"/>
      <c r="L159" s="126"/>
      <c r="M159" s="683"/>
      <c r="N159" s="126"/>
      <c r="P159" s="683"/>
    </row>
    <row r="161" spans="1:16" ht="11.1" customHeight="1" thickBot="1">
      <c r="A161" s="109"/>
      <c r="B161" s="92"/>
      <c r="C161" s="129"/>
      <c r="D161" s="129"/>
      <c r="E161" s="79"/>
      <c r="F161" s="129"/>
      <c r="G161" s="129"/>
      <c r="H161" s="129"/>
      <c r="I161" s="129"/>
      <c r="J161" s="129"/>
      <c r="K161" s="129"/>
      <c r="L161" s="129"/>
      <c r="M161" s="79"/>
      <c r="N161" s="129"/>
    </row>
    <row r="162" spans="1:16" s="125" customFormat="1" ht="15" customHeight="1">
      <c r="A162" s="1998" t="s">
        <v>43</v>
      </c>
      <c r="B162" s="602"/>
      <c r="C162" s="2019" t="str">
        <f>C7</f>
        <v>Auszubildende am 31.12.2015</v>
      </c>
      <c r="D162" s="2020"/>
      <c r="E162" s="2020"/>
      <c r="F162" s="2020"/>
      <c r="G162" s="2020"/>
      <c r="H162" s="2021"/>
      <c r="I162" s="2013" t="s">
        <v>0</v>
      </c>
      <c r="J162" s="2013" t="s">
        <v>1</v>
      </c>
      <c r="K162" s="2005" t="s">
        <v>218</v>
      </c>
      <c r="L162" s="2006"/>
      <c r="M162" s="2006"/>
      <c r="N162" s="2006"/>
      <c r="O162" s="2006"/>
      <c r="P162" s="2015"/>
    </row>
    <row r="163" spans="1:16" s="125" customFormat="1" ht="15" customHeight="1">
      <c r="A163" s="1999"/>
      <c r="B163" s="603"/>
      <c r="C163" s="2026"/>
      <c r="D163" s="2027"/>
      <c r="E163" s="2027"/>
      <c r="F163" s="2027"/>
      <c r="G163" s="2027"/>
      <c r="H163" s="2028"/>
      <c r="I163" s="2014"/>
      <c r="J163" s="2014"/>
      <c r="K163" s="2008"/>
      <c r="L163" s="2009"/>
      <c r="M163" s="2009"/>
      <c r="N163" s="2009"/>
      <c r="O163" s="2009"/>
      <c r="P163" s="2025"/>
    </row>
    <row r="164" spans="1:16" s="125" customFormat="1" ht="12" customHeight="1">
      <c r="A164" s="2000"/>
      <c r="B164" s="603"/>
      <c r="C164" s="369"/>
      <c r="D164" s="1115"/>
      <c r="E164" s="101"/>
      <c r="F164" s="1116" t="s">
        <v>167</v>
      </c>
      <c r="G164" s="1117"/>
      <c r="H164" s="1118"/>
      <c r="I164" s="103" t="s">
        <v>3</v>
      </c>
      <c r="J164" s="102" t="s">
        <v>4</v>
      </c>
      <c r="K164" s="134"/>
      <c r="L164" s="326"/>
      <c r="M164" s="327"/>
      <c r="N164" s="100"/>
      <c r="O164" s="549" t="s">
        <v>2</v>
      </c>
      <c r="P164" s="544"/>
    </row>
    <row r="165" spans="1:16" s="125" customFormat="1" ht="12" customHeight="1">
      <c r="A165" s="2000"/>
      <c r="B165" s="108" t="s">
        <v>8</v>
      </c>
      <c r="C165" s="104"/>
      <c r="D165" s="348"/>
      <c r="E165" s="105"/>
      <c r="F165" s="349" t="s">
        <v>302</v>
      </c>
      <c r="G165" s="350"/>
      <c r="H165" s="351"/>
      <c r="I165" s="103" t="s">
        <v>8</v>
      </c>
      <c r="J165" s="102" t="s">
        <v>8</v>
      </c>
      <c r="K165" s="74"/>
      <c r="L165" s="1213"/>
      <c r="M165" s="104"/>
      <c r="N165" s="717"/>
      <c r="O165" s="375" t="s">
        <v>196</v>
      </c>
      <c r="P165" s="548"/>
    </row>
    <row r="166" spans="1:16" s="125" customFormat="1" ht="12" customHeight="1">
      <c r="A166" s="2000"/>
      <c r="B166" s="108" t="s">
        <v>61</v>
      </c>
      <c r="C166" s="96" t="s">
        <v>19</v>
      </c>
      <c r="D166" s="97" t="s">
        <v>17</v>
      </c>
      <c r="E166" s="103" t="s">
        <v>18</v>
      </c>
      <c r="F166" s="352"/>
      <c r="G166" s="352"/>
      <c r="H166" s="352"/>
      <c r="I166" s="103" t="s">
        <v>20</v>
      </c>
      <c r="J166" s="102" t="s">
        <v>20</v>
      </c>
      <c r="K166" s="1215" t="s">
        <v>19</v>
      </c>
      <c r="L166" s="102" t="s">
        <v>17</v>
      </c>
      <c r="M166" s="103" t="s">
        <v>18</v>
      </c>
      <c r="N166" s="369" t="s">
        <v>19</v>
      </c>
      <c r="O166" s="1114" t="s">
        <v>17</v>
      </c>
      <c r="P166" s="1112" t="s">
        <v>18</v>
      </c>
    </row>
    <row r="167" spans="1:16" s="125" customFormat="1" ht="12" customHeight="1">
      <c r="A167" s="2000"/>
      <c r="B167" s="108" t="s">
        <v>62</v>
      </c>
      <c r="C167" s="96" t="s">
        <v>29</v>
      </c>
      <c r="D167" s="97" t="s">
        <v>28</v>
      </c>
      <c r="E167" s="103" t="s">
        <v>28</v>
      </c>
      <c r="F167" s="106"/>
      <c r="G167" s="106"/>
      <c r="H167" s="106"/>
      <c r="I167" s="103" t="s">
        <v>33</v>
      </c>
      <c r="J167" s="102" t="s">
        <v>33</v>
      </c>
      <c r="K167" s="1215" t="s">
        <v>29</v>
      </c>
      <c r="L167" s="102" t="s">
        <v>28</v>
      </c>
      <c r="M167" s="103" t="s">
        <v>34</v>
      </c>
      <c r="N167" s="96" t="s">
        <v>29</v>
      </c>
      <c r="O167" s="103" t="s">
        <v>28</v>
      </c>
      <c r="P167" s="1113" t="s">
        <v>28</v>
      </c>
    </row>
    <row r="168" spans="1:16" s="125" customFormat="1" ht="12" customHeight="1">
      <c r="A168" s="2000"/>
      <c r="B168" s="108"/>
      <c r="C168" s="1214"/>
      <c r="D168" s="348"/>
      <c r="E168" s="105"/>
      <c r="F168" s="108" t="s">
        <v>30</v>
      </c>
      <c r="G168" s="108" t="s">
        <v>31</v>
      </c>
      <c r="H168" s="108" t="s">
        <v>32</v>
      </c>
      <c r="I168" s="103" t="s">
        <v>39</v>
      </c>
      <c r="J168" s="102" t="s">
        <v>39</v>
      </c>
      <c r="K168" s="74"/>
      <c r="L168" s="1213"/>
      <c r="M168" s="104"/>
      <c r="N168" s="438"/>
      <c r="O168" s="561"/>
      <c r="P168" s="560"/>
    </row>
    <row r="169" spans="1:16" ht="5.0999999999999996" customHeight="1">
      <c r="A169" s="604"/>
      <c r="B169" s="376"/>
      <c r="C169" s="134"/>
      <c r="D169" s="133"/>
      <c r="E169" s="382"/>
      <c r="F169" s="133"/>
      <c r="G169" s="133"/>
      <c r="H169" s="382"/>
      <c r="I169" s="382"/>
      <c r="J169" s="376"/>
      <c r="K169" s="134"/>
      <c r="L169" s="133"/>
      <c r="M169" s="133"/>
      <c r="N169" s="134"/>
      <c r="O169" s="82"/>
      <c r="P169" s="546"/>
    </row>
    <row r="170" spans="1:16" ht="11.1" customHeight="1">
      <c r="A170" s="2029" t="s">
        <v>59</v>
      </c>
      <c r="B170" s="359" t="s">
        <v>303</v>
      </c>
      <c r="C170" s="568">
        <f t="shared" ref="C170:P170" si="15">SUM(C172:C176)</f>
        <v>189</v>
      </c>
      <c r="D170" s="570">
        <f t="shared" si="15"/>
        <v>87</v>
      </c>
      <c r="E170" s="559">
        <f t="shared" si="15"/>
        <v>99</v>
      </c>
      <c r="F170" s="568">
        <f t="shared" si="15"/>
        <v>69</v>
      </c>
      <c r="G170" s="570">
        <f t="shared" si="15"/>
        <v>54</v>
      </c>
      <c r="H170" s="559">
        <f t="shared" si="15"/>
        <v>63</v>
      </c>
      <c r="I170" s="679">
        <f t="shared" si="15"/>
        <v>84</v>
      </c>
      <c r="J170" s="679">
        <f t="shared" si="15"/>
        <v>36</v>
      </c>
      <c r="K170" s="568">
        <f t="shared" si="15"/>
        <v>54</v>
      </c>
      <c r="L170" s="570">
        <f t="shared" si="15"/>
        <v>27</v>
      </c>
      <c r="M170" s="559">
        <f t="shared" si="15"/>
        <v>30</v>
      </c>
      <c r="N170" s="568">
        <f t="shared" si="15"/>
        <v>36</v>
      </c>
      <c r="O170" s="570">
        <f t="shared" si="15"/>
        <v>15</v>
      </c>
      <c r="P170" s="569">
        <f t="shared" si="15"/>
        <v>18</v>
      </c>
    </row>
    <row r="171" spans="1:16" ht="5.0999999999999996" customHeight="1">
      <c r="A171" s="2029"/>
      <c r="B171" s="107"/>
      <c r="C171" s="1119"/>
      <c r="D171" s="689"/>
      <c r="E171" s="690"/>
      <c r="F171" s="689"/>
      <c r="G171" s="689"/>
      <c r="H171" s="690"/>
      <c r="I171" s="690"/>
      <c r="J171" s="691"/>
      <c r="K171" s="1119"/>
      <c r="L171" s="689"/>
      <c r="M171" s="689"/>
      <c r="N171" s="1119"/>
      <c r="O171" s="689"/>
      <c r="P171" s="685"/>
    </row>
    <row r="172" spans="1:16" ht="11.1" customHeight="1">
      <c r="A172" s="2029"/>
      <c r="B172" s="355" t="s">
        <v>98</v>
      </c>
      <c r="C172" s="684">
        <v>141</v>
      </c>
      <c r="D172" s="555">
        <v>66</v>
      </c>
      <c r="E172" s="556">
        <v>75</v>
      </c>
      <c r="F172" s="555">
        <v>54</v>
      </c>
      <c r="G172" s="555">
        <v>39</v>
      </c>
      <c r="H172" s="556">
        <v>48</v>
      </c>
      <c r="I172" s="678">
        <v>60</v>
      </c>
      <c r="J172" s="678">
        <v>27</v>
      </c>
      <c r="K172" s="684">
        <v>48</v>
      </c>
      <c r="L172" s="555">
        <v>24</v>
      </c>
      <c r="M172" s="555">
        <v>27</v>
      </c>
      <c r="N172" s="684">
        <v>30</v>
      </c>
      <c r="O172" s="555">
        <v>12</v>
      </c>
      <c r="P172" s="688">
        <v>15</v>
      </c>
    </row>
    <row r="173" spans="1:16" ht="11.1" customHeight="1">
      <c r="A173" s="2029"/>
      <c r="B173" s="355" t="s">
        <v>99</v>
      </c>
      <c r="C173" s="684">
        <v>33</v>
      </c>
      <c r="D173" s="555">
        <v>15</v>
      </c>
      <c r="E173" s="556">
        <v>18</v>
      </c>
      <c r="F173" s="555">
        <v>12</v>
      </c>
      <c r="G173" s="555">
        <v>9</v>
      </c>
      <c r="H173" s="556">
        <v>9</v>
      </c>
      <c r="I173" s="678">
        <v>18</v>
      </c>
      <c r="J173" s="678">
        <v>6</v>
      </c>
      <c r="K173" s="684">
        <v>6</v>
      </c>
      <c r="L173" s="555">
        <v>3</v>
      </c>
      <c r="M173" s="555">
        <v>3</v>
      </c>
      <c r="N173" s="684">
        <v>6</v>
      </c>
      <c r="O173" s="555">
        <v>3</v>
      </c>
      <c r="P173" s="688">
        <v>3</v>
      </c>
    </row>
    <row r="174" spans="1:16" ht="11.1" customHeight="1">
      <c r="A174" s="2029"/>
      <c r="B174" s="355" t="s">
        <v>100</v>
      </c>
      <c r="C174" s="684">
        <v>12</v>
      </c>
      <c r="D174" s="555">
        <v>6</v>
      </c>
      <c r="E174" s="556">
        <v>6</v>
      </c>
      <c r="F174" s="555">
        <v>3</v>
      </c>
      <c r="G174" s="555">
        <v>6</v>
      </c>
      <c r="H174" s="556">
        <v>3</v>
      </c>
      <c r="I174" s="678">
        <v>6</v>
      </c>
      <c r="J174" s="678">
        <v>3</v>
      </c>
      <c r="K174" s="684">
        <v>0</v>
      </c>
      <c r="L174" s="555">
        <v>0</v>
      </c>
      <c r="M174" s="555">
        <v>0</v>
      </c>
      <c r="N174" s="684">
        <v>0</v>
      </c>
      <c r="O174" s="555">
        <v>0</v>
      </c>
      <c r="P174" s="688">
        <v>0</v>
      </c>
    </row>
    <row r="175" spans="1:16" ht="11.1" customHeight="1">
      <c r="A175" s="2029"/>
      <c r="B175" s="355" t="s">
        <v>101</v>
      </c>
      <c r="C175" s="684">
        <v>0</v>
      </c>
      <c r="D175" s="555">
        <v>0</v>
      </c>
      <c r="E175" s="556">
        <v>0</v>
      </c>
      <c r="F175" s="555">
        <v>0</v>
      </c>
      <c r="G175" s="555">
        <v>0</v>
      </c>
      <c r="H175" s="556">
        <v>0</v>
      </c>
      <c r="I175" s="404">
        <v>0</v>
      </c>
      <c r="J175" s="678">
        <v>0</v>
      </c>
      <c r="K175" s="684">
        <v>0</v>
      </c>
      <c r="L175" s="555">
        <v>0</v>
      </c>
      <c r="M175" s="555">
        <v>0</v>
      </c>
      <c r="N175" s="684">
        <v>0</v>
      </c>
      <c r="O175" s="555">
        <v>0</v>
      </c>
      <c r="P175" s="688">
        <v>0</v>
      </c>
    </row>
    <row r="176" spans="1:16" ht="11.1" customHeight="1">
      <c r="A176" s="2030"/>
      <c r="B176" s="355" t="s">
        <v>102</v>
      </c>
      <c r="C176" s="684">
        <v>3</v>
      </c>
      <c r="D176" s="555">
        <v>0</v>
      </c>
      <c r="E176" s="556">
        <v>0</v>
      </c>
      <c r="F176" s="555">
        <v>0</v>
      </c>
      <c r="G176" s="555">
        <v>0</v>
      </c>
      <c r="H176" s="556">
        <v>3</v>
      </c>
      <c r="I176" s="404">
        <v>0</v>
      </c>
      <c r="J176" s="678">
        <v>0</v>
      </c>
      <c r="K176" s="1272">
        <v>0</v>
      </c>
      <c r="L176" s="1043">
        <v>0</v>
      </c>
      <c r="M176" s="1044">
        <v>0</v>
      </c>
      <c r="N176" s="1272">
        <v>0</v>
      </c>
      <c r="O176" s="1043">
        <v>0</v>
      </c>
      <c r="P176" s="1045">
        <v>0</v>
      </c>
    </row>
    <row r="177" spans="1:16" ht="5.0999999999999996" customHeight="1">
      <c r="A177" s="383"/>
      <c r="B177" s="733"/>
      <c r="C177" s="1120"/>
      <c r="D177" s="698"/>
      <c r="E177" s="554"/>
      <c r="F177" s="698"/>
      <c r="G177" s="698"/>
      <c r="H177" s="554"/>
      <c r="I177" s="699"/>
      <c r="J177" s="700"/>
      <c r="K177" s="702"/>
      <c r="L177" s="555"/>
      <c r="M177" s="555"/>
      <c r="N177" s="1122"/>
      <c r="O177" s="71"/>
      <c r="P177" s="682"/>
    </row>
    <row r="178" spans="1:16" s="11" customFormat="1" ht="13.5" customHeight="1">
      <c r="A178" s="2003" t="s">
        <v>63</v>
      </c>
      <c r="B178" s="1255" t="s">
        <v>303</v>
      </c>
      <c r="C178" s="1256">
        <v>930</v>
      </c>
      <c r="D178" s="1257">
        <v>441</v>
      </c>
      <c r="E178" s="1258">
        <v>492</v>
      </c>
      <c r="F178" s="1257">
        <v>300</v>
      </c>
      <c r="G178" s="1257">
        <v>324</v>
      </c>
      <c r="H178" s="1258">
        <v>306</v>
      </c>
      <c r="I178" s="1258">
        <v>402</v>
      </c>
      <c r="J178" s="1258">
        <v>147</v>
      </c>
      <c r="K178" s="1256">
        <v>324</v>
      </c>
      <c r="L178" s="1257">
        <v>180</v>
      </c>
      <c r="M178" s="1258">
        <v>144</v>
      </c>
      <c r="N178" s="1256">
        <v>243</v>
      </c>
      <c r="O178" s="1257">
        <v>135</v>
      </c>
      <c r="P178" s="1259">
        <v>108</v>
      </c>
    </row>
    <row r="179" spans="1:16" ht="5.0999999999999996" customHeight="1">
      <c r="A179" s="2003"/>
      <c r="B179" s="1260"/>
      <c r="C179" s="1256"/>
      <c r="D179" s="1257"/>
      <c r="E179" s="1258"/>
      <c r="F179" s="1257"/>
      <c r="G179" s="1257"/>
      <c r="H179" s="1258"/>
      <c r="I179" s="1257"/>
      <c r="J179" s="1261"/>
      <c r="K179" s="1256"/>
      <c r="L179" s="1257"/>
      <c r="M179" s="1258"/>
      <c r="N179" s="1262"/>
      <c r="O179" s="1263"/>
      <c r="P179" s="1264"/>
    </row>
    <row r="180" spans="1:16" ht="13.5" customHeight="1">
      <c r="A180" s="2003"/>
      <c r="B180" s="1265" t="s">
        <v>98</v>
      </c>
      <c r="C180" s="1269">
        <v>657</v>
      </c>
      <c r="D180" s="1266">
        <v>288</v>
      </c>
      <c r="E180" s="1267">
        <v>369</v>
      </c>
      <c r="F180" s="1266">
        <v>243</v>
      </c>
      <c r="G180" s="1266">
        <v>216</v>
      </c>
      <c r="H180" s="1267">
        <v>198</v>
      </c>
      <c r="I180" s="1267">
        <v>285</v>
      </c>
      <c r="J180" s="1267">
        <v>96</v>
      </c>
      <c r="K180" s="1269">
        <v>213</v>
      </c>
      <c r="L180" s="1266">
        <v>105</v>
      </c>
      <c r="M180" s="1267">
        <v>108</v>
      </c>
      <c r="N180" s="1269">
        <v>156</v>
      </c>
      <c r="O180" s="1266">
        <v>78</v>
      </c>
      <c r="P180" s="1268">
        <v>81</v>
      </c>
    </row>
    <row r="181" spans="1:16" ht="13.5" customHeight="1">
      <c r="A181" s="2003"/>
      <c r="B181" s="1265" t="s">
        <v>99</v>
      </c>
      <c r="C181" s="1269">
        <v>81</v>
      </c>
      <c r="D181" s="1266">
        <v>36</v>
      </c>
      <c r="E181" s="1267">
        <v>45</v>
      </c>
      <c r="F181" s="1266">
        <v>24</v>
      </c>
      <c r="G181" s="1266">
        <v>24</v>
      </c>
      <c r="H181" s="1267">
        <v>33</v>
      </c>
      <c r="I181" s="1267">
        <v>30</v>
      </c>
      <c r="J181" s="1267">
        <v>27</v>
      </c>
      <c r="K181" s="1269">
        <v>33</v>
      </c>
      <c r="L181" s="1266">
        <v>18</v>
      </c>
      <c r="M181" s="1267">
        <v>15</v>
      </c>
      <c r="N181" s="1269">
        <v>27</v>
      </c>
      <c r="O181" s="1266">
        <v>15</v>
      </c>
      <c r="P181" s="1268">
        <v>12</v>
      </c>
    </row>
    <row r="182" spans="1:16" ht="13.5" customHeight="1">
      <c r="A182" s="2003"/>
      <c r="B182" s="1265" t="s">
        <v>100</v>
      </c>
      <c r="C182" s="1269">
        <v>75</v>
      </c>
      <c r="D182" s="1266">
        <v>39</v>
      </c>
      <c r="E182" s="1267">
        <v>36</v>
      </c>
      <c r="F182" s="1269">
        <v>12</v>
      </c>
      <c r="G182" s="1266">
        <v>36</v>
      </c>
      <c r="H182" s="1267">
        <v>27</v>
      </c>
      <c r="I182" s="1270">
        <v>36</v>
      </c>
      <c r="J182" s="1270">
        <v>15</v>
      </c>
      <c r="K182" s="1269">
        <v>24</v>
      </c>
      <c r="L182" s="1266">
        <v>18</v>
      </c>
      <c r="M182" s="1267">
        <v>9</v>
      </c>
      <c r="N182" s="1269">
        <v>15</v>
      </c>
      <c r="O182" s="1266">
        <v>12</v>
      </c>
      <c r="P182" s="1268">
        <v>6</v>
      </c>
    </row>
    <row r="183" spans="1:16" ht="13.5" customHeight="1">
      <c r="A183" s="2003"/>
      <c r="B183" s="1265" t="s">
        <v>101</v>
      </c>
      <c r="C183" s="1269">
        <v>60</v>
      </c>
      <c r="D183" s="1266">
        <v>42</v>
      </c>
      <c r="E183" s="1267">
        <v>18</v>
      </c>
      <c r="F183" s="1269">
        <v>18</v>
      </c>
      <c r="G183" s="1266">
        <v>18</v>
      </c>
      <c r="H183" s="1267">
        <v>27</v>
      </c>
      <c r="I183" s="1270">
        <v>24</v>
      </c>
      <c r="J183" s="1270">
        <v>6</v>
      </c>
      <c r="K183" s="1269">
        <v>36</v>
      </c>
      <c r="L183" s="1266">
        <v>27</v>
      </c>
      <c r="M183" s="1267">
        <v>9</v>
      </c>
      <c r="N183" s="1269">
        <v>27</v>
      </c>
      <c r="O183" s="1266">
        <v>18</v>
      </c>
      <c r="P183" s="1268">
        <v>9</v>
      </c>
    </row>
    <row r="184" spans="1:16" ht="13.5" customHeight="1">
      <c r="A184" s="2003"/>
      <c r="B184" s="1265" t="s">
        <v>102</v>
      </c>
      <c r="C184" s="1269">
        <v>57</v>
      </c>
      <c r="D184" s="1266">
        <v>36</v>
      </c>
      <c r="E184" s="1267">
        <v>21</v>
      </c>
      <c r="F184" s="1269">
        <v>6</v>
      </c>
      <c r="G184" s="1266">
        <v>30</v>
      </c>
      <c r="H184" s="1267">
        <v>21</v>
      </c>
      <c r="I184" s="1270">
        <v>27</v>
      </c>
      <c r="J184" s="1270">
        <v>3</v>
      </c>
      <c r="K184" s="1269">
        <v>18</v>
      </c>
      <c r="L184" s="1266">
        <v>15</v>
      </c>
      <c r="M184" s="1267">
        <v>3</v>
      </c>
      <c r="N184" s="1269">
        <v>18</v>
      </c>
      <c r="O184" s="1266">
        <v>15</v>
      </c>
      <c r="P184" s="1268">
        <v>3</v>
      </c>
    </row>
    <row r="185" spans="1:16" ht="5.0999999999999996" customHeight="1" thickBot="1">
      <c r="A185" s="384"/>
      <c r="B185" s="203"/>
      <c r="C185" s="1121"/>
      <c r="D185" s="202"/>
      <c r="E185" s="380"/>
      <c r="F185" s="202"/>
      <c r="G185" s="202"/>
      <c r="H185" s="380"/>
      <c r="I185" s="202"/>
      <c r="J185" s="203"/>
      <c r="K185" s="1121"/>
      <c r="L185" s="202"/>
      <c r="M185" s="202"/>
      <c r="N185" s="1104"/>
      <c r="O185" s="305"/>
      <c r="P185" s="306"/>
    </row>
    <row r="186" spans="1:16" s="11" customFormat="1" ht="5.0999999999999996" customHeight="1">
      <c r="A186" s="357"/>
      <c r="B186" s="129"/>
      <c r="C186" s="129"/>
      <c r="D186" s="129"/>
      <c r="E186" s="129"/>
      <c r="F186" s="129"/>
      <c r="G186" s="129"/>
      <c r="H186" s="129"/>
      <c r="I186" s="129"/>
      <c r="J186" s="129"/>
      <c r="K186" s="129"/>
      <c r="L186" s="129"/>
      <c r="M186" s="129"/>
      <c r="N186" s="129"/>
    </row>
    <row r="187" spans="1:16" s="54" customFormat="1" ht="15" customHeight="1">
      <c r="A187" s="70" t="s">
        <v>304</v>
      </c>
      <c r="B187" s="129"/>
      <c r="C187" s="129"/>
      <c r="D187" s="129"/>
      <c r="E187" s="129"/>
      <c r="F187" s="129"/>
      <c r="G187" s="129"/>
      <c r="H187" s="129"/>
      <c r="I187" s="129"/>
      <c r="J187" s="129"/>
      <c r="K187" s="129"/>
      <c r="L187" s="129"/>
      <c r="M187" s="129"/>
      <c r="N187" s="129"/>
    </row>
    <row r="188" spans="1:16" s="54" customFormat="1" ht="20.100000000000001" customHeight="1">
      <c r="A188" s="357"/>
      <c r="B188" s="129"/>
      <c r="C188" s="129"/>
      <c r="D188" s="111"/>
      <c r="E188" s="111"/>
      <c r="F188" s="129"/>
      <c r="G188" s="129"/>
      <c r="H188" s="129"/>
      <c r="I188" s="129"/>
      <c r="J188" s="129"/>
      <c r="K188" s="129" t="s">
        <v>168</v>
      </c>
      <c r="L188" s="129"/>
      <c r="M188" s="129"/>
      <c r="N188" s="129"/>
    </row>
    <row r="189" spans="1:16" s="54" customFormat="1" ht="20.100000000000001" customHeight="1">
      <c r="A189" s="357"/>
      <c r="B189" s="129"/>
      <c r="C189" s="129"/>
      <c r="D189" s="129"/>
      <c r="E189" s="129"/>
      <c r="F189" s="129"/>
      <c r="G189" s="129"/>
      <c r="H189" s="129"/>
      <c r="I189" s="129"/>
      <c r="J189" s="129"/>
      <c r="K189" s="129"/>
      <c r="L189" s="129"/>
      <c r="M189" s="129"/>
      <c r="N189" s="129"/>
    </row>
    <row r="190" spans="1:16" s="54" customFormat="1" ht="20.100000000000001" customHeight="1">
      <c r="A190" s="357"/>
      <c r="B190" s="129"/>
      <c r="C190" s="129"/>
      <c r="D190" s="129"/>
      <c r="E190" s="129"/>
      <c r="F190" s="129"/>
      <c r="G190" s="129"/>
      <c r="H190" s="129"/>
      <c r="I190" s="129"/>
      <c r="J190" s="129"/>
      <c r="K190" s="129"/>
      <c r="L190" s="129"/>
      <c r="M190" s="129"/>
      <c r="N190" s="129"/>
    </row>
    <row r="191" spans="1:16" s="54" customFormat="1" ht="11.25">
      <c r="A191" s="357" t="s">
        <v>63</v>
      </c>
      <c r="B191" s="129" t="s">
        <v>303</v>
      </c>
      <c r="C191" s="129">
        <v>939</v>
      </c>
      <c r="D191" s="129">
        <v>426</v>
      </c>
      <c r="E191" s="129">
        <v>495</v>
      </c>
      <c r="F191" s="129">
        <v>285</v>
      </c>
      <c r="G191" s="129">
        <v>318</v>
      </c>
      <c r="H191" s="129">
        <v>303</v>
      </c>
      <c r="I191" s="129">
        <v>396</v>
      </c>
      <c r="J191" s="129">
        <v>138</v>
      </c>
      <c r="K191" s="129">
        <v>324</v>
      </c>
      <c r="L191" s="129">
        <v>177</v>
      </c>
      <c r="M191" s="129">
        <v>147</v>
      </c>
      <c r="N191" s="129">
        <v>240</v>
      </c>
      <c r="O191" s="82">
        <v>126</v>
      </c>
      <c r="P191" s="82">
        <v>99</v>
      </c>
    </row>
    <row r="192" spans="1:16" s="54" customFormat="1" ht="11.25">
      <c r="A192" s="357"/>
      <c r="B192" s="129" t="s">
        <v>98</v>
      </c>
      <c r="C192" s="129">
        <v>657</v>
      </c>
      <c r="D192" s="129">
        <v>288</v>
      </c>
      <c r="E192" s="129">
        <v>369</v>
      </c>
      <c r="F192" s="129">
        <v>240</v>
      </c>
      <c r="G192" s="129">
        <v>216</v>
      </c>
      <c r="H192" s="129">
        <v>198</v>
      </c>
      <c r="I192" s="129">
        <v>288</v>
      </c>
      <c r="J192" s="129">
        <v>96</v>
      </c>
      <c r="K192" s="129">
        <v>213</v>
      </c>
      <c r="L192" s="129">
        <v>105</v>
      </c>
      <c r="M192" s="129">
        <v>111</v>
      </c>
      <c r="N192" s="129">
        <v>156</v>
      </c>
      <c r="O192" s="82">
        <v>75</v>
      </c>
      <c r="P192" s="82">
        <v>78</v>
      </c>
    </row>
    <row r="193" spans="1:16" s="54" customFormat="1" ht="11.25">
      <c r="A193" s="357"/>
      <c r="B193" s="129" t="s">
        <v>99</v>
      </c>
      <c r="C193" s="129">
        <v>87</v>
      </c>
      <c r="D193" s="129">
        <v>33</v>
      </c>
      <c r="E193" s="129">
        <v>48</v>
      </c>
      <c r="F193" s="129">
        <v>18</v>
      </c>
      <c r="G193" s="129">
        <v>24</v>
      </c>
      <c r="H193" s="129">
        <v>33</v>
      </c>
      <c r="I193" s="129">
        <v>27</v>
      </c>
      <c r="J193" s="129">
        <v>24</v>
      </c>
      <c r="K193" s="129">
        <v>30</v>
      </c>
      <c r="L193" s="129">
        <v>15</v>
      </c>
      <c r="M193" s="129">
        <v>18</v>
      </c>
      <c r="N193" s="129">
        <v>27</v>
      </c>
      <c r="O193" s="82">
        <v>12</v>
      </c>
      <c r="P193" s="82">
        <v>9</v>
      </c>
    </row>
    <row r="194" spans="1:16" ht="11.1" customHeight="1">
      <c r="B194" s="129" t="s">
        <v>100</v>
      </c>
      <c r="C194" s="80">
        <v>78</v>
      </c>
      <c r="D194" s="80">
        <v>42</v>
      </c>
      <c r="E194" s="80">
        <v>39</v>
      </c>
      <c r="F194" s="80">
        <v>6</v>
      </c>
      <c r="G194" s="80">
        <v>36</v>
      </c>
      <c r="H194" s="80">
        <v>27</v>
      </c>
      <c r="I194" s="129">
        <v>33</v>
      </c>
      <c r="J194" s="129">
        <v>15</v>
      </c>
      <c r="K194" s="129">
        <v>24</v>
      </c>
      <c r="L194" s="80">
        <v>18</v>
      </c>
      <c r="M194" s="80">
        <v>6</v>
      </c>
      <c r="N194" s="80">
        <v>12</v>
      </c>
      <c r="O194" s="70">
        <v>12</v>
      </c>
      <c r="P194" s="70">
        <v>0</v>
      </c>
    </row>
    <row r="195" spans="1:16" ht="11.1" customHeight="1">
      <c r="B195" s="129" t="s">
        <v>101</v>
      </c>
      <c r="C195" s="80">
        <v>60</v>
      </c>
      <c r="D195" s="80">
        <v>36</v>
      </c>
      <c r="E195" s="80">
        <v>18</v>
      </c>
      <c r="F195" s="80">
        <v>15</v>
      </c>
      <c r="G195" s="80">
        <v>15</v>
      </c>
      <c r="H195" s="80">
        <v>24</v>
      </c>
      <c r="I195" s="129">
        <v>21</v>
      </c>
      <c r="J195" s="129">
        <v>3</v>
      </c>
      <c r="K195" s="129">
        <v>36</v>
      </c>
      <c r="L195" s="80">
        <v>24</v>
      </c>
      <c r="M195" s="80">
        <v>9</v>
      </c>
      <c r="N195" s="80">
        <v>27</v>
      </c>
      <c r="O195" s="70">
        <v>15</v>
      </c>
      <c r="P195" s="70">
        <v>9</v>
      </c>
    </row>
    <row r="196" spans="1:16" ht="11.1" customHeight="1">
      <c r="B196" s="129" t="s">
        <v>102</v>
      </c>
      <c r="C196" s="80">
        <v>57</v>
      </c>
      <c r="D196" s="80">
        <v>27</v>
      </c>
      <c r="E196" s="80">
        <v>21</v>
      </c>
      <c r="F196" s="80">
        <v>6</v>
      </c>
      <c r="G196" s="80">
        <v>27</v>
      </c>
      <c r="H196" s="80">
        <v>21</v>
      </c>
      <c r="I196" s="129">
        <v>27</v>
      </c>
      <c r="J196" s="129">
        <v>0</v>
      </c>
      <c r="K196" s="129">
        <v>21</v>
      </c>
      <c r="L196" s="80">
        <v>15</v>
      </c>
      <c r="M196" s="80">
        <v>3</v>
      </c>
      <c r="N196" s="80">
        <v>18</v>
      </c>
      <c r="O196" s="70">
        <v>12</v>
      </c>
      <c r="P196" s="70">
        <v>3</v>
      </c>
    </row>
    <row r="197" spans="1:16" ht="11.1" customHeight="1">
      <c r="B197" s="129"/>
      <c r="I197" s="129"/>
      <c r="J197" s="129"/>
      <c r="K197" s="129"/>
    </row>
    <row r="198" spans="1:16" ht="11.1" customHeight="1">
      <c r="A198" s="357" t="s">
        <v>63</v>
      </c>
      <c r="B198" s="129" t="s">
        <v>303</v>
      </c>
      <c r="C198" s="1308">
        <f>C178-C191</f>
        <v>-9</v>
      </c>
      <c r="D198" s="1299">
        <f t="shared" ref="D198:P198" si="16">D178-D191</f>
        <v>15</v>
      </c>
      <c r="E198" s="1308">
        <f t="shared" si="16"/>
        <v>-3</v>
      </c>
      <c r="F198" s="1300">
        <f t="shared" si="16"/>
        <v>15</v>
      </c>
      <c r="G198" s="1300">
        <f t="shared" si="16"/>
        <v>6</v>
      </c>
      <c r="H198" s="1300">
        <f t="shared" si="16"/>
        <v>3</v>
      </c>
      <c r="I198" s="1300">
        <f t="shared" si="16"/>
        <v>6</v>
      </c>
      <c r="J198" s="1300">
        <f t="shared" si="16"/>
        <v>9</v>
      </c>
      <c r="K198" s="1301">
        <f t="shared" si="16"/>
        <v>0</v>
      </c>
      <c r="L198" s="1300">
        <f t="shared" si="16"/>
        <v>3</v>
      </c>
      <c r="M198" s="1308">
        <f t="shared" si="16"/>
        <v>-3</v>
      </c>
      <c r="N198" s="1300">
        <f t="shared" si="16"/>
        <v>3</v>
      </c>
      <c r="O198" s="1343">
        <f t="shared" si="16"/>
        <v>9</v>
      </c>
      <c r="P198" s="1343">
        <f t="shared" si="16"/>
        <v>9</v>
      </c>
    </row>
    <row r="199" spans="1:16" ht="11.1" customHeight="1">
      <c r="A199" s="357"/>
      <c r="B199" s="129" t="s">
        <v>98</v>
      </c>
      <c r="C199" s="1316">
        <f>C180-C192</f>
        <v>0</v>
      </c>
      <c r="D199" s="1301">
        <f t="shared" ref="D199:P199" si="17">D180-D192</f>
        <v>0</v>
      </c>
      <c r="E199" s="1316">
        <f t="shared" si="17"/>
        <v>0</v>
      </c>
      <c r="F199" s="1300">
        <f t="shared" si="17"/>
        <v>3</v>
      </c>
      <c r="G199" s="1301">
        <f t="shared" si="17"/>
        <v>0</v>
      </c>
      <c r="H199" s="1301">
        <f t="shared" si="17"/>
        <v>0</v>
      </c>
      <c r="I199" s="1308">
        <f t="shared" si="17"/>
        <v>-3</v>
      </c>
      <c r="J199" s="1301">
        <f t="shared" si="17"/>
        <v>0</v>
      </c>
      <c r="K199" s="1301">
        <f t="shared" si="17"/>
        <v>0</v>
      </c>
      <c r="L199" s="1301">
        <f t="shared" si="17"/>
        <v>0</v>
      </c>
      <c r="M199" s="1308">
        <f t="shared" si="17"/>
        <v>-3</v>
      </c>
      <c r="N199" s="1301">
        <f t="shared" si="17"/>
        <v>0</v>
      </c>
      <c r="O199" s="1343">
        <f t="shared" si="17"/>
        <v>3</v>
      </c>
      <c r="P199" s="1343">
        <f t="shared" si="17"/>
        <v>3</v>
      </c>
    </row>
    <row r="200" spans="1:16" ht="11.1" customHeight="1">
      <c r="A200" s="357"/>
      <c r="B200" s="129" t="s">
        <v>99</v>
      </c>
      <c r="C200" s="1308">
        <f t="shared" ref="C200:P200" si="18">C181-C193</f>
        <v>-6</v>
      </c>
      <c r="D200" s="1300">
        <f t="shared" si="18"/>
        <v>3</v>
      </c>
      <c r="E200" s="1308">
        <f t="shared" si="18"/>
        <v>-3</v>
      </c>
      <c r="F200" s="1300">
        <f t="shared" si="18"/>
        <v>6</v>
      </c>
      <c r="G200" s="1301">
        <f t="shared" si="18"/>
        <v>0</v>
      </c>
      <c r="H200" s="1301">
        <f t="shared" si="18"/>
        <v>0</v>
      </c>
      <c r="I200" s="1300">
        <f t="shared" si="18"/>
        <v>3</v>
      </c>
      <c r="J200" s="1300">
        <f t="shared" si="18"/>
        <v>3</v>
      </c>
      <c r="K200" s="1299">
        <f t="shared" si="18"/>
        <v>3</v>
      </c>
      <c r="L200" s="1299">
        <f t="shared" si="18"/>
        <v>3</v>
      </c>
      <c r="M200" s="1308">
        <f t="shared" si="18"/>
        <v>-3</v>
      </c>
      <c r="N200" s="1301">
        <f t="shared" si="18"/>
        <v>0</v>
      </c>
      <c r="O200" s="1343">
        <f t="shared" si="18"/>
        <v>3</v>
      </c>
      <c r="P200" s="1343">
        <f t="shared" si="18"/>
        <v>3</v>
      </c>
    </row>
    <row r="201" spans="1:16" ht="11.1" customHeight="1">
      <c r="B201" s="129" t="s">
        <v>100</v>
      </c>
      <c r="C201" s="1317">
        <f t="shared" ref="C201:P201" si="19">C182-C194</f>
        <v>-3</v>
      </c>
      <c r="D201" s="1317">
        <f t="shared" si="19"/>
        <v>-3</v>
      </c>
      <c r="E201" s="1317">
        <f t="shared" si="19"/>
        <v>-3</v>
      </c>
      <c r="F201" s="1307">
        <f t="shared" si="19"/>
        <v>6</v>
      </c>
      <c r="G201" s="1306">
        <f t="shared" si="19"/>
        <v>0</v>
      </c>
      <c r="H201" s="1306">
        <f t="shared" si="19"/>
        <v>0</v>
      </c>
      <c r="I201" s="1300">
        <f t="shared" si="19"/>
        <v>3</v>
      </c>
      <c r="J201" s="1301">
        <f t="shared" si="19"/>
        <v>0</v>
      </c>
      <c r="K201" s="1301">
        <f t="shared" si="19"/>
        <v>0</v>
      </c>
      <c r="L201" s="1306">
        <f t="shared" si="19"/>
        <v>0</v>
      </c>
      <c r="M201" s="1307">
        <f t="shared" si="19"/>
        <v>3</v>
      </c>
      <c r="N201" s="1307">
        <f t="shared" si="19"/>
        <v>3</v>
      </c>
      <c r="O201" s="1319">
        <f t="shared" si="19"/>
        <v>0</v>
      </c>
      <c r="P201" s="1318">
        <f t="shared" si="19"/>
        <v>6</v>
      </c>
    </row>
    <row r="202" spans="1:16" ht="11.1" customHeight="1">
      <c r="B202" s="129" t="s">
        <v>101</v>
      </c>
      <c r="C202" s="1306">
        <f t="shared" ref="C202:P202" si="20">C183-C195</f>
        <v>0</v>
      </c>
      <c r="D202" s="1307">
        <f t="shared" si="20"/>
        <v>6</v>
      </c>
      <c r="E202" s="1306">
        <f t="shared" si="20"/>
        <v>0</v>
      </c>
      <c r="F202" s="1307">
        <f t="shared" si="20"/>
        <v>3</v>
      </c>
      <c r="G202" s="1307">
        <f t="shared" si="20"/>
        <v>3</v>
      </c>
      <c r="H202" s="1307">
        <f t="shared" si="20"/>
        <v>3</v>
      </c>
      <c r="I202" s="1300">
        <f t="shared" si="20"/>
        <v>3</v>
      </c>
      <c r="J202" s="1300">
        <f t="shared" si="20"/>
        <v>3</v>
      </c>
      <c r="K202" s="1301">
        <f t="shared" si="20"/>
        <v>0</v>
      </c>
      <c r="L202" s="1307">
        <f t="shared" si="20"/>
        <v>3</v>
      </c>
      <c r="M202" s="1306">
        <f t="shared" si="20"/>
        <v>0</v>
      </c>
      <c r="N202" s="1306">
        <f t="shared" si="20"/>
        <v>0</v>
      </c>
      <c r="O202" s="1318">
        <f t="shared" si="20"/>
        <v>3</v>
      </c>
      <c r="P202" s="1319">
        <f t="shared" si="20"/>
        <v>0</v>
      </c>
    </row>
    <row r="203" spans="1:16" ht="11.1" customHeight="1">
      <c r="B203" s="129" t="s">
        <v>102</v>
      </c>
      <c r="C203" s="1306">
        <f t="shared" ref="C203:P203" si="21">C184-C196</f>
        <v>0</v>
      </c>
      <c r="D203" s="1307">
        <f t="shared" si="21"/>
        <v>9</v>
      </c>
      <c r="E203" s="1306">
        <f t="shared" si="21"/>
        <v>0</v>
      </c>
      <c r="F203" s="1306">
        <f t="shared" si="21"/>
        <v>0</v>
      </c>
      <c r="G203" s="1307">
        <f t="shared" si="21"/>
        <v>3</v>
      </c>
      <c r="H203" s="1306">
        <f t="shared" si="21"/>
        <v>0</v>
      </c>
      <c r="I203" s="1301">
        <f t="shared" si="21"/>
        <v>0</v>
      </c>
      <c r="J203" s="1300">
        <f t="shared" si="21"/>
        <v>3</v>
      </c>
      <c r="K203" s="1308">
        <f t="shared" si="21"/>
        <v>-3</v>
      </c>
      <c r="L203" s="1306">
        <f t="shared" si="21"/>
        <v>0</v>
      </c>
      <c r="M203" s="1306">
        <f t="shared" si="21"/>
        <v>0</v>
      </c>
      <c r="N203" s="1306">
        <f t="shared" si="21"/>
        <v>0</v>
      </c>
      <c r="O203" s="1318">
        <f t="shared" si="21"/>
        <v>3</v>
      </c>
      <c r="P203" s="1319">
        <f t="shared" si="21"/>
        <v>0</v>
      </c>
    </row>
    <row r="204" spans="1:16" ht="11.1" customHeight="1">
      <c r="I204" s="129"/>
      <c r="J204" s="129"/>
      <c r="K204" s="129"/>
    </row>
    <row r="205" spans="1:16" ht="11.1" customHeight="1">
      <c r="I205" s="129"/>
      <c r="J205" s="129"/>
      <c r="K205" s="129"/>
    </row>
    <row r="206" spans="1:16" ht="11.1" customHeight="1">
      <c r="I206" s="129"/>
      <c r="J206" s="129"/>
      <c r="K206" s="129"/>
    </row>
    <row r="207" spans="1:16" ht="11.1" customHeight="1">
      <c r="I207" s="129"/>
      <c r="J207" s="129"/>
      <c r="K207" s="129"/>
    </row>
    <row r="208" spans="1:16" ht="11.1" customHeight="1">
      <c r="I208" s="129"/>
      <c r="J208" s="129"/>
      <c r="K208" s="129"/>
    </row>
    <row r="209" spans="9:11" ht="11.1" customHeight="1">
      <c r="I209" s="129"/>
      <c r="J209" s="129"/>
      <c r="K209" s="129"/>
    </row>
    <row r="210" spans="9:11" ht="11.1" customHeight="1">
      <c r="I210" s="129"/>
      <c r="J210" s="129"/>
      <c r="K210" s="129"/>
    </row>
    <row r="211" spans="9:11" ht="11.1" customHeight="1">
      <c r="I211" s="129"/>
      <c r="J211" s="129"/>
      <c r="K211" s="129"/>
    </row>
    <row r="212" spans="9:11" ht="11.1" customHeight="1">
      <c r="I212" s="129"/>
      <c r="J212" s="129"/>
      <c r="K212" s="129"/>
    </row>
    <row r="213" spans="9:11" ht="11.1" customHeight="1">
      <c r="I213" s="129"/>
      <c r="J213" s="129"/>
      <c r="K213" s="129"/>
    </row>
    <row r="214" spans="9:11" ht="11.1" customHeight="1">
      <c r="I214" s="129"/>
      <c r="J214" s="129"/>
      <c r="K214" s="129"/>
    </row>
    <row r="215" spans="9:11" ht="11.1" customHeight="1">
      <c r="I215" s="129"/>
      <c r="J215" s="129"/>
      <c r="K215" s="129"/>
    </row>
    <row r="216" spans="9:11" ht="11.1" customHeight="1">
      <c r="I216" s="129"/>
      <c r="J216" s="129"/>
      <c r="K216" s="129"/>
    </row>
    <row r="217" spans="9:11" ht="11.1" customHeight="1">
      <c r="I217" s="129"/>
      <c r="J217" s="129"/>
      <c r="K217" s="129"/>
    </row>
    <row r="218" spans="9:11" ht="11.1" customHeight="1">
      <c r="I218" s="129"/>
      <c r="J218" s="129"/>
      <c r="K218" s="129"/>
    </row>
    <row r="219" spans="9:11" ht="11.1" customHeight="1">
      <c r="I219" s="129"/>
      <c r="J219" s="129"/>
      <c r="K219" s="129"/>
    </row>
    <row r="220" spans="9:11" ht="11.1" customHeight="1">
      <c r="I220" s="129"/>
      <c r="J220" s="129"/>
      <c r="K220" s="129"/>
    </row>
    <row r="221" spans="9:11" ht="11.1" customHeight="1">
      <c r="I221" s="129"/>
      <c r="J221" s="129"/>
      <c r="K221" s="129"/>
    </row>
    <row r="222" spans="9:11" ht="11.1" customHeight="1">
      <c r="I222" s="129"/>
      <c r="J222" s="129"/>
      <c r="K222" s="129"/>
    </row>
    <row r="223" spans="9:11" ht="11.1" customHeight="1">
      <c r="I223" s="129"/>
      <c r="J223" s="129"/>
      <c r="K223" s="129"/>
    </row>
    <row r="224" spans="9:11" ht="11.1" customHeight="1">
      <c r="I224" s="129"/>
      <c r="J224" s="129"/>
      <c r="K224" s="129"/>
    </row>
    <row r="225" spans="9:11" ht="11.1" customHeight="1">
      <c r="I225" s="129"/>
      <c r="J225" s="129"/>
      <c r="K225" s="129"/>
    </row>
    <row r="226" spans="9:11" ht="11.1" customHeight="1">
      <c r="I226" s="129"/>
      <c r="J226" s="129"/>
      <c r="K226" s="129"/>
    </row>
    <row r="227" spans="9:11" ht="11.1" customHeight="1">
      <c r="I227" s="129"/>
      <c r="J227" s="129"/>
      <c r="K227" s="129"/>
    </row>
    <row r="228" spans="9:11" ht="11.1" customHeight="1">
      <c r="I228" s="129"/>
      <c r="J228" s="129"/>
      <c r="K228" s="129"/>
    </row>
    <row r="229" spans="9:11" ht="11.1" customHeight="1">
      <c r="I229" s="129"/>
      <c r="J229" s="129"/>
      <c r="K229" s="129"/>
    </row>
    <row r="230" spans="9:11" ht="11.1" customHeight="1">
      <c r="I230" s="129"/>
      <c r="J230" s="129"/>
      <c r="K230" s="129"/>
    </row>
    <row r="231" spans="9:11" ht="11.1" customHeight="1">
      <c r="I231" s="129"/>
      <c r="J231" s="129"/>
      <c r="K231" s="129"/>
    </row>
    <row r="232" spans="9:11" ht="11.1" customHeight="1">
      <c r="I232" s="129"/>
      <c r="J232" s="129"/>
      <c r="K232" s="129"/>
    </row>
    <row r="233" spans="9:11" ht="11.1" customHeight="1">
      <c r="I233" s="129"/>
      <c r="J233" s="129"/>
      <c r="K233" s="129"/>
    </row>
    <row r="234" spans="9:11" ht="11.1" customHeight="1">
      <c r="I234" s="129"/>
      <c r="J234" s="129"/>
      <c r="K234" s="129"/>
    </row>
    <row r="235" spans="9:11" ht="11.1" customHeight="1">
      <c r="I235" s="129"/>
      <c r="J235" s="129"/>
      <c r="K235" s="129"/>
    </row>
    <row r="236" spans="9:11" ht="11.1" customHeight="1">
      <c r="I236" s="129"/>
      <c r="J236" s="129"/>
      <c r="K236" s="129"/>
    </row>
    <row r="237" spans="9:11" ht="11.1" customHeight="1">
      <c r="I237" s="129"/>
      <c r="J237" s="129"/>
      <c r="K237" s="129"/>
    </row>
    <row r="238" spans="9:11" ht="11.1" customHeight="1">
      <c r="I238" s="129"/>
      <c r="J238" s="129"/>
      <c r="K238" s="129"/>
    </row>
    <row r="239" spans="9:11" ht="11.1" customHeight="1">
      <c r="I239" s="129"/>
      <c r="J239" s="129"/>
      <c r="K239" s="129"/>
    </row>
    <row r="240" spans="9:11" ht="11.1" customHeight="1">
      <c r="I240" s="129"/>
      <c r="J240" s="129"/>
      <c r="K240" s="129"/>
    </row>
    <row r="241" spans="9:11" ht="11.1" customHeight="1">
      <c r="I241" s="129"/>
      <c r="J241" s="129"/>
      <c r="K241" s="129"/>
    </row>
    <row r="242" spans="9:11" ht="11.1" customHeight="1">
      <c r="I242" s="129"/>
      <c r="J242" s="129"/>
      <c r="K242" s="129"/>
    </row>
    <row r="243" spans="9:11" ht="11.1" customHeight="1">
      <c r="I243" s="129"/>
      <c r="J243" s="129"/>
      <c r="K243" s="129"/>
    </row>
    <row r="244" spans="9:11" ht="11.1" customHeight="1">
      <c r="I244" s="129"/>
      <c r="J244" s="129"/>
      <c r="K244" s="129"/>
    </row>
    <row r="245" spans="9:11" ht="11.1" customHeight="1">
      <c r="I245" s="129"/>
      <c r="J245" s="129"/>
      <c r="K245" s="129"/>
    </row>
    <row r="246" spans="9:11" ht="11.1" customHeight="1">
      <c r="I246" s="129"/>
      <c r="J246" s="129"/>
      <c r="K246" s="129"/>
    </row>
    <row r="247" spans="9:11" ht="11.1" customHeight="1">
      <c r="I247" s="129"/>
      <c r="J247" s="129"/>
      <c r="K247" s="129"/>
    </row>
    <row r="248" spans="9:11" ht="11.1" customHeight="1">
      <c r="I248" s="129"/>
      <c r="J248" s="129"/>
      <c r="K248" s="129"/>
    </row>
    <row r="249" spans="9:11" ht="11.1" customHeight="1">
      <c r="I249" s="129"/>
      <c r="J249" s="129"/>
      <c r="K249" s="129"/>
    </row>
    <row r="250" spans="9:11" ht="11.1" customHeight="1">
      <c r="I250" s="129"/>
      <c r="J250" s="129"/>
      <c r="K250" s="129"/>
    </row>
    <row r="251" spans="9:11" ht="11.1" customHeight="1">
      <c r="I251" s="129"/>
      <c r="J251" s="129"/>
      <c r="K251" s="129"/>
    </row>
    <row r="252" spans="9:11" ht="11.1" customHeight="1">
      <c r="I252" s="129"/>
      <c r="J252" s="129"/>
      <c r="K252" s="129"/>
    </row>
    <row r="253" spans="9:11" ht="11.1" customHeight="1">
      <c r="I253" s="129"/>
      <c r="J253" s="129"/>
      <c r="K253" s="129"/>
    </row>
    <row r="254" spans="9:11" ht="11.1" customHeight="1">
      <c r="I254" s="129"/>
      <c r="J254" s="129"/>
      <c r="K254" s="129"/>
    </row>
    <row r="255" spans="9:11" ht="11.1" customHeight="1">
      <c r="I255" s="129"/>
      <c r="J255" s="129"/>
      <c r="K255" s="129"/>
    </row>
    <row r="256" spans="9:11" ht="11.1" customHeight="1">
      <c r="I256" s="129"/>
      <c r="J256" s="129"/>
      <c r="K256" s="129"/>
    </row>
    <row r="257" spans="9:11" ht="11.1" customHeight="1">
      <c r="I257" s="129"/>
      <c r="J257" s="129"/>
      <c r="K257" s="129"/>
    </row>
    <row r="258" spans="9:11" ht="11.1" customHeight="1">
      <c r="I258" s="129"/>
      <c r="J258" s="129"/>
      <c r="K258" s="129"/>
    </row>
    <row r="259" spans="9:11" ht="11.1" customHeight="1">
      <c r="I259" s="129"/>
      <c r="J259" s="129"/>
      <c r="K259" s="129"/>
    </row>
    <row r="260" spans="9:11" ht="11.1" customHeight="1">
      <c r="I260" s="129"/>
      <c r="J260" s="129"/>
      <c r="K260" s="129"/>
    </row>
    <row r="261" spans="9:11" ht="11.1" customHeight="1">
      <c r="I261" s="129"/>
      <c r="J261" s="129"/>
      <c r="K261" s="129"/>
    </row>
    <row r="262" spans="9:11" ht="11.1" customHeight="1">
      <c r="I262" s="129"/>
      <c r="J262" s="129"/>
      <c r="K262" s="129"/>
    </row>
    <row r="263" spans="9:11" ht="11.1" customHeight="1">
      <c r="I263" s="129"/>
      <c r="J263" s="129"/>
      <c r="K263" s="129"/>
    </row>
    <row r="264" spans="9:11" ht="11.1" customHeight="1">
      <c r="I264" s="129"/>
      <c r="J264" s="129"/>
      <c r="K264" s="129"/>
    </row>
    <row r="265" spans="9:11" ht="11.1" customHeight="1">
      <c r="I265" s="129"/>
      <c r="J265" s="129"/>
      <c r="K265" s="129"/>
    </row>
    <row r="266" spans="9:11" ht="11.1" customHeight="1">
      <c r="I266" s="129"/>
      <c r="J266" s="129"/>
      <c r="K266" s="129"/>
    </row>
    <row r="267" spans="9:11" ht="11.1" customHeight="1">
      <c r="I267" s="129"/>
      <c r="J267" s="129"/>
      <c r="K267" s="129"/>
    </row>
    <row r="268" spans="9:11" ht="11.1" customHeight="1">
      <c r="I268" s="129"/>
      <c r="J268" s="129"/>
      <c r="K268" s="129"/>
    </row>
    <row r="269" spans="9:11" ht="11.1" customHeight="1">
      <c r="I269" s="129"/>
      <c r="J269" s="129"/>
      <c r="K269" s="129"/>
    </row>
    <row r="270" spans="9:11" ht="11.1" customHeight="1">
      <c r="I270" s="129"/>
      <c r="J270" s="129"/>
      <c r="K270" s="129"/>
    </row>
    <row r="271" spans="9:11" ht="11.1" customHeight="1">
      <c r="I271" s="129"/>
      <c r="J271" s="129"/>
      <c r="K271" s="129"/>
    </row>
    <row r="272" spans="9:11" ht="11.1" customHeight="1">
      <c r="I272" s="129"/>
      <c r="J272" s="129"/>
      <c r="K272" s="129"/>
    </row>
    <row r="273" spans="9:11" ht="11.1" customHeight="1">
      <c r="I273" s="129"/>
      <c r="J273" s="129"/>
      <c r="K273" s="129"/>
    </row>
    <row r="274" spans="9:11" ht="11.1" customHeight="1">
      <c r="I274" s="129"/>
      <c r="J274" s="129"/>
      <c r="K274" s="129"/>
    </row>
    <row r="275" spans="9:11" ht="11.1" customHeight="1">
      <c r="I275" s="129"/>
      <c r="J275" s="129"/>
      <c r="K275" s="129"/>
    </row>
    <row r="276" spans="9:11" ht="11.1" customHeight="1">
      <c r="I276" s="129"/>
      <c r="J276" s="129"/>
      <c r="K276" s="129"/>
    </row>
    <row r="277" spans="9:11" ht="11.1" customHeight="1">
      <c r="I277" s="129"/>
      <c r="J277" s="129"/>
      <c r="K277" s="129"/>
    </row>
    <row r="278" spans="9:11" ht="11.1" customHeight="1">
      <c r="I278" s="129"/>
      <c r="J278" s="129"/>
      <c r="K278" s="129"/>
    </row>
    <row r="279" spans="9:11" ht="11.1" customHeight="1">
      <c r="I279" s="129"/>
      <c r="J279" s="129"/>
      <c r="K279" s="129"/>
    </row>
    <row r="280" spans="9:11" ht="11.1" customHeight="1">
      <c r="I280" s="129"/>
      <c r="J280" s="129"/>
      <c r="K280" s="129"/>
    </row>
    <row r="281" spans="9:11" ht="11.1" customHeight="1">
      <c r="I281" s="129"/>
      <c r="J281" s="129"/>
      <c r="K281" s="129"/>
    </row>
    <row r="282" spans="9:11" ht="11.1" customHeight="1">
      <c r="I282" s="129"/>
      <c r="J282" s="129"/>
      <c r="K282" s="129"/>
    </row>
    <row r="283" spans="9:11" ht="11.1" customHeight="1">
      <c r="I283" s="129"/>
      <c r="J283" s="129"/>
      <c r="K283" s="129"/>
    </row>
    <row r="284" spans="9:11" ht="11.1" customHeight="1">
      <c r="I284" s="129"/>
      <c r="J284" s="129"/>
      <c r="K284" s="129"/>
    </row>
    <row r="285" spans="9:11" ht="11.1" customHeight="1">
      <c r="I285" s="129"/>
      <c r="J285" s="129"/>
      <c r="K285" s="129"/>
    </row>
    <row r="286" spans="9:11" ht="11.1" customHeight="1">
      <c r="I286" s="129"/>
      <c r="J286" s="129"/>
      <c r="K286" s="129"/>
    </row>
    <row r="287" spans="9:11" ht="11.1" customHeight="1">
      <c r="I287" s="129"/>
      <c r="J287" s="129"/>
      <c r="K287" s="129"/>
    </row>
    <row r="288" spans="9:11" ht="11.1" customHeight="1">
      <c r="I288" s="129"/>
      <c r="J288" s="129"/>
      <c r="K288" s="129"/>
    </row>
    <row r="289" spans="9:11" ht="11.1" customHeight="1">
      <c r="I289" s="129"/>
      <c r="J289" s="129"/>
      <c r="K289" s="129"/>
    </row>
    <row r="290" spans="9:11" ht="11.1" customHeight="1">
      <c r="I290" s="129"/>
      <c r="J290" s="129"/>
      <c r="K290" s="129"/>
    </row>
    <row r="291" spans="9:11" ht="11.1" customHeight="1">
      <c r="I291" s="129"/>
      <c r="J291" s="129"/>
      <c r="K291" s="129"/>
    </row>
    <row r="292" spans="9:11" ht="11.1" customHeight="1">
      <c r="I292" s="129"/>
      <c r="J292" s="129"/>
      <c r="K292" s="129"/>
    </row>
    <row r="293" spans="9:11" ht="11.1" customHeight="1">
      <c r="I293" s="129"/>
      <c r="J293" s="129"/>
      <c r="K293" s="129"/>
    </row>
    <row r="294" spans="9:11" ht="11.1" customHeight="1">
      <c r="I294" s="129"/>
      <c r="J294" s="129"/>
      <c r="K294" s="129"/>
    </row>
    <row r="295" spans="9:11" ht="11.1" customHeight="1">
      <c r="I295" s="129"/>
      <c r="J295" s="129"/>
      <c r="K295" s="129"/>
    </row>
    <row r="296" spans="9:11" ht="11.1" customHeight="1">
      <c r="I296" s="129"/>
      <c r="J296" s="129"/>
      <c r="K296" s="129"/>
    </row>
    <row r="297" spans="9:11" ht="11.1" customHeight="1">
      <c r="I297" s="129"/>
      <c r="J297" s="129"/>
      <c r="K297" s="129"/>
    </row>
    <row r="298" spans="9:11" ht="11.1" customHeight="1">
      <c r="I298" s="129"/>
      <c r="J298" s="129"/>
      <c r="K298" s="129"/>
    </row>
    <row r="299" spans="9:11" ht="11.1" customHeight="1">
      <c r="I299" s="129"/>
      <c r="J299" s="129"/>
      <c r="K299" s="129"/>
    </row>
    <row r="300" spans="9:11" ht="11.1" customHeight="1">
      <c r="I300" s="129"/>
      <c r="J300" s="129"/>
      <c r="K300" s="129"/>
    </row>
    <row r="301" spans="9:11" ht="11.1" customHeight="1">
      <c r="I301" s="129"/>
      <c r="J301" s="129"/>
      <c r="K301" s="129"/>
    </row>
    <row r="302" spans="9:11" ht="11.1" customHeight="1">
      <c r="I302" s="129"/>
      <c r="J302" s="129"/>
      <c r="K302" s="129"/>
    </row>
    <row r="303" spans="9:11" ht="11.1" customHeight="1">
      <c r="I303" s="129"/>
      <c r="J303" s="129"/>
      <c r="K303" s="129"/>
    </row>
    <row r="304" spans="9:11" ht="11.1" customHeight="1">
      <c r="I304" s="129"/>
      <c r="J304" s="129"/>
      <c r="K304" s="129"/>
    </row>
    <row r="305" spans="9:11" ht="11.1" customHeight="1">
      <c r="I305" s="129"/>
      <c r="J305" s="129"/>
      <c r="K305" s="129"/>
    </row>
    <row r="306" spans="9:11" ht="11.1" customHeight="1">
      <c r="I306" s="129"/>
      <c r="J306" s="129"/>
      <c r="K306" s="129"/>
    </row>
    <row r="307" spans="9:11" ht="11.1" customHeight="1">
      <c r="I307" s="129"/>
      <c r="J307" s="129"/>
      <c r="K307" s="129"/>
    </row>
    <row r="308" spans="9:11" ht="11.1" customHeight="1">
      <c r="I308" s="129"/>
      <c r="J308" s="129"/>
      <c r="K308" s="129"/>
    </row>
    <row r="309" spans="9:11" ht="11.1" customHeight="1">
      <c r="I309" s="129"/>
      <c r="J309" s="129"/>
      <c r="K309" s="129"/>
    </row>
    <row r="310" spans="9:11" ht="11.1" customHeight="1">
      <c r="I310" s="129"/>
      <c r="J310" s="129"/>
      <c r="K310" s="129"/>
    </row>
    <row r="311" spans="9:11" ht="11.1" customHeight="1">
      <c r="I311" s="129"/>
      <c r="J311" s="129"/>
      <c r="K311" s="129"/>
    </row>
    <row r="312" spans="9:11" ht="11.1" customHeight="1">
      <c r="I312" s="129"/>
      <c r="J312" s="129"/>
      <c r="K312" s="129"/>
    </row>
    <row r="313" spans="9:11" ht="11.1" customHeight="1">
      <c r="I313" s="129"/>
      <c r="J313" s="129"/>
      <c r="K313" s="129"/>
    </row>
    <row r="314" spans="9:11" ht="11.1" customHeight="1">
      <c r="I314" s="129"/>
      <c r="J314" s="129"/>
      <c r="K314" s="129"/>
    </row>
    <row r="315" spans="9:11" ht="11.1" customHeight="1">
      <c r="I315" s="129"/>
      <c r="J315" s="129"/>
      <c r="K315" s="129"/>
    </row>
    <row r="316" spans="9:11" ht="11.1" customHeight="1">
      <c r="I316" s="129"/>
      <c r="J316" s="129"/>
      <c r="K316" s="129"/>
    </row>
    <row r="317" spans="9:11" ht="11.1" customHeight="1">
      <c r="I317" s="129"/>
      <c r="J317" s="129"/>
      <c r="K317" s="129"/>
    </row>
    <row r="318" spans="9:11" ht="11.1" customHeight="1">
      <c r="I318" s="129"/>
      <c r="J318" s="129"/>
      <c r="K318" s="129"/>
    </row>
    <row r="319" spans="9:11" ht="11.1" customHeight="1">
      <c r="I319" s="129"/>
      <c r="J319" s="129"/>
      <c r="K319" s="129"/>
    </row>
    <row r="320" spans="9:11" ht="11.1" customHeight="1">
      <c r="I320" s="129"/>
      <c r="J320" s="129"/>
      <c r="K320" s="129"/>
    </row>
    <row r="321" spans="9:11" ht="11.1" customHeight="1">
      <c r="I321" s="129"/>
      <c r="J321" s="129"/>
      <c r="K321" s="129"/>
    </row>
    <row r="322" spans="9:11" ht="11.1" customHeight="1">
      <c r="I322" s="129"/>
      <c r="J322" s="129"/>
      <c r="K322" s="129"/>
    </row>
    <row r="323" spans="9:11" ht="11.1" customHeight="1">
      <c r="I323" s="129"/>
      <c r="J323" s="129"/>
      <c r="K323" s="129"/>
    </row>
    <row r="324" spans="9:11" ht="11.1" customHeight="1">
      <c r="I324" s="129"/>
      <c r="J324" s="129"/>
      <c r="K324" s="129"/>
    </row>
    <row r="325" spans="9:11" ht="11.1" customHeight="1">
      <c r="I325" s="129"/>
      <c r="J325" s="129"/>
      <c r="K325" s="129"/>
    </row>
    <row r="326" spans="9:11" ht="11.1" customHeight="1">
      <c r="I326" s="129"/>
      <c r="J326" s="129"/>
      <c r="K326" s="129"/>
    </row>
    <row r="327" spans="9:11" ht="11.1" customHeight="1">
      <c r="I327" s="129"/>
      <c r="J327" s="129"/>
      <c r="K327" s="129"/>
    </row>
    <row r="328" spans="9:11" ht="11.1" customHeight="1">
      <c r="I328" s="129"/>
      <c r="J328" s="129"/>
      <c r="K328" s="129"/>
    </row>
    <row r="329" spans="9:11" ht="11.1" customHeight="1">
      <c r="I329" s="129"/>
      <c r="J329" s="129"/>
      <c r="K329" s="129"/>
    </row>
    <row r="330" spans="9:11" ht="11.1" customHeight="1">
      <c r="I330" s="129"/>
      <c r="J330" s="129"/>
      <c r="K330" s="129"/>
    </row>
    <row r="331" spans="9:11" ht="11.1" customHeight="1">
      <c r="I331" s="129"/>
      <c r="J331" s="129"/>
      <c r="K331" s="129"/>
    </row>
    <row r="332" spans="9:11" ht="11.1" customHeight="1">
      <c r="I332" s="129"/>
      <c r="J332" s="129"/>
      <c r="K332" s="129"/>
    </row>
    <row r="333" spans="9:11" ht="11.1" customHeight="1">
      <c r="I333" s="129"/>
      <c r="J333" s="129"/>
      <c r="K333" s="129"/>
    </row>
    <row r="334" spans="9:11" ht="11.1" customHeight="1">
      <c r="I334" s="129"/>
      <c r="J334" s="129"/>
      <c r="K334" s="129"/>
    </row>
    <row r="335" spans="9:11" ht="11.1" customHeight="1">
      <c r="I335" s="129"/>
      <c r="J335" s="129"/>
      <c r="K335" s="129"/>
    </row>
    <row r="336" spans="9:11" ht="11.1" customHeight="1">
      <c r="I336" s="129"/>
      <c r="J336" s="129"/>
      <c r="K336" s="129"/>
    </row>
    <row r="337" spans="9:11" ht="11.1" customHeight="1">
      <c r="I337" s="129"/>
      <c r="J337" s="129"/>
      <c r="K337" s="129"/>
    </row>
    <row r="338" spans="9:11" ht="11.1" customHeight="1">
      <c r="I338" s="129"/>
      <c r="J338" s="129"/>
      <c r="K338" s="129"/>
    </row>
    <row r="339" spans="9:11" ht="11.1" customHeight="1">
      <c r="I339" s="129"/>
      <c r="J339" s="129"/>
      <c r="K339" s="129"/>
    </row>
    <row r="340" spans="9:11" ht="11.1" customHeight="1">
      <c r="I340" s="129"/>
      <c r="J340" s="129"/>
      <c r="K340" s="129"/>
    </row>
    <row r="341" spans="9:11" ht="11.1" customHeight="1">
      <c r="I341" s="129"/>
      <c r="J341" s="129"/>
      <c r="K341" s="129"/>
    </row>
    <row r="342" spans="9:11" ht="11.1" customHeight="1">
      <c r="I342" s="129"/>
      <c r="J342" s="129"/>
      <c r="K342" s="129"/>
    </row>
    <row r="343" spans="9:11" ht="11.1" customHeight="1">
      <c r="I343" s="129"/>
      <c r="J343" s="129"/>
      <c r="K343" s="129"/>
    </row>
    <row r="344" spans="9:11" ht="11.1" customHeight="1">
      <c r="I344" s="129"/>
      <c r="J344" s="129"/>
      <c r="K344" s="129"/>
    </row>
    <row r="345" spans="9:11" ht="11.1" customHeight="1">
      <c r="I345" s="129"/>
      <c r="J345" s="129"/>
      <c r="K345" s="129"/>
    </row>
    <row r="346" spans="9:11" ht="11.1" customHeight="1">
      <c r="I346" s="129"/>
      <c r="J346" s="129"/>
      <c r="K346" s="129"/>
    </row>
    <row r="347" spans="9:11" ht="11.1" customHeight="1">
      <c r="I347" s="129"/>
      <c r="J347" s="129"/>
      <c r="K347" s="129"/>
    </row>
    <row r="348" spans="9:11" ht="11.1" customHeight="1">
      <c r="I348" s="129"/>
      <c r="J348" s="129"/>
      <c r="K348" s="129"/>
    </row>
    <row r="349" spans="9:11" ht="11.1" customHeight="1">
      <c r="I349" s="129"/>
      <c r="J349" s="129"/>
      <c r="K349" s="129"/>
    </row>
    <row r="350" spans="9:11" ht="11.1" customHeight="1">
      <c r="I350" s="129"/>
      <c r="J350" s="129"/>
      <c r="K350" s="129"/>
    </row>
    <row r="351" spans="9:11" ht="11.1" customHeight="1">
      <c r="I351" s="129"/>
      <c r="J351" s="129"/>
      <c r="K351" s="129"/>
    </row>
    <row r="352" spans="9:11" ht="11.1" customHeight="1">
      <c r="I352" s="129"/>
      <c r="J352" s="129"/>
      <c r="K352" s="129"/>
    </row>
    <row r="353" spans="9:11" ht="11.1" customHeight="1">
      <c r="I353" s="129"/>
      <c r="J353" s="129"/>
      <c r="K353" s="129"/>
    </row>
    <row r="354" spans="9:11" ht="11.1" customHeight="1">
      <c r="I354" s="129"/>
      <c r="J354" s="129"/>
      <c r="K354" s="129"/>
    </row>
    <row r="355" spans="9:11" ht="11.1" customHeight="1">
      <c r="I355" s="129"/>
      <c r="J355" s="129"/>
      <c r="K355" s="129"/>
    </row>
    <row r="356" spans="9:11" ht="11.1" customHeight="1">
      <c r="I356" s="129"/>
      <c r="J356" s="129"/>
      <c r="K356" s="129"/>
    </row>
    <row r="357" spans="9:11" ht="11.1" customHeight="1">
      <c r="I357" s="129"/>
      <c r="J357" s="129"/>
      <c r="K357" s="129"/>
    </row>
    <row r="358" spans="9:11" ht="11.1" customHeight="1">
      <c r="I358" s="129"/>
      <c r="J358" s="129"/>
      <c r="K358" s="129"/>
    </row>
    <row r="359" spans="9:11" ht="11.1" customHeight="1">
      <c r="I359" s="129"/>
      <c r="J359" s="129"/>
      <c r="K359" s="129"/>
    </row>
    <row r="360" spans="9:11" ht="11.1" customHeight="1">
      <c r="I360" s="129"/>
      <c r="J360" s="129"/>
      <c r="K360" s="129"/>
    </row>
    <row r="361" spans="9:11" ht="11.1" customHeight="1">
      <c r="I361" s="129"/>
      <c r="J361" s="129"/>
      <c r="K361" s="129"/>
    </row>
    <row r="362" spans="9:11" ht="11.1" customHeight="1">
      <c r="I362" s="129"/>
      <c r="J362" s="129"/>
      <c r="K362" s="129"/>
    </row>
    <row r="363" spans="9:11" ht="11.1" customHeight="1">
      <c r="I363" s="129"/>
      <c r="J363" s="129"/>
      <c r="K363" s="129"/>
    </row>
    <row r="364" spans="9:11" ht="11.1" customHeight="1">
      <c r="I364" s="129"/>
      <c r="J364" s="129"/>
      <c r="K364" s="129"/>
    </row>
    <row r="365" spans="9:11" ht="11.1" customHeight="1">
      <c r="I365" s="129"/>
      <c r="J365" s="129"/>
      <c r="K365" s="129"/>
    </row>
    <row r="366" spans="9:11" ht="11.1" customHeight="1">
      <c r="I366" s="129"/>
      <c r="J366" s="129"/>
      <c r="K366" s="129"/>
    </row>
    <row r="367" spans="9:11" ht="11.1" customHeight="1">
      <c r="I367" s="129"/>
      <c r="J367" s="129"/>
      <c r="K367" s="129"/>
    </row>
    <row r="368" spans="9:11" ht="11.1" customHeight="1">
      <c r="I368" s="129"/>
      <c r="J368" s="129"/>
      <c r="K368" s="129"/>
    </row>
    <row r="369" spans="9:11" ht="11.1" customHeight="1">
      <c r="I369" s="129"/>
      <c r="J369" s="129"/>
      <c r="K369" s="129"/>
    </row>
    <row r="370" spans="9:11" ht="11.1" customHeight="1">
      <c r="I370" s="129"/>
      <c r="J370" s="129"/>
      <c r="K370" s="129"/>
    </row>
    <row r="371" spans="9:11" ht="11.1" customHeight="1">
      <c r="I371" s="129"/>
      <c r="J371" s="129"/>
      <c r="K371" s="129"/>
    </row>
    <row r="372" spans="9:11" ht="11.1" customHeight="1">
      <c r="I372" s="129"/>
      <c r="J372" s="129"/>
      <c r="K372" s="129"/>
    </row>
    <row r="373" spans="9:11" ht="11.1" customHeight="1">
      <c r="I373" s="129"/>
      <c r="J373" s="129"/>
      <c r="K373" s="129"/>
    </row>
    <row r="374" spans="9:11" ht="11.1" customHeight="1">
      <c r="I374" s="129"/>
      <c r="J374" s="129"/>
      <c r="K374" s="129"/>
    </row>
    <row r="375" spans="9:11" ht="11.1" customHeight="1">
      <c r="I375" s="129"/>
      <c r="J375" s="129"/>
      <c r="K375" s="129"/>
    </row>
    <row r="376" spans="9:11" ht="11.1" customHeight="1">
      <c r="I376" s="129"/>
      <c r="J376" s="129"/>
      <c r="K376" s="129"/>
    </row>
    <row r="377" spans="9:11" ht="11.1" customHeight="1">
      <c r="I377" s="129"/>
      <c r="J377" s="129"/>
      <c r="K377" s="129"/>
    </row>
    <row r="378" spans="9:11" ht="11.1" customHeight="1">
      <c r="I378" s="129"/>
      <c r="J378" s="129"/>
      <c r="K378" s="129"/>
    </row>
    <row r="379" spans="9:11" ht="11.1" customHeight="1">
      <c r="I379" s="129"/>
      <c r="J379" s="129"/>
      <c r="K379" s="129"/>
    </row>
    <row r="380" spans="9:11" ht="11.1" customHeight="1">
      <c r="I380" s="129"/>
      <c r="J380" s="129"/>
      <c r="K380" s="129"/>
    </row>
    <row r="381" spans="9:11" ht="11.1" customHeight="1">
      <c r="I381" s="129"/>
      <c r="J381" s="129"/>
      <c r="K381" s="129"/>
    </row>
    <row r="382" spans="9:11" ht="11.1" customHeight="1">
      <c r="I382" s="129"/>
      <c r="J382" s="129"/>
      <c r="K382" s="129"/>
    </row>
    <row r="383" spans="9:11" ht="11.1" customHeight="1">
      <c r="I383" s="129"/>
      <c r="J383" s="129"/>
      <c r="K383" s="129"/>
    </row>
    <row r="384" spans="9:11" ht="11.1" customHeight="1">
      <c r="I384" s="129"/>
      <c r="J384" s="129"/>
      <c r="K384" s="129"/>
    </row>
    <row r="385" spans="9:11" ht="11.1" customHeight="1">
      <c r="I385" s="129"/>
      <c r="J385" s="129"/>
      <c r="K385" s="129"/>
    </row>
    <row r="386" spans="9:11" ht="11.1" customHeight="1">
      <c r="I386" s="129"/>
      <c r="J386" s="129"/>
      <c r="K386" s="129"/>
    </row>
    <row r="387" spans="9:11" ht="11.1" customHeight="1">
      <c r="I387" s="129"/>
      <c r="J387" s="129"/>
      <c r="K387" s="129"/>
    </row>
    <row r="388" spans="9:11" ht="11.1" customHeight="1">
      <c r="I388" s="129"/>
      <c r="J388" s="129"/>
      <c r="K388" s="129"/>
    </row>
    <row r="389" spans="9:11" ht="11.1" customHeight="1">
      <c r="I389" s="129"/>
      <c r="J389" s="129"/>
      <c r="K389" s="129"/>
    </row>
  </sheetData>
  <mergeCells count="37">
    <mergeCell ref="A178:A184"/>
    <mergeCell ref="C162:H163"/>
    <mergeCell ref="K162:P163"/>
    <mergeCell ref="I162:I163"/>
    <mergeCell ref="J162:J163"/>
    <mergeCell ref="A170:A176"/>
    <mergeCell ref="A150:A156"/>
    <mergeCell ref="C110:H111"/>
    <mergeCell ref="K110:P111"/>
    <mergeCell ref="I110:I111"/>
    <mergeCell ref="J110:J111"/>
    <mergeCell ref="A97:A104"/>
    <mergeCell ref="A118:A124"/>
    <mergeCell ref="A126:A132"/>
    <mergeCell ref="A134:A140"/>
    <mergeCell ref="A142:A148"/>
    <mergeCell ref="K58:P59"/>
    <mergeCell ref="A66:A72"/>
    <mergeCell ref="A74:A80"/>
    <mergeCell ref="A82:A88"/>
    <mergeCell ref="A90:A96"/>
    <mergeCell ref="A5:P5"/>
    <mergeCell ref="A7:A12"/>
    <mergeCell ref="A58:A64"/>
    <mergeCell ref="A110:A116"/>
    <mergeCell ref="A162:A168"/>
    <mergeCell ref="B6:G6"/>
    <mergeCell ref="K7:P7"/>
    <mergeCell ref="A14:A20"/>
    <mergeCell ref="A22:A28"/>
    <mergeCell ref="A30:A36"/>
    <mergeCell ref="A38:A44"/>
    <mergeCell ref="A46:A52"/>
    <mergeCell ref="C58:H59"/>
    <mergeCell ref="B58:B59"/>
    <mergeCell ref="I58:I59"/>
    <mergeCell ref="J58:J59"/>
  </mergeCells>
  <printOptions horizontalCentered="1"/>
  <pageMargins left="0.19685039370078741" right="0.19685039370078741" top="0.59055118110236227" bottom="0.31496062992125984" header="0.39370078740157483" footer="0.19685039370078741"/>
  <pageSetup paperSize="9" scale="96" fitToHeight="4" orientation="landscape" r:id="rId1"/>
  <headerFooter alignWithMargins="0">
    <oddHeader>&amp;R&amp;"Arial,Standard"&amp;8
&amp;"Times New Roman,Standard"&amp;D</oddHeader>
  </headerFooter>
  <rowBreaks count="3" manualBreakCount="3">
    <brk id="54" max="15" man="1"/>
    <brk id="106" max="15" man="1"/>
    <brk id="158"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O42"/>
  <sheetViews>
    <sheetView zoomScaleNormal="100" workbookViewId="0"/>
  </sheetViews>
  <sheetFormatPr baseColWidth="10" defaultColWidth="11.42578125" defaultRowHeight="16.5"/>
  <cols>
    <col min="1" max="1" width="19" style="1566" customWidth="1"/>
    <col min="2" max="2" width="8" style="1566" customWidth="1"/>
    <col min="3" max="3" width="13.140625" style="1566" bestFit="1" customWidth="1"/>
    <col min="4" max="4" width="14" style="1566" customWidth="1"/>
    <col min="5" max="5" width="12.85546875" style="1566" customWidth="1"/>
    <col min="6" max="7" width="13.42578125" style="1566" customWidth="1"/>
    <col min="8" max="8" width="18.28515625" style="1566" customWidth="1"/>
    <col min="9" max="10" width="17" style="1566" customWidth="1"/>
    <col min="11" max="16384" width="11.42578125" style="1566"/>
  </cols>
  <sheetData>
    <row r="1" spans="1:11" ht="18">
      <c r="A1" s="1599" t="s">
        <v>424</v>
      </c>
      <c r="B1" s="1423"/>
      <c r="C1" s="1423"/>
      <c r="D1" s="1423"/>
      <c r="E1" s="1423"/>
      <c r="F1" s="1423"/>
      <c r="G1" s="1423"/>
      <c r="H1" s="1423"/>
      <c r="I1" s="1423"/>
      <c r="J1" s="1423"/>
    </row>
    <row r="2" spans="1:11" ht="18">
      <c r="A2" s="1600" t="s">
        <v>583</v>
      </c>
      <c r="B2" s="1423"/>
      <c r="C2" s="1423"/>
      <c r="D2" s="1423"/>
      <c r="E2" s="1423"/>
      <c r="F2" s="1423"/>
      <c r="G2" s="1423"/>
      <c r="H2" s="1423"/>
      <c r="I2" s="1423"/>
      <c r="J2" s="1423"/>
    </row>
    <row r="3" spans="1:11" ht="18">
      <c r="A3" s="1600" t="s">
        <v>559</v>
      </c>
      <c r="B3" s="1424"/>
      <c r="C3" s="1423"/>
      <c r="D3" s="1423"/>
      <c r="E3" s="1423"/>
      <c r="F3" s="1423"/>
      <c r="G3" s="1423"/>
      <c r="H3" s="1423"/>
      <c r="I3" s="1423"/>
      <c r="J3" s="1423"/>
    </row>
    <row r="4" spans="1:11" ht="66">
      <c r="A4" s="1708" t="s">
        <v>43</v>
      </c>
      <c r="B4" s="1421" t="s">
        <v>94</v>
      </c>
      <c r="C4" s="1420" t="s">
        <v>416</v>
      </c>
      <c r="D4" s="1409" t="s">
        <v>417</v>
      </c>
      <c r="E4" s="1419" t="s">
        <v>584</v>
      </c>
      <c r="F4" s="1419" t="s">
        <v>420</v>
      </c>
      <c r="G4" s="1419" t="s">
        <v>421</v>
      </c>
      <c r="H4" s="1419" t="s">
        <v>414</v>
      </c>
      <c r="I4" s="1419" t="s">
        <v>415</v>
      </c>
    </row>
    <row r="5" spans="1:11" ht="18">
      <c r="A5" s="1434" t="s">
        <v>437</v>
      </c>
      <c r="B5" s="1394">
        <f>15+6</f>
        <v>21</v>
      </c>
      <c r="C5" s="1395">
        <f>15+6</f>
        <v>21</v>
      </c>
      <c r="D5" s="1396">
        <v>0</v>
      </c>
      <c r="E5" s="1394">
        <v>6</v>
      </c>
      <c r="F5" s="1395">
        <f>6+3</f>
        <v>9</v>
      </c>
      <c r="G5" s="1396">
        <f>3+3</f>
        <v>6</v>
      </c>
      <c r="H5" s="1397">
        <f>3+9</f>
        <v>12</v>
      </c>
      <c r="I5" s="1397">
        <v>0</v>
      </c>
      <c r="K5" s="1788"/>
    </row>
    <row r="6" spans="1:11" ht="18">
      <c r="A6" s="1434" t="s">
        <v>438</v>
      </c>
      <c r="B6" s="1394">
        <v>0</v>
      </c>
      <c r="C6" s="1395">
        <v>0</v>
      </c>
      <c r="D6" s="1396">
        <v>0</v>
      </c>
      <c r="E6" s="1394">
        <v>0</v>
      </c>
      <c r="F6" s="1395">
        <v>0</v>
      </c>
      <c r="G6" s="1396">
        <v>0</v>
      </c>
      <c r="H6" s="1397">
        <v>0</v>
      </c>
      <c r="I6" s="1397">
        <v>0</v>
      </c>
      <c r="K6" s="1788"/>
    </row>
    <row r="7" spans="1:11" ht="18">
      <c r="A7" s="1434" t="s">
        <v>439</v>
      </c>
      <c r="B7" s="1394">
        <f>6+6</f>
        <v>12</v>
      </c>
      <c r="C7" s="1395">
        <f>6+6</f>
        <v>12</v>
      </c>
      <c r="D7" s="1396">
        <v>0</v>
      </c>
      <c r="E7" s="1394">
        <f>3+3</f>
        <v>6</v>
      </c>
      <c r="F7" s="1395">
        <f>3+3</f>
        <v>6</v>
      </c>
      <c r="G7" s="1396">
        <v>3</v>
      </c>
      <c r="H7" s="1397">
        <f>3+3</f>
        <v>6</v>
      </c>
      <c r="I7" s="1397">
        <v>0</v>
      </c>
      <c r="K7" s="1788"/>
    </row>
    <row r="8" spans="1:11" ht="18">
      <c r="A8" s="1434" t="s">
        <v>440</v>
      </c>
      <c r="B8" s="1394">
        <v>0</v>
      </c>
      <c r="C8" s="1395">
        <v>0</v>
      </c>
      <c r="D8" s="1396">
        <v>0</v>
      </c>
      <c r="E8" s="1394">
        <v>0</v>
      </c>
      <c r="F8" s="1395">
        <v>0</v>
      </c>
      <c r="G8" s="1396">
        <v>0</v>
      </c>
      <c r="H8" s="1397">
        <v>0</v>
      </c>
      <c r="I8" s="1397">
        <v>0</v>
      </c>
      <c r="K8" s="1788"/>
    </row>
    <row r="9" spans="1:11" ht="18">
      <c r="A9" s="1434" t="s">
        <v>441</v>
      </c>
      <c r="B9" s="1394">
        <v>9</v>
      </c>
      <c r="C9" s="1395">
        <v>9</v>
      </c>
      <c r="D9" s="1396">
        <v>0</v>
      </c>
      <c r="E9" s="1394">
        <v>6</v>
      </c>
      <c r="F9" s="1395">
        <v>0</v>
      </c>
      <c r="G9" s="1396">
        <v>0</v>
      </c>
      <c r="H9" s="1397">
        <v>6</v>
      </c>
      <c r="I9" s="1397">
        <v>0</v>
      </c>
      <c r="K9" s="1788"/>
    </row>
    <row r="10" spans="1:11" ht="18">
      <c r="A10" s="1434" t="s">
        <v>442</v>
      </c>
      <c r="B10" s="1394">
        <v>3</v>
      </c>
      <c r="C10" s="1395">
        <v>3</v>
      </c>
      <c r="D10" s="1396">
        <v>0</v>
      </c>
      <c r="E10" s="1394">
        <v>0</v>
      </c>
      <c r="F10" s="1395">
        <v>0</v>
      </c>
      <c r="G10" s="1396">
        <v>0</v>
      </c>
      <c r="H10" s="1397">
        <v>0</v>
      </c>
      <c r="I10" s="1397">
        <v>3</v>
      </c>
      <c r="K10" s="1788"/>
    </row>
    <row r="11" spans="1:11" ht="18">
      <c r="A11" s="1434" t="s">
        <v>443</v>
      </c>
      <c r="B11" s="1394">
        <v>3</v>
      </c>
      <c r="C11" s="1395">
        <v>3</v>
      </c>
      <c r="D11" s="1396">
        <v>0</v>
      </c>
      <c r="E11" s="1394">
        <v>0</v>
      </c>
      <c r="F11" s="1395">
        <v>0</v>
      </c>
      <c r="G11" s="1396">
        <v>0</v>
      </c>
      <c r="H11" s="1397">
        <v>3</v>
      </c>
      <c r="I11" s="1397">
        <v>0</v>
      </c>
      <c r="K11" s="1788"/>
    </row>
    <row r="12" spans="1:11" ht="18">
      <c r="A12" s="1434" t="s">
        <v>444</v>
      </c>
      <c r="B12" s="1394">
        <v>3</v>
      </c>
      <c r="C12" s="1395">
        <v>3</v>
      </c>
      <c r="D12" s="1396">
        <v>0</v>
      </c>
      <c r="E12" s="1394">
        <v>0</v>
      </c>
      <c r="F12" s="1395">
        <v>3</v>
      </c>
      <c r="G12" s="1396">
        <v>0</v>
      </c>
      <c r="H12" s="1397">
        <v>0</v>
      </c>
      <c r="I12" s="1397">
        <v>0</v>
      </c>
      <c r="K12" s="1788"/>
    </row>
    <row r="13" spans="1:11" ht="18">
      <c r="A13" s="1434" t="s">
        <v>445</v>
      </c>
      <c r="B13" s="1394">
        <v>48</v>
      </c>
      <c r="C13" s="1395">
        <v>45</v>
      </c>
      <c r="D13" s="1396">
        <v>3</v>
      </c>
      <c r="E13" s="1394">
        <v>9</v>
      </c>
      <c r="F13" s="1395">
        <v>24</v>
      </c>
      <c r="G13" s="1396">
        <v>15</v>
      </c>
      <c r="H13" s="1397">
        <v>15</v>
      </c>
      <c r="I13" s="1397">
        <v>0</v>
      </c>
      <c r="K13" s="1788"/>
    </row>
    <row r="14" spans="1:11" ht="18">
      <c r="A14" s="1434" t="s">
        <v>446</v>
      </c>
      <c r="B14" s="1394">
        <v>0</v>
      </c>
      <c r="C14" s="1395">
        <v>0</v>
      </c>
      <c r="D14" s="1396">
        <v>0</v>
      </c>
      <c r="E14" s="1394">
        <v>0</v>
      </c>
      <c r="F14" s="1395">
        <v>0</v>
      </c>
      <c r="G14" s="1396">
        <v>0</v>
      </c>
      <c r="H14" s="1397">
        <v>0</v>
      </c>
      <c r="I14" s="1397">
        <v>0</v>
      </c>
      <c r="K14" s="1788"/>
    </row>
    <row r="15" spans="1:11" ht="18">
      <c r="A15" s="1434" t="s">
        <v>447</v>
      </c>
      <c r="B15" s="1394">
        <v>0</v>
      </c>
      <c r="C15" s="1395">
        <v>0</v>
      </c>
      <c r="D15" s="1396">
        <v>0</v>
      </c>
      <c r="E15" s="1394">
        <v>0</v>
      </c>
      <c r="F15" s="1395">
        <v>0</v>
      </c>
      <c r="G15" s="1396">
        <v>0</v>
      </c>
      <c r="H15" s="1397">
        <v>0</v>
      </c>
      <c r="I15" s="1397">
        <v>0</v>
      </c>
      <c r="K15" s="1788"/>
    </row>
    <row r="16" spans="1:11" ht="18">
      <c r="A16" s="1434" t="s">
        <v>448</v>
      </c>
      <c r="B16" s="1394">
        <v>3</v>
      </c>
      <c r="C16" s="1395">
        <v>3</v>
      </c>
      <c r="D16" s="1396">
        <v>0</v>
      </c>
      <c r="E16" s="1394">
        <v>0</v>
      </c>
      <c r="F16" s="1395">
        <v>3</v>
      </c>
      <c r="G16" s="1396">
        <v>0</v>
      </c>
      <c r="H16" s="1397">
        <v>0</v>
      </c>
      <c r="I16" s="1397">
        <v>0</v>
      </c>
      <c r="K16" s="1788"/>
    </row>
    <row r="17" spans="1:11" ht="18">
      <c r="A17" s="1434" t="s">
        <v>449</v>
      </c>
      <c r="B17" s="1394">
        <f>9+3</f>
        <v>12</v>
      </c>
      <c r="C17" s="1395">
        <f>9+3</f>
        <v>12</v>
      </c>
      <c r="D17" s="1396">
        <v>0</v>
      </c>
      <c r="E17" s="1394">
        <v>3</v>
      </c>
      <c r="F17" s="1395">
        <v>3</v>
      </c>
      <c r="G17" s="1396">
        <v>3</v>
      </c>
      <c r="H17" s="1397">
        <f>3+0</f>
        <v>3</v>
      </c>
      <c r="I17" s="1397">
        <v>0</v>
      </c>
      <c r="K17" s="1788"/>
    </row>
    <row r="18" spans="1:11" ht="18">
      <c r="A18" s="1434" t="s">
        <v>450</v>
      </c>
      <c r="B18" s="1394">
        <v>15</v>
      </c>
      <c r="C18" s="1395">
        <v>15</v>
      </c>
      <c r="D18" s="1396">
        <v>0</v>
      </c>
      <c r="E18" s="1394">
        <v>6</v>
      </c>
      <c r="F18" s="1395">
        <v>6</v>
      </c>
      <c r="G18" s="1396">
        <v>3</v>
      </c>
      <c r="H18" s="1397">
        <v>6</v>
      </c>
      <c r="I18" s="1397">
        <v>3</v>
      </c>
      <c r="K18" s="1788"/>
    </row>
    <row r="19" spans="1:11" ht="18">
      <c r="A19" s="1434" t="s">
        <v>451</v>
      </c>
      <c r="B19" s="1394">
        <v>3</v>
      </c>
      <c r="C19" s="1395">
        <v>3</v>
      </c>
      <c r="D19" s="1396">
        <v>0</v>
      </c>
      <c r="E19" s="1394">
        <v>3</v>
      </c>
      <c r="F19" s="1395">
        <v>0</v>
      </c>
      <c r="G19" s="1396">
        <v>0</v>
      </c>
      <c r="H19" s="1397">
        <v>3</v>
      </c>
      <c r="I19" s="1397">
        <v>0</v>
      </c>
      <c r="K19" s="1788"/>
    </row>
    <row r="20" spans="1:11" ht="18">
      <c r="A20" s="1434" t="s">
        <v>452</v>
      </c>
      <c r="B20" s="1394">
        <v>3</v>
      </c>
      <c r="C20" s="1395">
        <v>3</v>
      </c>
      <c r="D20" s="1396">
        <v>0</v>
      </c>
      <c r="E20" s="1394">
        <v>0</v>
      </c>
      <c r="F20" s="1395">
        <v>0</v>
      </c>
      <c r="G20" s="1396">
        <v>3</v>
      </c>
      <c r="H20" s="1397">
        <v>0</v>
      </c>
      <c r="I20" s="1397">
        <v>0</v>
      </c>
      <c r="K20" s="1788"/>
    </row>
    <row r="21" spans="1:11">
      <c r="A21" s="1435" t="s">
        <v>418</v>
      </c>
      <c r="B21" s="1790">
        <v>135</v>
      </c>
      <c r="C21" s="1791">
        <v>129</v>
      </c>
      <c r="D21" s="1791">
        <v>6</v>
      </c>
      <c r="E21" s="1790">
        <v>42</v>
      </c>
      <c r="F21" s="1791">
        <v>54</v>
      </c>
      <c r="G21" s="1792">
        <v>39</v>
      </c>
      <c r="H21" s="1698">
        <v>57</v>
      </c>
      <c r="I21" s="1699">
        <v>12</v>
      </c>
      <c r="K21" s="1788"/>
    </row>
    <row r="22" spans="1:11" ht="18">
      <c r="A22" s="1601" t="s">
        <v>552</v>
      </c>
      <c r="B22" s="1413"/>
      <c r="C22" s="1412"/>
      <c r="D22" s="1412"/>
      <c r="E22" s="1412"/>
      <c r="F22" s="1412"/>
      <c r="G22" s="1412"/>
      <c r="H22" s="1412"/>
      <c r="I22" s="1411"/>
      <c r="J22" s="1411"/>
    </row>
    <row r="23" spans="1:11" ht="66">
      <c r="A23" s="1708" t="s">
        <v>43</v>
      </c>
      <c r="B23" s="1708" t="s">
        <v>475</v>
      </c>
      <c r="C23" s="1706" t="s">
        <v>94</v>
      </c>
      <c r="D23" s="1707" t="s">
        <v>92</v>
      </c>
      <c r="E23" s="1409" t="s">
        <v>93</v>
      </c>
      <c r="F23" s="1419" t="s">
        <v>480</v>
      </c>
      <c r="G23" s="1419" t="s">
        <v>509</v>
      </c>
      <c r="H23" s="1418" t="s">
        <v>510</v>
      </c>
      <c r="I23" s="1408"/>
      <c r="J23" s="1408"/>
    </row>
    <row r="24" spans="1:11" ht="18">
      <c r="A24" s="1434" t="s">
        <v>437</v>
      </c>
      <c r="B24" s="1700"/>
      <c r="C24" s="1394">
        <v>3</v>
      </c>
      <c r="D24" s="1395">
        <v>3</v>
      </c>
      <c r="E24" s="1396">
        <v>0</v>
      </c>
      <c r="F24" s="1394">
        <v>3</v>
      </c>
      <c r="G24" s="1395">
        <v>3</v>
      </c>
      <c r="H24" s="1395">
        <v>0</v>
      </c>
      <c r="I24" s="1402"/>
      <c r="J24" s="1402"/>
    </row>
    <row r="25" spans="1:11" ht="18">
      <c r="A25" s="1434" t="s">
        <v>438</v>
      </c>
      <c r="B25" s="1701"/>
      <c r="C25" s="1394">
        <v>0</v>
      </c>
      <c r="D25" s="1395">
        <v>0</v>
      </c>
      <c r="E25" s="1396">
        <v>0</v>
      </c>
      <c r="F25" s="1394">
        <v>0</v>
      </c>
      <c r="G25" s="1395">
        <v>0</v>
      </c>
      <c r="H25" s="1396">
        <v>0</v>
      </c>
      <c r="I25" s="1402"/>
      <c r="J25" s="1402"/>
    </row>
    <row r="26" spans="1:11" ht="18">
      <c r="A26" s="1434" t="s">
        <v>439</v>
      </c>
      <c r="B26" s="1701"/>
      <c r="C26" s="1394">
        <f>6+3</f>
        <v>9</v>
      </c>
      <c r="D26" s="1395">
        <f>6+3</f>
        <v>9</v>
      </c>
      <c r="E26" s="1396">
        <v>0</v>
      </c>
      <c r="F26" s="1394">
        <f>6+3</f>
        <v>9</v>
      </c>
      <c r="G26" s="1395">
        <f>6+3</f>
        <v>9</v>
      </c>
      <c r="H26" s="1395">
        <v>0</v>
      </c>
      <c r="I26" s="1402"/>
      <c r="J26" s="1402"/>
    </row>
    <row r="27" spans="1:11" ht="18">
      <c r="A27" s="1434" t="s">
        <v>440</v>
      </c>
      <c r="B27" s="1701"/>
      <c r="C27" s="1394">
        <v>0</v>
      </c>
      <c r="D27" s="1395">
        <v>0</v>
      </c>
      <c r="E27" s="1396">
        <v>0</v>
      </c>
      <c r="F27" s="1394">
        <v>0</v>
      </c>
      <c r="G27" s="1395">
        <v>0</v>
      </c>
      <c r="H27" s="1396">
        <v>0</v>
      </c>
      <c r="I27" s="1402"/>
      <c r="J27" s="1402"/>
    </row>
    <row r="28" spans="1:11" ht="18">
      <c r="A28" s="1434" t="s">
        <v>441</v>
      </c>
      <c r="B28" s="1701"/>
      <c r="C28" s="1394">
        <v>6</v>
      </c>
      <c r="D28" s="1395">
        <v>6</v>
      </c>
      <c r="E28" s="1396">
        <v>0</v>
      </c>
      <c r="F28" s="1394">
        <v>6</v>
      </c>
      <c r="G28" s="1395">
        <v>6</v>
      </c>
      <c r="H28" s="1395">
        <v>0</v>
      </c>
      <c r="I28" s="1402"/>
      <c r="J28" s="1402"/>
    </row>
    <row r="29" spans="1:11" ht="18">
      <c r="A29" s="1434" t="s">
        <v>442</v>
      </c>
      <c r="B29" s="1701"/>
      <c r="C29" s="1394">
        <v>0</v>
      </c>
      <c r="D29" s="1395">
        <v>0</v>
      </c>
      <c r="E29" s="1396">
        <v>0</v>
      </c>
      <c r="F29" s="1394">
        <v>0</v>
      </c>
      <c r="G29" s="1395">
        <v>0</v>
      </c>
      <c r="H29" s="1395">
        <v>0</v>
      </c>
      <c r="I29" s="1408"/>
      <c r="J29" s="1402"/>
    </row>
    <row r="30" spans="1:11" ht="18">
      <c r="A30" s="1434" t="s">
        <v>443</v>
      </c>
      <c r="B30" s="1701"/>
      <c r="C30" s="1394">
        <v>0</v>
      </c>
      <c r="D30" s="1395">
        <v>0</v>
      </c>
      <c r="E30" s="1396">
        <v>0</v>
      </c>
      <c r="F30" s="1394">
        <v>0</v>
      </c>
      <c r="G30" s="1395">
        <v>0</v>
      </c>
      <c r="H30" s="1395">
        <v>0</v>
      </c>
      <c r="I30" s="1402"/>
      <c r="J30" s="1402"/>
    </row>
    <row r="31" spans="1:11" ht="18">
      <c r="A31" s="1434" t="s">
        <v>444</v>
      </c>
      <c r="B31" s="1701"/>
      <c r="C31" s="1394">
        <v>0</v>
      </c>
      <c r="D31" s="1395">
        <v>0</v>
      </c>
      <c r="E31" s="1396">
        <v>0</v>
      </c>
      <c r="F31" s="1394">
        <v>0</v>
      </c>
      <c r="G31" s="1395">
        <v>0</v>
      </c>
      <c r="H31" s="1395">
        <v>0</v>
      </c>
      <c r="I31" s="1402"/>
      <c r="J31" s="1402"/>
    </row>
    <row r="32" spans="1:11" ht="18">
      <c r="A32" s="1434" t="s">
        <v>445</v>
      </c>
      <c r="B32" s="1701"/>
      <c r="C32" s="1394">
        <v>12</v>
      </c>
      <c r="D32" s="1395">
        <v>12</v>
      </c>
      <c r="E32" s="1396">
        <v>0</v>
      </c>
      <c r="F32" s="1394">
        <v>9</v>
      </c>
      <c r="G32" s="1395">
        <v>9</v>
      </c>
      <c r="H32" s="1395">
        <v>0</v>
      </c>
      <c r="I32" s="1402"/>
      <c r="J32" s="1402"/>
    </row>
    <row r="33" spans="1:15" ht="18">
      <c r="A33" s="1434" t="s">
        <v>446</v>
      </c>
      <c r="B33" s="1701"/>
      <c r="C33" s="1394">
        <v>0</v>
      </c>
      <c r="D33" s="1395">
        <v>0</v>
      </c>
      <c r="E33" s="1396">
        <v>0</v>
      </c>
      <c r="F33" s="1394">
        <v>0</v>
      </c>
      <c r="G33" s="1395">
        <v>0</v>
      </c>
      <c r="H33" s="1396">
        <v>0</v>
      </c>
      <c r="I33" s="1402"/>
      <c r="J33" s="1402"/>
    </row>
    <row r="34" spans="1:15" ht="18">
      <c r="A34" s="1434" t="s">
        <v>447</v>
      </c>
      <c r="B34" s="1701"/>
      <c r="C34" s="1394">
        <v>0</v>
      </c>
      <c r="D34" s="1395">
        <v>0</v>
      </c>
      <c r="E34" s="1396">
        <v>0</v>
      </c>
      <c r="F34" s="1394">
        <v>0</v>
      </c>
      <c r="G34" s="1395">
        <v>0</v>
      </c>
      <c r="H34" s="1396">
        <v>0</v>
      </c>
      <c r="I34" s="1402"/>
      <c r="J34" s="1402"/>
    </row>
    <row r="35" spans="1:15" ht="18">
      <c r="A35" s="1434" t="s">
        <v>448</v>
      </c>
      <c r="B35" s="1701"/>
      <c r="C35" s="1394">
        <v>0</v>
      </c>
      <c r="D35" s="1395">
        <v>0</v>
      </c>
      <c r="E35" s="1396">
        <v>0</v>
      </c>
      <c r="F35" s="1394">
        <v>0</v>
      </c>
      <c r="G35" s="1395">
        <v>0</v>
      </c>
      <c r="H35" s="1396">
        <v>0</v>
      </c>
      <c r="I35" s="1402"/>
      <c r="J35" s="1402"/>
    </row>
    <row r="36" spans="1:15" ht="18">
      <c r="A36" s="1434" t="s">
        <v>449</v>
      </c>
      <c r="B36" s="1701"/>
      <c r="C36" s="1394">
        <v>3</v>
      </c>
      <c r="D36" s="1395">
        <v>3</v>
      </c>
      <c r="E36" s="1396">
        <v>0</v>
      </c>
      <c r="F36" s="1394">
        <v>3</v>
      </c>
      <c r="G36" s="1395">
        <v>3</v>
      </c>
      <c r="H36" s="1395">
        <v>0</v>
      </c>
      <c r="I36" s="1402"/>
      <c r="J36" s="1402"/>
    </row>
    <row r="37" spans="1:15" ht="18">
      <c r="A37" s="1434" t="s">
        <v>450</v>
      </c>
      <c r="B37" s="1701"/>
      <c r="C37" s="1394">
        <v>9</v>
      </c>
      <c r="D37" s="1395">
        <v>9</v>
      </c>
      <c r="E37" s="1396">
        <v>0</v>
      </c>
      <c r="F37" s="1394">
        <v>9</v>
      </c>
      <c r="G37" s="1395">
        <v>9</v>
      </c>
      <c r="H37" s="1395">
        <v>0</v>
      </c>
      <c r="I37" s="1402"/>
      <c r="J37" s="1402"/>
    </row>
    <row r="38" spans="1:15" ht="18">
      <c r="A38" s="1434" t="s">
        <v>451</v>
      </c>
      <c r="B38" s="1701"/>
      <c r="C38" s="1394">
        <v>3</v>
      </c>
      <c r="D38" s="1395">
        <v>3</v>
      </c>
      <c r="E38" s="1396">
        <v>0</v>
      </c>
      <c r="F38" s="1394">
        <v>3</v>
      </c>
      <c r="G38" s="1395">
        <v>3</v>
      </c>
      <c r="H38" s="1395">
        <v>0</v>
      </c>
      <c r="I38" s="1402"/>
      <c r="J38" s="1402"/>
    </row>
    <row r="39" spans="1:15" ht="18">
      <c r="A39" s="1434" t="s">
        <v>452</v>
      </c>
      <c r="B39" s="1702"/>
      <c r="C39" s="1394">
        <v>0</v>
      </c>
      <c r="D39" s="1395">
        <v>0</v>
      </c>
      <c r="E39" s="1396">
        <v>0</v>
      </c>
      <c r="F39" s="1394">
        <v>0</v>
      </c>
      <c r="G39" s="1395">
        <v>0</v>
      </c>
      <c r="H39" s="1395">
        <v>0</v>
      </c>
      <c r="I39" s="1402"/>
      <c r="J39" s="1402"/>
    </row>
    <row r="40" spans="1:15" ht="18">
      <c r="A40" s="1435" t="s">
        <v>418</v>
      </c>
      <c r="B40" s="1710"/>
      <c r="C40" s="1790">
        <v>51</v>
      </c>
      <c r="D40" s="1791">
        <v>51</v>
      </c>
      <c r="E40" s="1791">
        <v>0</v>
      </c>
      <c r="F40" s="1793">
        <v>48</v>
      </c>
      <c r="G40" s="1791">
        <v>45</v>
      </c>
      <c r="H40" s="1791">
        <v>0</v>
      </c>
      <c r="I40" s="1402"/>
      <c r="J40" s="1402"/>
      <c r="K40" s="1402"/>
      <c r="L40" s="1402"/>
      <c r="M40" s="1402"/>
      <c r="N40" s="1402"/>
      <c r="O40" s="1402"/>
    </row>
    <row r="41" spans="1:15" ht="18">
      <c r="A41" s="1399" t="s">
        <v>498</v>
      </c>
      <c r="B41" s="1399"/>
      <c r="C41" s="1406"/>
      <c r="D41" s="1405"/>
      <c r="E41" s="1407"/>
      <c r="F41" s="1406"/>
      <c r="G41" s="1405"/>
      <c r="H41" s="1609"/>
      <c r="I41" s="1402"/>
      <c r="J41" s="1402"/>
    </row>
    <row r="42" spans="1:15" ht="18">
      <c r="A42" s="1402" t="s">
        <v>542</v>
      </c>
      <c r="B42" s="1402"/>
    </row>
  </sheetData>
  <printOptions horizontalCentered="1"/>
  <pageMargins left="0.70866141732283472" right="0.70866141732283472" top="0.78740157480314965" bottom="0.78740157480314965" header="0.31496062992125984" footer="0.31496062992125984"/>
  <pageSetup paperSize="9" scale="97" orientation="landscape" r:id="rId1"/>
  <rowBreaks count="1" manualBreakCount="1">
    <brk id="21" max="16383" man="1"/>
  </rowBreaks>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499984740745262"/>
  </sheetPr>
  <dimension ref="A1:AD37"/>
  <sheetViews>
    <sheetView zoomScaleNormal="100" zoomScaleSheetLayoutView="100" workbookViewId="0">
      <selection activeCell="N37" sqref="N37"/>
    </sheetView>
  </sheetViews>
  <sheetFormatPr baseColWidth="10" defaultColWidth="11.42578125" defaultRowHeight="11.25"/>
  <cols>
    <col min="1" max="1" width="5.5703125" style="6" customWidth="1"/>
    <col min="2" max="2" width="0.85546875" style="6" customWidth="1"/>
    <col min="3" max="8" width="7.5703125" style="6" customWidth="1"/>
    <col min="9" max="10" width="10.5703125" style="6" customWidth="1"/>
    <col min="11" max="16" width="7.5703125" style="6" customWidth="1"/>
    <col min="17" max="16384" width="11.42578125" style="6"/>
  </cols>
  <sheetData>
    <row r="1" spans="1:30" ht="12.75">
      <c r="I1" s="84"/>
    </row>
    <row r="2" spans="1:30" ht="12.75">
      <c r="A2" s="728" t="s">
        <v>215</v>
      </c>
      <c r="B2" s="63"/>
      <c r="C2" s="40"/>
      <c r="D2" s="41"/>
      <c r="E2" s="41"/>
      <c r="F2" s="41"/>
      <c r="G2" s="41"/>
      <c r="H2" s="41"/>
      <c r="I2" s="42"/>
      <c r="K2" s="43"/>
      <c r="L2" s="41"/>
      <c r="M2" s="41"/>
      <c r="N2" s="534"/>
      <c r="O2" s="41"/>
      <c r="P2" s="41"/>
    </row>
    <row r="3" spans="1:30">
      <c r="A3" s="65"/>
      <c r="B3" s="65"/>
      <c r="C3" s="44"/>
      <c r="D3" s="44"/>
      <c r="E3" s="44"/>
      <c r="F3" s="44"/>
      <c r="G3" s="44"/>
      <c r="H3" s="44"/>
      <c r="I3" s="44"/>
      <c r="K3" s="409"/>
      <c r="L3" s="44"/>
      <c r="M3" s="44" t="s">
        <v>40</v>
      </c>
      <c r="N3" s="44"/>
    </row>
    <row r="4" spans="1:30" s="82" customFormat="1" ht="15">
      <c r="A4" s="2031" t="s">
        <v>216</v>
      </c>
      <c r="B4" s="2031"/>
      <c r="C4" s="2032"/>
      <c r="D4" s="2032"/>
      <c r="E4" s="2032"/>
      <c r="F4" s="2032"/>
      <c r="G4" s="2032"/>
      <c r="H4" s="2032"/>
      <c r="I4" s="2032"/>
      <c r="J4" s="2032"/>
      <c r="K4" s="2032"/>
      <c r="L4" s="2032"/>
      <c r="M4" s="2032"/>
      <c r="N4" s="2032"/>
      <c r="O4" s="1993"/>
      <c r="P4" s="1993"/>
    </row>
    <row r="5" spans="1:30" ht="12" thickBot="1">
      <c r="A5" s="410"/>
      <c r="B5" s="410"/>
      <c r="C5" s="410"/>
      <c r="D5" s="410"/>
      <c r="E5" s="410"/>
      <c r="F5" s="410"/>
      <c r="G5" s="410"/>
      <c r="H5" s="410"/>
      <c r="I5" s="410"/>
      <c r="J5" s="410"/>
      <c r="K5" s="411"/>
      <c r="L5" s="410"/>
      <c r="M5" s="410"/>
      <c r="N5" s="410"/>
    </row>
    <row r="6" spans="1:30" ht="24.6" customHeight="1">
      <c r="A6" s="1953" t="s">
        <v>43</v>
      </c>
      <c r="B6" s="1984"/>
      <c r="C6" s="1965" t="s">
        <v>360</v>
      </c>
      <c r="D6" s="1966" t="s">
        <v>116</v>
      </c>
      <c r="E6" s="1966" t="s">
        <v>116</v>
      </c>
      <c r="F6" s="1966" t="s">
        <v>116</v>
      </c>
      <c r="G6" s="1966" t="s">
        <v>116</v>
      </c>
      <c r="H6" s="1967" t="s">
        <v>116</v>
      </c>
      <c r="I6" s="207" t="s">
        <v>0</v>
      </c>
      <c r="J6" s="207" t="s">
        <v>1</v>
      </c>
      <c r="K6" s="1962" t="s">
        <v>217</v>
      </c>
      <c r="L6" s="1982"/>
      <c r="M6" s="1982"/>
      <c r="N6" s="1982"/>
      <c r="O6" s="1982"/>
      <c r="P6" s="1983"/>
    </row>
    <row r="7" spans="1:30" ht="11.1" customHeight="1">
      <c r="A7" s="2033"/>
      <c r="B7" s="1986"/>
      <c r="C7" s="1991"/>
      <c r="D7" s="1980"/>
      <c r="E7" s="1980"/>
      <c r="F7" s="1980"/>
      <c r="G7" s="1980"/>
      <c r="H7" s="1981"/>
      <c r="I7" s="19" t="s">
        <v>3</v>
      </c>
      <c r="J7" s="19" t="s">
        <v>4</v>
      </c>
      <c r="K7" s="412"/>
      <c r="L7" s="413"/>
      <c r="M7" s="414"/>
      <c r="N7" s="1971" t="s">
        <v>300</v>
      </c>
      <c r="O7" s="1972"/>
      <c r="P7" s="1976"/>
    </row>
    <row r="8" spans="1:30" ht="12" customHeight="1">
      <c r="A8" s="2033"/>
      <c r="B8" s="1986"/>
      <c r="C8" s="20"/>
      <c r="D8" s="19"/>
      <c r="E8" s="19"/>
      <c r="F8" s="21" t="s">
        <v>167</v>
      </c>
      <c r="G8" s="21"/>
      <c r="H8" s="22"/>
      <c r="I8" s="19" t="s">
        <v>8</v>
      </c>
      <c r="J8" s="19" t="s">
        <v>8</v>
      </c>
      <c r="K8" s="15"/>
      <c r="L8" s="415"/>
      <c r="M8" s="19"/>
      <c r="N8" s="1974"/>
      <c r="O8" s="1975"/>
      <c r="P8" s="1977"/>
      <c r="Q8" s="42"/>
      <c r="R8" s="43"/>
      <c r="S8" s="41"/>
      <c r="T8" s="41"/>
      <c r="U8" s="41"/>
      <c r="V8" s="41"/>
      <c r="W8" s="41"/>
      <c r="X8" s="41"/>
      <c r="Y8" s="41"/>
      <c r="Z8" s="41"/>
      <c r="AA8" s="42"/>
      <c r="AB8" s="41"/>
      <c r="AC8" s="41"/>
      <c r="AD8" s="64" t="s">
        <v>111</v>
      </c>
    </row>
    <row r="9" spans="1:30" ht="12" customHeight="1">
      <c r="A9" s="2033"/>
      <c r="B9" s="1986"/>
      <c r="C9" s="417"/>
      <c r="D9" s="208"/>
      <c r="E9" s="208"/>
      <c r="F9" s="26" t="s">
        <v>297</v>
      </c>
      <c r="G9" s="27"/>
      <c r="H9" s="668"/>
      <c r="I9" s="19" t="s">
        <v>20</v>
      </c>
      <c r="J9" s="19" t="s">
        <v>20</v>
      </c>
      <c r="K9" s="263"/>
      <c r="L9" s="418"/>
      <c r="M9" s="208"/>
      <c r="N9" s="498"/>
      <c r="O9" s="297"/>
      <c r="P9" s="551"/>
    </row>
    <row r="10" spans="1:30" ht="12" customHeight="1">
      <c r="A10" s="2033"/>
      <c r="B10" s="1986"/>
      <c r="C10" s="20" t="s">
        <v>19</v>
      </c>
      <c r="D10" s="19" t="s">
        <v>17</v>
      </c>
      <c r="E10" s="19" t="s">
        <v>18</v>
      </c>
      <c r="F10" s="420"/>
      <c r="G10" s="421"/>
      <c r="H10" s="421"/>
      <c r="I10" s="19" t="s">
        <v>33</v>
      </c>
      <c r="J10" s="19" t="s">
        <v>33</v>
      </c>
      <c r="K10" s="422" t="s">
        <v>19</v>
      </c>
      <c r="L10" s="15" t="s">
        <v>17</v>
      </c>
      <c r="M10" s="19" t="s">
        <v>18</v>
      </c>
      <c r="N10" s="20" t="s">
        <v>19</v>
      </c>
      <c r="O10" s="424" t="s">
        <v>17</v>
      </c>
      <c r="P10" s="503" t="s">
        <v>18</v>
      </c>
    </row>
    <row r="11" spans="1:30" ht="12" customHeight="1">
      <c r="A11" s="2033"/>
      <c r="B11" s="1986"/>
      <c r="C11" s="20" t="s">
        <v>29</v>
      </c>
      <c r="D11" s="19" t="s">
        <v>28</v>
      </c>
      <c r="E11" s="19" t="s">
        <v>28</v>
      </c>
      <c r="F11" s="15" t="s">
        <v>30</v>
      </c>
      <c r="G11" s="424" t="s">
        <v>31</v>
      </c>
      <c r="H11" s="424" t="s">
        <v>32</v>
      </c>
      <c r="I11" s="19" t="s">
        <v>39</v>
      </c>
      <c r="J11" s="19" t="s">
        <v>39</v>
      </c>
      <c r="K11" s="422" t="s">
        <v>29</v>
      </c>
      <c r="L11" s="15" t="s">
        <v>28</v>
      </c>
      <c r="M11" s="19" t="s">
        <v>34</v>
      </c>
      <c r="N11" s="20" t="s">
        <v>29</v>
      </c>
      <c r="O11" s="424" t="s">
        <v>28</v>
      </c>
      <c r="P11" s="503" t="s">
        <v>34</v>
      </c>
    </row>
    <row r="12" spans="1:30" ht="11.1" customHeight="1">
      <c r="A12" s="2034"/>
      <c r="B12" s="1988"/>
      <c r="C12" s="553"/>
      <c r="D12" s="425"/>
      <c r="E12" s="425"/>
      <c r="F12" s="426"/>
      <c r="G12" s="427"/>
      <c r="H12" s="426"/>
      <c r="I12" s="425"/>
      <c r="J12" s="425"/>
      <c r="K12" s="552"/>
      <c r="L12" s="426"/>
      <c r="M12" s="425"/>
      <c r="N12" s="553"/>
      <c r="O12" s="427"/>
      <c r="P12" s="518"/>
    </row>
    <row r="13" spans="1:30" ht="15" customHeight="1">
      <c r="A13" s="592" t="s">
        <v>58</v>
      </c>
      <c r="B13" s="601"/>
      <c r="C13" s="1078">
        <v>30</v>
      </c>
      <c r="D13" s="1076">
        <v>30</v>
      </c>
      <c r="E13" s="1077">
        <v>0</v>
      </c>
      <c r="F13" s="1076">
        <v>6</v>
      </c>
      <c r="G13" s="1076">
        <v>15</v>
      </c>
      <c r="H13" s="1077">
        <v>12</v>
      </c>
      <c r="I13" s="1067">
        <v>12</v>
      </c>
      <c r="J13" s="1067">
        <v>3</v>
      </c>
      <c r="K13" s="1080">
        <v>9</v>
      </c>
      <c r="L13" s="1076">
        <v>9</v>
      </c>
      <c r="M13" s="1077">
        <v>0</v>
      </c>
      <c r="N13" s="1080">
        <v>9</v>
      </c>
      <c r="O13" s="1076">
        <v>9</v>
      </c>
      <c r="P13" s="1084">
        <v>0</v>
      </c>
    </row>
    <row r="14" spans="1:30" ht="15" customHeight="1">
      <c r="A14" s="592" t="s">
        <v>49</v>
      </c>
      <c r="B14" s="595"/>
      <c r="C14" s="1069">
        <v>0</v>
      </c>
      <c r="D14" s="5">
        <v>0</v>
      </c>
      <c r="E14" s="396">
        <v>0</v>
      </c>
      <c r="F14" s="5">
        <v>0</v>
      </c>
      <c r="G14" s="5">
        <v>0</v>
      </c>
      <c r="H14" s="396">
        <v>0</v>
      </c>
      <c r="I14" s="396">
        <v>0</v>
      </c>
      <c r="J14" s="396">
        <v>0</v>
      </c>
      <c r="K14" s="1081">
        <v>0</v>
      </c>
      <c r="L14" s="5">
        <v>0</v>
      </c>
      <c r="M14" s="396">
        <v>0</v>
      </c>
      <c r="N14" s="1081">
        <v>0</v>
      </c>
      <c r="O14" s="5">
        <v>0</v>
      </c>
      <c r="P14" s="1038">
        <v>0</v>
      </c>
    </row>
    <row r="15" spans="1:30" ht="15" customHeight="1">
      <c r="A15" s="592" t="s">
        <v>52</v>
      </c>
      <c r="B15" s="595"/>
      <c r="C15" s="1069">
        <v>42</v>
      </c>
      <c r="D15" s="5">
        <v>42</v>
      </c>
      <c r="E15" s="396">
        <v>0</v>
      </c>
      <c r="F15" s="5">
        <v>9</v>
      </c>
      <c r="G15" s="5">
        <v>15</v>
      </c>
      <c r="H15" s="396">
        <v>15</v>
      </c>
      <c r="I15" s="396">
        <v>15</v>
      </c>
      <c r="J15" s="396">
        <v>6</v>
      </c>
      <c r="K15" s="1081">
        <v>12</v>
      </c>
      <c r="L15" s="5">
        <v>12</v>
      </c>
      <c r="M15" s="396">
        <v>0</v>
      </c>
      <c r="N15" s="1081">
        <v>9</v>
      </c>
      <c r="O15" s="5">
        <v>9</v>
      </c>
      <c r="P15" s="1038">
        <v>0</v>
      </c>
    </row>
    <row r="16" spans="1:30" ht="15" customHeight="1">
      <c r="A16" s="592" t="s">
        <v>48</v>
      </c>
      <c r="B16" s="595"/>
      <c r="C16" s="1069">
        <v>0</v>
      </c>
      <c r="D16" s="5">
        <v>0</v>
      </c>
      <c r="E16" s="396">
        <v>0</v>
      </c>
      <c r="F16" s="5">
        <v>0</v>
      </c>
      <c r="G16" s="5">
        <v>0</v>
      </c>
      <c r="H16" s="396">
        <v>0</v>
      </c>
      <c r="I16" s="396">
        <v>0</v>
      </c>
      <c r="J16" s="396">
        <v>0</v>
      </c>
      <c r="K16" s="1081">
        <v>0</v>
      </c>
      <c r="L16" s="5">
        <v>0</v>
      </c>
      <c r="M16" s="396">
        <v>0</v>
      </c>
      <c r="N16" s="1081">
        <v>0</v>
      </c>
      <c r="O16" s="5">
        <v>0</v>
      </c>
      <c r="P16" s="1038">
        <v>0</v>
      </c>
    </row>
    <row r="17" spans="1:16" ht="15" customHeight="1">
      <c r="A17" s="592" t="s">
        <v>53</v>
      </c>
      <c r="B17" s="595"/>
      <c r="C17" s="1069">
        <v>18</v>
      </c>
      <c r="D17" s="5">
        <v>18</v>
      </c>
      <c r="E17" s="396">
        <v>0</v>
      </c>
      <c r="F17" s="5">
        <v>3</v>
      </c>
      <c r="G17" s="5">
        <v>6</v>
      </c>
      <c r="H17" s="396">
        <v>9</v>
      </c>
      <c r="I17" s="396">
        <v>3</v>
      </c>
      <c r="J17" s="396">
        <v>3</v>
      </c>
      <c r="K17" s="1081">
        <v>3</v>
      </c>
      <c r="L17" s="5">
        <v>3</v>
      </c>
      <c r="M17" s="396">
        <v>0</v>
      </c>
      <c r="N17" s="1081">
        <v>3</v>
      </c>
      <c r="O17" s="5">
        <v>3</v>
      </c>
      <c r="P17" s="1038">
        <v>0</v>
      </c>
    </row>
    <row r="18" spans="1:16" ht="15" customHeight="1">
      <c r="A18" s="592" t="s">
        <v>50</v>
      </c>
      <c r="B18" s="595"/>
      <c r="C18" s="1069">
        <v>3</v>
      </c>
      <c r="D18" s="5">
        <v>3</v>
      </c>
      <c r="E18" s="396">
        <v>0</v>
      </c>
      <c r="F18" s="5">
        <v>0</v>
      </c>
      <c r="G18" s="5">
        <v>3</v>
      </c>
      <c r="H18" s="396">
        <v>0</v>
      </c>
      <c r="I18" s="396">
        <v>0</v>
      </c>
      <c r="J18" s="396">
        <v>0</v>
      </c>
      <c r="K18" s="1081">
        <v>0</v>
      </c>
      <c r="L18" s="5">
        <v>0</v>
      </c>
      <c r="M18" s="396">
        <v>0</v>
      </c>
      <c r="N18" s="1081">
        <v>0</v>
      </c>
      <c r="O18" s="5">
        <v>0</v>
      </c>
      <c r="P18" s="1038">
        <v>0</v>
      </c>
    </row>
    <row r="19" spans="1:16" ht="15" customHeight="1">
      <c r="A19" s="592" t="s">
        <v>54</v>
      </c>
      <c r="B19" s="595"/>
      <c r="C19" s="1069">
        <v>6</v>
      </c>
      <c r="D19" s="5">
        <v>6</v>
      </c>
      <c r="E19" s="396">
        <v>0</v>
      </c>
      <c r="F19" s="5">
        <v>0</v>
      </c>
      <c r="G19" s="5">
        <v>0</v>
      </c>
      <c r="H19" s="396">
        <v>3</v>
      </c>
      <c r="I19" s="396">
        <v>0</v>
      </c>
      <c r="J19" s="396">
        <v>0</v>
      </c>
      <c r="K19" s="1081">
        <v>3</v>
      </c>
      <c r="L19" s="5">
        <v>3</v>
      </c>
      <c r="M19" s="396">
        <v>0</v>
      </c>
      <c r="N19" s="1081">
        <v>3</v>
      </c>
      <c r="O19" s="5">
        <v>3</v>
      </c>
      <c r="P19" s="1038">
        <v>0</v>
      </c>
    </row>
    <row r="20" spans="1:16" ht="15" customHeight="1">
      <c r="A20" s="592" t="s">
        <v>44</v>
      </c>
      <c r="B20" s="595"/>
      <c r="C20" s="1069">
        <v>12</v>
      </c>
      <c r="D20" s="5">
        <v>12</v>
      </c>
      <c r="E20" s="396">
        <v>0</v>
      </c>
      <c r="F20" s="5">
        <v>3</v>
      </c>
      <c r="G20" s="5">
        <v>3</v>
      </c>
      <c r="H20" s="396">
        <v>6</v>
      </c>
      <c r="I20" s="396">
        <v>3</v>
      </c>
      <c r="J20" s="396">
        <v>0</v>
      </c>
      <c r="K20" s="1081">
        <v>6</v>
      </c>
      <c r="L20" s="5">
        <v>6</v>
      </c>
      <c r="M20" s="396">
        <v>0</v>
      </c>
      <c r="N20" s="1081">
        <v>3</v>
      </c>
      <c r="O20" s="5">
        <v>3</v>
      </c>
      <c r="P20" s="1038">
        <v>0</v>
      </c>
    </row>
    <row r="21" spans="1:16" ht="15" customHeight="1">
      <c r="A21" s="592" t="s">
        <v>45</v>
      </c>
      <c r="B21" s="595"/>
      <c r="C21" s="1069">
        <v>57</v>
      </c>
      <c r="D21" s="5">
        <v>54</v>
      </c>
      <c r="E21" s="396">
        <v>3</v>
      </c>
      <c r="F21" s="5">
        <v>18</v>
      </c>
      <c r="G21" s="5">
        <v>21</v>
      </c>
      <c r="H21" s="396">
        <v>18</v>
      </c>
      <c r="I21" s="396">
        <v>27</v>
      </c>
      <c r="J21" s="396">
        <v>0</v>
      </c>
      <c r="K21" s="1081">
        <v>18</v>
      </c>
      <c r="L21" s="5">
        <v>18</v>
      </c>
      <c r="M21" s="396">
        <v>0</v>
      </c>
      <c r="N21" s="1081">
        <v>15</v>
      </c>
      <c r="O21" s="5">
        <v>15</v>
      </c>
      <c r="P21" s="1038">
        <v>0</v>
      </c>
    </row>
    <row r="22" spans="1:16" ht="15" customHeight="1">
      <c r="A22" s="592" t="s">
        <v>55</v>
      </c>
      <c r="B22" s="597"/>
      <c r="C22" s="1069">
        <v>0</v>
      </c>
      <c r="D22" s="5">
        <v>0</v>
      </c>
      <c r="E22" s="396">
        <v>0</v>
      </c>
      <c r="F22" s="5">
        <v>0</v>
      </c>
      <c r="G22" s="5">
        <v>0</v>
      </c>
      <c r="H22" s="396">
        <v>0</v>
      </c>
      <c r="I22" s="396">
        <v>0</v>
      </c>
      <c r="J22" s="396">
        <v>0</v>
      </c>
      <c r="K22" s="1081">
        <v>0</v>
      </c>
      <c r="L22" s="5">
        <v>0</v>
      </c>
      <c r="M22" s="396">
        <v>0</v>
      </c>
      <c r="N22" s="1081">
        <v>0</v>
      </c>
      <c r="O22" s="5">
        <v>0</v>
      </c>
      <c r="P22" s="1038">
        <v>0</v>
      </c>
    </row>
    <row r="23" spans="1:16" ht="15" customHeight="1">
      <c r="A23" s="592" t="s">
        <v>46</v>
      </c>
      <c r="B23" s="595"/>
      <c r="C23" s="1070">
        <v>0</v>
      </c>
      <c r="D23" s="1063">
        <v>0</v>
      </c>
      <c r="E23" s="1064">
        <v>0</v>
      </c>
      <c r="F23" s="1063">
        <v>0</v>
      </c>
      <c r="G23" s="1063">
        <v>0</v>
      </c>
      <c r="H23" s="1064">
        <v>0</v>
      </c>
      <c r="I23" s="396">
        <v>0</v>
      </c>
      <c r="J23" s="396">
        <v>0</v>
      </c>
      <c r="K23" s="1082">
        <v>0</v>
      </c>
      <c r="L23" s="1063">
        <v>0</v>
      </c>
      <c r="M23" s="1064">
        <v>0</v>
      </c>
      <c r="N23" s="1082">
        <v>0</v>
      </c>
      <c r="O23" s="1063">
        <v>0</v>
      </c>
      <c r="P23" s="1036">
        <v>0</v>
      </c>
    </row>
    <row r="24" spans="1:16" ht="15" customHeight="1">
      <c r="A24" s="592" t="s">
        <v>47</v>
      </c>
      <c r="B24" s="595"/>
      <c r="C24" s="1069">
        <v>6</v>
      </c>
      <c r="D24" s="5">
        <v>6</v>
      </c>
      <c r="E24" s="396">
        <v>0</v>
      </c>
      <c r="F24" s="5">
        <v>0</v>
      </c>
      <c r="G24" s="5">
        <v>3</v>
      </c>
      <c r="H24" s="396">
        <v>3</v>
      </c>
      <c r="I24" s="258">
        <v>0</v>
      </c>
      <c r="J24" s="258">
        <v>0</v>
      </c>
      <c r="K24" s="1081">
        <v>0</v>
      </c>
      <c r="L24" s="5">
        <v>0</v>
      </c>
      <c r="M24" s="396">
        <v>0</v>
      </c>
      <c r="N24" s="1081">
        <v>0</v>
      </c>
      <c r="O24" s="5">
        <v>0</v>
      </c>
      <c r="P24" s="1038">
        <v>0</v>
      </c>
    </row>
    <row r="25" spans="1:16" ht="15" customHeight="1">
      <c r="A25" s="592" t="s">
        <v>51</v>
      </c>
      <c r="B25" s="595"/>
      <c r="C25" s="1069">
        <v>18</v>
      </c>
      <c r="D25" s="5">
        <v>15</v>
      </c>
      <c r="E25" s="396">
        <v>0</v>
      </c>
      <c r="F25" s="5">
        <v>6</v>
      </c>
      <c r="G25" s="5">
        <v>6</v>
      </c>
      <c r="H25" s="396">
        <v>6</v>
      </c>
      <c r="I25" s="396">
        <v>9</v>
      </c>
      <c r="J25" s="396">
        <v>3</v>
      </c>
      <c r="K25" s="1081">
        <v>3</v>
      </c>
      <c r="L25" s="5">
        <v>3</v>
      </c>
      <c r="M25" s="396">
        <v>0</v>
      </c>
      <c r="N25" s="1081">
        <v>3</v>
      </c>
      <c r="O25" s="5">
        <v>3</v>
      </c>
      <c r="P25" s="1038">
        <v>0</v>
      </c>
    </row>
    <row r="26" spans="1:16" ht="15" customHeight="1">
      <c r="A26" s="592" t="s">
        <v>56</v>
      </c>
      <c r="B26" s="595"/>
      <c r="C26" s="1069">
        <v>15</v>
      </c>
      <c r="D26" s="5">
        <v>15</v>
      </c>
      <c r="E26" s="396">
        <v>0</v>
      </c>
      <c r="F26" s="5">
        <v>3</v>
      </c>
      <c r="G26" s="5">
        <v>9</v>
      </c>
      <c r="H26" s="396">
        <v>3</v>
      </c>
      <c r="I26" s="396">
        <v>6</v>
      </c>
      <c r="J26" s="396">
        <v>0</v>
      </c>
      <c r="K26" s="1081">
        <v>3</v>
      </c>
      <c r="L26" s="5">
        <v>3</v>
      </c>
      <c r="M26" s="396">
        <v>0</v>
      </c>
      <c r="N26" s="1081">
        <v>3</v>
      </c>
      <c r="O26" s="5">
        <v>3</v>
      </c>
      <c r="P26" s="1038">
        <v>0</v>
      </c>
    </row>
    <row r="27" spans="1:16" s="70" customFormat="1" ht="15" customHeight="1">
      <c r="A27" s="592" t="s">
        <v>57</v>
      </c>
      <c r="B27" s="597"/>
      <c r="C27" s="1069">
        <v>3</v>
      </c>
      <c r="D27" s="5">
        <v>3</v>
      </c>
      <c r="E27" s="396">
        <v>0</v>
      </c>
      <c r="F27" s="5">
        <v>0</v>
      </c>
      <c r="G27" s="5">
        <v>0</v>
      </c>
      <c r="H27" s="396">
        <v>3</v>
      </c>
      <c r="I27" s="396">
        <v>0</v>
      </c>
      <c r="J27" s="396">
        <v>3</v>
      </c>
      <c r="K27" s="1081">
        <v>3</v>
      </c>
      <c r="L27" s="5">
        <v>3</v>
      </c>
      <c r="M27" s="396">
        <v>0</v>
      </c>
      <c r="N27" s="1081">
        <v>3</v>
      </c>
      <c r="O27" s="5">
        <v>3</v>
      </c>
      <c r="P27" s="1038">
        <v>0</v>
      </c>
    </row>
    <row r="28" spans="1:16" s="7" customFormat="1" ht="15" customHeight="1">
      <c r="A28" s="592" t="s">
        <v>59</v>
      </c>
      <c r="B28" s="597"/>
      <c r="C28" s="1069">
        <v>3</v>
      </c>
      <c r="D28" s="5">
        <v>3</v>
      </c>
      <c r="E28" s="396">
        <v>0</v>
      </c>
      <c r="F28" s="5">
        <v>0</v>
      </c>
      <c r="G28" s="5">
        <v>0</v>
      </c>
      <c r="H28" s="396">
        <v>0</v>
      </c>
      <c r="I28" s="1037">
        <v>3</v>
      </c>
      <c r="J28" s="1037">
        <v>0</v>
      </c>
      <c r="K28" s="1081">
        <v>3</v>
      </c>
      <c r="L28" s="5">
        <v>0</v>
      </c>
      <c r="M28" s="396">
        <v>0</v>
      </c>
      <c r="N28" s="1081">
        <v>3</v>
      </c>
      <c r="O28" s="5">
        <v>0</v>
      </c>
      <c r="P28" s="1038">
        <v>0</v>
      </c>
    </row>
    <row r="29" spans="1:16" s="39" customFormat="1" ht="4.5" customHeight="1">
      <c r="A29" s="329"/>
      <c r="B29" s="596"/>
      <c r="C29" s="408"/>
      <c r="D29" s="406"/>
      <c r="E29" s="407"/>
      <c r="F29" s="406"/>
      <c r="G29" s="406"/>
      <c r="H29" s="407"/>
      <c r="I29" s="1079"/>
      <c r="J29" s="1079"/>
      <c r="K29" s="1083"/>
      <c r="L29" s="406"/>
      <c r="M29" s="407"/>
      <c r="N29" s="1083"/>
      <c r="O29" s="406"/>
      <c r="P29" s="1085"/>
    </row>
    <row r="30" spans="1:16" s="70" customFormat="1" ht="21" customHeight="1" thickBot="1">
      <c r="A30" s="593" t="s">
        <v>60</v>
      </c>
      <c r="B30" s="598"/>
      <c r="C30" s="1068">
        <v>213</v>
      </c>
      <c r="D30" s="580">
        <v>207</v>
      </c>
      <c r="E30" s="1065">
        <v>6</v>
      </c>
      <c r="F30" s="580">
        <v>54</v>
      </c>
      <c r="G30" s="580">
        <v>81</v>
      </c>
      <c r="H30" s="1065">
        <v>78</v>
      </c>
      <c r="I30" s="1066">
        <v>78</v>
      </c>
      <c r="J30" s="1066">
        <v>21</v>
      </c>
      <c r="K30" s="580">
        <v>60</v>
      </c>
      <c r="L30" s="580">
        <v>60</v>
      </c>
      <c r="M30" s="1065">
        <v>3</v>
      </c>
      <c r="N30" s="580">
        <v>57</v>
      </c>
      <c r="O30" s="580">
        <v>54</v>
      </c>
      <c r="P30" s="1039">
        <v>3</v>
      </c>
    </row>
    <row r="31" spans="1:16" s="70" customFormat="1" ht="3.6" customHeight="1">
      <c r="A31" s="6"/>
      <c r="B31" s="6"/>
      <c r="C31" s="6"/>
      <c r="D31" s="6"/>
      <c r="E31" s="6"/>
      <c r="F31" s="6"/>
      <c r="G31" s="6"/>
      <c r="H31" s="6"/>
      <c r="I31" s="6"/>
      <c r="J31" s="6"/>
      <c r="K31" s="6"/>
      <c r="L31" s="6"/>
      <c r="M31" s="53"/>
      <c r="N31" s="6"/>
    </row>
    <row r="32" spans="1:16" s="54" customFormat="1" ht="11.1" customHeight="1">
      <c r="A32" s="70" t="s">
        <v>299</v>
      </c>
      <c r="B32" s="70"/>
      <c r="C32" s="129"/>
      <c r="D32" s="129"/>
      <c r="E32" s="129"/>
      <c r="F32" s="129"/>
      <c r="G32" s="129"/>
      <c r="H32" s="129"/>
      <c r="I32" s="129"/>
      <c r="J32" s="129"/>
      <c r="K32" s="129"/>
      <c r="L32" s="129"/>
      <c r="M32" s="129"/>
      <c r="N32" s="129"/>
      <c r="O32" s="129"/>
    </row>
    <row r="33" spans="1:16" s="82" customFormat="1" ht="12.75" customHeight="1">
      <c r="A33" s="8" t="s">
        <v>305</v>
      </c>
      <c r="B33" s="8"/>
      <c r="D33" s="135"/>
      <c r="E33" s="135"/>
      <c r="F33" s="135"/>
      <c r="G33" s="135"/>
      <c r="H33" s="135"/>
      <c r="I33" s="135"/>
      <c r="J33" s="135"/>
      <c r="K33" s="135"/>
      <c r="L33" s="135"/>
      <c r="M33" s="135"/>
      <c r="N33" s="135"/>
      <c r="O33" s="135"/>
      <c r="P33" s="135"/>
    </row>
    <row r="35" spans="1:16" s="70" customFormat="1"/>
    <row r="36" spans="1:16" ht="12" thickBot="1">
      <c r="A36" s="593" t="s">
        <v>60</v>
      </c>
      <c r="B36" s="598"/>
      <c r="C36" s="1068">
        <v>213</v>
      </c>
      <c r="D36" s="580">
        <v>207</v>
      </c>
      <c r="E36" s="1065">
        <v>3</v>
      </c>
      <c r="F36" s="580">
        <v>48</v>
      </c>
      <c r="G36" s="580">
        <v>81</v>
      </c>
      <c r="H36" s="1065">
        <v>78</v>
      </c>
      <c r="I36" s="580">
        <v>78</v>
      </c>
      <c r="J36" s="1066">
        <v>18</v>
      </c>
      <c r="K36" s="1068">
        <v>63</v>
      </c>
      <c r="L36" s="580">
        <v>60</v>
      </c>
      <c r="M36" s="1065">
        <v>0</v>
      </c>
      <c r="N36" s="1068">
        <v>54</v>
      </c>
      <c r="O36" s="580">
        <v>51</v>
      </c>
      <c r="P36" s="1039">
        <v>0</v>
      </c>
    </row>
    <row r="37" spans="1:16" ht="12" thickBot="1">
      <c r="A37" s="593" t="s">
        <v>386</v>
      </c>
      <c r="B37" s="598"/>
      <c r="C37" s="1303">
        <f t="shared" ref="C37:P37" si="0">C30-C36</f>
        <v>0</v>
      </c>
      <c r="D37" s="1304">
        <f t="shared" si="0"/>
        <v>0</v>
      </c>
      <c r="E37" s="1294">
        <f t="shared" si="0"/>
        <v>3</v>
      </c>
      <c r="F37" s="1297">
        <f t="shared" si="0"/>
        <v>6</v>
      </c>
      <c r="G37" s="1305">
        <f t="shared" si="0"/>
        <v>0</v>
      </c>
      <c r="H37" s="1311">
        <f t="shared" si="0"/>
        <v>0</v>
      </c>
      <c r="I37" s="1304">
        <f t="shared" si="0"/>
        <v>0</v>
      </c>
      <c r="J37" s="1334">
        <f t="shared" si="0"/>
        <v>3</v>
      </c>
      <c r="K37" s="1328">
        <f t="shared" si="0"/>
        <v>-3</v>
      </c>
      <c r="L37" s="1304">
        <f t="shared" si="0"/>
        <v>0</v>
      </c>
      <c r="M37" s="1294">
        <f t="shared" si="0"/>
        <v>3</v>
      </c>
      <c r="N37" s="1292">
        <f t="shared" si="0"/>
        <v>3</v>
      </c>
      <c r="O37" s="1293">
        <f t="shared" si="0"/>
        <v>3</v>
      </c>
      <c r="P37" s="1341">
        <f t="shared" si="0"/>
        <v>3</v>
      </c>
    </row>
  </sheetData>
  <mergeCells count="5">
    <mergeCell ref="C6:H7"/>
    <mergeCell ref="K6:P6"/>
    <mergeCell ref="A4:P4"/>
    <mergeCell ref="A6:B12"/>
    <mergeCell ref="N7:P8"/>
  </mergeCells>
  <printOptions horizontalCentered="1"/>
  <pageMargins left="0.39370078740157483" right="0.19685039370078741" top="0.98425196850393704" bottom="0.43307086614173229" header="0.51181102362204722" footer="0.23622047244094491"/>
  <pageSetup paperSize="9" orientation="landscape" r:id="rId1"/>
  <headerFooter alignWithMargins="0">
    <oddHeader>&amp;C&amp;"Arial,Standard"&amp;8- 9 -
&amp;R&amp;8&amp;D</oddHeader>
    <oddFooter>&amp;R
&amp;12...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Q43"/>
  <sheetViews>
    <sheetView zoomScaleNormal="100" workbookViewId="0"/>
  </sheetViews>
  <sheetFormatPr baseColWidth="10" defaultColWidth="11.42578125" defaultRowHeight="16.5"/>
  <cols>
    <col min="1" max="1" width="19.140625" style="1566" customWidth="1"/>
    <col min="2" max="2" width="8.42578125" style="1566" customWidth="1"/>
    <col min="3" max="3" width="9.42578125" style="1566" customWidth="1"/>
    <col min="4" max="4" width="14.5703125" style="1566" customWidth="1"/>
    <col min="5" max="5" width="13.85546875" style="1566" customWidth="1"/>
    <col min="6" max="8" width="13.42578125" style="1566" customWidth="1"/>
    <col min="9" max="10" width="17.42578125" style="1566" customWidth="1"/>
    <col min="11" max="16384" width="11.42578125" style="1566"/>
  </cols>
  <sheetData>
    <row r="1" spans="1:10" ht="18">
      <c r="A1" s="1599" t="s">
        <v>424</v>
      </c>
      <c r="B1" s="1423"/>
      <c r="C1" s="1423"/>
      <c r="D1" s="1423"/>
      <c r="E1" s="1423"/>
      <c r="F1" s="1423"/>
      <c r="G1" s="1423"/>
      <c r="H1" s="1423"/>
      <c r="I1" s="1423"/>
      <c r="J1" s="1423"/>
    </row>
    <row r="2" spans="1:10" ht="18">
      <c r="A2" s="1600" t="s">
        <v>491</v>
      </c>
      <c r="B2" s="1423"/>
      <c r="C2" s="1423"/>
      <c r="D2" s="1423"/>
      <c r="E2" s="1423"/>
      <c r="F2" s="1423"/>
      <c r="G2" s="1423"/>
      <c r="H2" s="1423"/>
      <c r="I2" s="1423"/>
      <c r="J2" s="1423"/>
    </row>
    <row r="3" spans="1:10" ht="18">
      <c r="A3" s="1600" t="s">
        <v>559</v>
      </c>
      <c r="B3" s="1424"/>
      <c r="C3" s="1423"/>
      <c r="D3" s="1423"/>
      <c r="E3" s="1423"/>
      <c r="F3" s="1423"/>
      <c r="G3" s="1423"/>
      <c r="H3" s="1423"/>
      <c r="I3" s="1423"/>
      <c r="J3" s="1423"/>
    </row>
    <row r="4" spans="1:10" ht="49.5">
      <c r="A4" s="1409" t="s">
        <v>43</v>
      </c>
      <c r="B4" s="1708" t="s">
        <v>475</v>
      </c>
      <c r="C4" s="1409" t="s">
        <v>94</v>
      </c>
      <c r="D4" s="1708" t="s">
        <v>416</v>
      </c>
      <c r="E4" s="1420" t="s">
        <v>417</v>
      </c>
      <c r="F4" s="1419" t="s">
        <v>419</v>
      </c>
      <c r="G4" s="1419" t="s">
        <v>420</v>
      </c>
      <c r="H4" s="1419" t="s">
        <v>421</v>
      </c>
      <c r="I4" s="1419" t="s">
        <v>414</v>
      </c>
      <c r="J4" s="1418" t="s">
        <v>415</v>
      </c>
    </row>
    <row r="5" spans="1:10" ht="18">
      <c r="A5" s="1564" t="s">
        <v>468</v>
      </c>
      <c r="B5" s="1700">
        <v>1</v>
      </c>
      <c r="C5" s="1394">
        <v>21</v>
      </c>
      <c r="D5" s="1395">
        <v>6</v>
      </c>
      <c r="E5" s="1396">
        <v>15</v>
      </c>
      <c r="F5" s="1498">
        <v>6</v>
      </c>
      <c r="G5" s="1395">
        <v>6</v>
      </c>
      <c r="H5" s="1395">
        <v>9</v>
      </c>
      <c r="I5" s="1570">
        <v>6</v>
      </c>
      <c r="J5" s="1397">
        <v>0</v>
      </c>
    </row>
    <row r="6" spans="1:10" ht="18">
      <c r="A6" s="1564" t="s">
        <v>438</v>
      </c>
      <c r="B6" s="1701"/>
      <c r="C6" s="1394">
        <v>0</v>
      </c>
      <c r="D6" s="1395">
        <v>0</v>
      </c>
      <c r="E6" s="1396">
        <v>0</v>
      </c>
      <c r="F6" s="1498">
        <v>0</v>
      </c>
      <c r="G6" s="1395">
        <v>0</v>
      </c>
      <c r="H6" s="1395">
        <v>0</v>
      </c>
      <c r="I6" s="1397">
        <v>0</v>
      </c>
      <c r="J6" s="1397">
        <v>0</v>
      </c>
    </row>
    <row r="7" spans="1:10" ht="18">
      <c r="A7" s="1564" t="s">
        <v>439</v>
      </c>
      <c r="B7" s="1701"/>
      <c r="C7" s="1394">
        <v>0</v>
      </c>
      <c r="D7" s="1395">
        <v>0</v>
      </c>
      <c r="E7" s="1396">
        <v>0</v>
      </c>
      <c r="F7" s="1498">
        <v>0</v>
      </c>
      <c r="G7" s="1395">
        <v>0</v>
      </c>
      <c r="H7" s="1395">
        <v>0</v>
      </c>
      <c r="I7" s="1397">
        <v>0</v>
      </c>
      <c r="J7" s="1397">
        <v>0</v>
      </c>
    </row>
    <row r="8" spans="1:10" ht="18">
      <c r="A8" s="1564" t="s">
        <v>440</v>
      </c>
      <c r="B8" s="1701"/>
      <c r="C8" s="1394">
        <v>0</v>
      </c>
      <c r="D8" s="1395">
        <v>0</v>
      </c>
      <c r="E8" s="1396">
        <v>0</v>
      </c>
      <c r="F8" s="1498">
        <v>0</v>
      </c>
      <c r="G8" s="1395">
        <v>0</v>
      </c>
      <c r="H8" s="1395">
        <v>0</v>
      </c>
      <c r="I8" s="1397">
        <v>0</v>
      </c>
      <c r="J8" s="1397">
        <v>0</v>
      </c>
    </row>
    <row r="9" spans="1:10" ht="18">
      <c r="A9" s="1564" t="s">
        <v>441</v>
      </c>
      <c r="B9" s="1701">
        <v>1</v>
      </c>
      <c r="C9" s="1394">
        <v>9</v>
      </c>
      <c r="D9" s="1395">
        <v>0</v>
      </c>
      <c r="E9" s="1396">
        <v>9</v>
      </c>
      <c r="F9" s="1395">
        <v>3</v>
      </c>
      <c r="G9" s="1395">
        <v>3</v>
      </c>
      <c r="H9" s="1395">
        <v>3</v>
      </c>
      <c r="I9" s="1397">
        <v>3</v>
      </c>
      <c r="J9" s="1397">
        <v>0</v>
      </c>
    </row>
    <row r="10" spans="1:10" ht="18">
      <c r="A10" s="1564" t="s">
        <v>467</v>
      </c>
      <c r="B10" s="1701">
        <v>1</v>
      </c>
      <c r="C10" s="1394">
        <f>6+3</f>
        <v>9</v>
      </c>
      <c r="D10" s="1395">
        <f>0+3</f>
        <v>3</v>
      </c>
      <c r="E10" s="1396">
        <v>6</v>
      </c>
      <c r="F10" s="1395">
        <f>0+3</f>
        <v>3</v>
      </c>
      <c r="G10" s="1395">
        <v>3</v>
      </c>
      <c r="H10" s="1395">
        <v>3</v>
      </c>
      <c r="I10" s="1397">
        <f>3+0</f>
        <v>3</v>
      </c>
      <c r="J10" s="1397">
        <v>0</v>
      </c>
    </row>
    <row r="11" spans="1:10" ht="18">
      <c r="A11" s="1564" t="s">
        <v>466</v>
      </c>
      <c r="B11" s="1701">
        <v>1</v>
      </c>
      <c r="C11" s="1394">
        <v>9</v>
      </c>
      <c r="D11" s="1395">
        <v>0</v>
      </c>
      <c r="E11" s="1396">
        <v>6</v>
      </c>
      <c r="F11" s="1498">
        <v>3</v>
      </c>
      <c r="G11" s="1395">
        <v>3</v>
      </c>
      <c r="H11" s="1395">
        <v>3</v>
      </c>
      <c r="I11" s="1397">
        <v>3</v>
      </c>
      <c r="J11" s="1397">
        <v>0</v>
      </c>
    </row>
    <row r="12" spans="1:10" ht="18">
      <c r="A12" s="1564" t="s">
        <v>444</v>
      </c>
      <c r="B12" s="1701"/>
      <c r="C12" s="1394">
        <v>0</v>
      </c>
      <c r="D12" s="1395">
        <v>0</v>
      </c>
      <c r="E12" s="1396">
        <v>0</v>
      </c>
      <c r="F12" s="1395">
        <v>0</v>
      </c>
      <c r="G12" s="1395">
        <v>0</v>
      </c>
      <c r="H12" s="1395">
        <v>0</v>
      </c>
      <c r="I12" s="1397">
        <v>0</v>
      </c>
      <c r="J12" s="1397">
        <v>0</v>
      </c>
    </row>
    <row r="13" spans="1:10" ht="18">
      <c r="A13" s="1564" t="s">
        <v>445</v>
      </c>
      <c r="B13" s="1701">
        <v>1</v>
      </c>
      <c r="C13" s="1394">
        <v>3</v>
      </c>
      <c r="D13" s="1395">
        <v>3</v>
      </c>
      <c r="E13" s="1396">
        <v>3</v>
      </c>
      <c r="F13" s="1395">
        <v>3</v>
      </c>
      <c r="G13" s="1395">
        <v>3</v>
      </c>
      <c r="H13" s="1395">
        <v>0</v>
      </c>
      <c r="I13" s="1397">
        <v>3</v>
      </c>
      <c r="J13" s="1397">
        <v>0</v>
      </c>
    </row>
    <row r="14" spans="1:10" ht="18">
      <c r="A14" s="1564" t="s">
        <v>446</v>
      </c>
      <c r="B14" s="1701"/>
      <c r="C14" s="1394">
        <v>0</v>
      </c>
      <c r="D14" s="1395">
        <v>0</v>
      </c>
      <c r="E14" s="1396">
        <v>0</v>
      </c>
      <c r="F14" s="1395">
        <v>0</v>
      </c>
      <c r="G14" s="1395">
        <v>0</v>
      </c>
      <c r="H14" s="1395">
        <v>0</v>
      </c>
      <c r="I14" s="1397">
        <v>0</v>
      </c>
      <c r="J14" s="1397">
        <v>0</v>
      </c>
    </row>
    <row r="15" spans="1:10" ht="18">
      <c r="A15" s="1564" t="s">
        <v>447</v>
      </c>
      <c r="B15" s="1701"/>
      <c r="C15" s="1394">
        <v>0</v>
      </c>
      <c r="D15" s="1395">
        <v>0</v>
      </c>
      <c r="E15" s="1396">
        <v>0</v>
      </c>
      <c r="F15" s="1395">
        <v>0</v>
      </c>
      <c r="G15" s="1395">
        <v>0</v>
      </c>
      <c r="H15" s="1395">
        <v>0</v>
      </c>
      <c r="I15" s="1397">
        <v>0</v>
      </c>
      <c r="J15" s="1397">
        <v>0</v>
      </c>
    </row>
    <row r="16" spans="1:10" ht="18">
      <c r="A16" s="1564" t="s">
        <v>448</v>
      </c>
      <c r="B16" s="1701"/>
      <c r="C16" s="1394">
        <v>0</v>
      </c>
      <c r="D16" s="1395">
        <v>0</v>
      </c>
      <c r="E16" s="1396">
        <v>0</v>
      </c>
      <c r="F16" s="1395">
        <v>0</v>
      </c>
      <c r="G16" s="1395">
        <v>0</v>
      </c>
      <c r="H16" s="1395">
        <v>0</v>
      </c>
      <c r="I16" s="1397">
        <v>0</v>
      </c>
      <c r="J16" s="1397">
        <v>0</v>
      </c>
    </row>
    <row r="17" spans="1:17" ht="18">
      <c r="A17" s="1564" t="s">
        <v>449</v>
      </c>
      <c r="B17" s="1701"/>
      <c r="C17" s="1394">
        <v>0</v>
      </c>
      <c r="D17" s="1395">
        <v>0</v>
      </c>
      <c r="E17" s="1396">
        <v>0</v>
      </c>
      <c r="F17" s="1395">
        <v>0</v>
      </c>
      <c r="G17" s="1395">
        <v>0</v>
      </c>
      <c r="H17" s="1395">
        <v>0</v>
      </c>
      <c r="I17" s="1397">
        <v>0</v>
      </c>
      <c r="J17" s="1397">
        <v>0</v>
      </c>
    </row>
    <row r="18" spans="1:17" ht="18">
      <c r="A18" s="1564" t="s">
        <v>450</v>
      </c>
      <c r="B18" s="1701"/>
      <c r="C18" s="1394">
        <v>0</v>
      </c>
      <c r="D18" s="1395">
        <v>0</v>
      </c>
      <c r="E18" s="1396">
        <v>0</v>
      </c>
      <c r="F18" s="1395">
        <v>0</v>
      </c>
      <c r="G18" s="1395">
        <v>0</v>
      </c>
      <c r="H18" s="1395">
        <v>0</v>
      </c>
      <c r="I18" s="1397">
        <v>0</v>
      </c>
      <c r="J18" s="1397">
        <v>0</v>
      </c>
    </row>
    <row r="19" spans="1:17" ht="18">
      <c r="A19" s="1564" t="s">
        <v>451</v>
      </c>
      <c r="B19" s="1701"/>
      <c r="C19" s="1394">
        <v>0</v>
      </c>
      <c r="D19" s="1395">
        <v>0</v>
      </c>
      <c r="E19" s="1396">
        <v>0</v>
      </c>
      <c r="F19" s="1395">
        <v>0</v>
      </c>
      <c r="G19" s="1395">
        <v>0</v>
      </c>
      <c r="H19" s="1395">
        <v>0</v>
      </c>
      <c r="I19" s="1397">
        <v>0</v>
      </c>
      <c r="J19" s="1397">
        <v>0</v>
      </c>
    </row>
    <row r="20" spans="1:17" ht="18">
      <c r="A20" s="1564" t="s">
        <v>452</v>
      </c>
      <c r="B20" s="1702"/>
      <c r="C20" s="1394">
        <v>0</v>
      </c>
      <c r="D20" s="1395">
        <v>0</v>
      </c>
      <c r="E20" s="1396">
        <v>0</v>
      </c>
      <c r="F20" s="1395">
        <v>0</v>
      </c>
      <c r="G20" s="1395">
        <v>0</v>
      </c>
      <c r="H20" s="1395">
        <v>0</v>
      </c>
      <c r="I20" s="1769">
        <v>0</v>
      </c>
      <c r="J20" s="1769">
        <v>0</v>
      </c>
    </row>
    <row r="21" spans="1:17">
      <c r="A21" s="1710" t="s">
        <v>418</v>
      </c>
      <c r="B21" s="1710"/>
      <c r="C21" s="1790">
        <v>54</v>
      </c>
      <c r="D21" s="1791">
        <v>15</v>
      </c>
      <c r="E21" s="1791">
        <v>36</v>
      </c>
      <c r="F21" s="1790">
        <v>21</v>
      </c>
      <c r="G21" s="1791">
        <v>18</v>
      </c>
      <c r="H21" s="1792">
        <v>15</v>
      </c>
      <c r="I21" s="1698">
        <v>21</v>
      </c>
      <c r="J21" s="1943">
        <v>6</v>
      </c>
    </row>
    <row r="22" spans="1:17" ht="18">
      <c r="A22" s="1601" t="s">
        <v>552</v>
      </c>
      <c r="B22" s="1413"/>
      <c r="C22" s="1412"/>
      <c r="D22" s="1412"/>
      <c r="E22" s="1412"/>
      <c r="F22" s="1412"/>
      <c r="G22" s="1412"/>
      <c r="H22" s="1412"/>
      <c r="I22" s="1411"/>
      <c r="J22" s="1411"/>
    </row>
    <row r="23" spans="1:17" ht="66">
      <c r="A23" s="1708" t="s">
        <v>43</v>
      </c>
      <c r="B23" s="1708" t="s">
        <v>475</v>
      </c>
      <c r="C23" s="1706" t="s">
        <v>94</v>
      </c>
      <c r="D23" s="1707" t="s">
        <v>92</v>
      </c>
      <c r="E23" s="1409" t="s">
        <v>93</v>
      </c>
      <c r="F23" s="1419" t="s">
        <v>474</v>
      </c>
      <c r="G23" s="1419" t="s">
        <v>422</v>
      </c>
      <c r="H23" s="1418" t="s">
        <v>423</v>
      </c>
      <c r="I23" s="1408"/>
      <c r="J23" s="1408"/>
    </row>
    <row r="24" spans="1:17" ht="18">
      <c r="A24" s="1434" t="s">
        <v>468</v>
      </c>
      <c r="B24" s="1700"/>
      <c r="C24" s="1394">
        <v>9</v>
      </c>
      <c r="D24" s="1395">
        <v>3</v>
      </c>
      <c r="E24" s="1396">
        <v>6</v>
      </c>
      <c r="F24" s="1394">
        <v>9</v>
      </c>
      <c r="G24" s="1395">
        <v>3</v>
      </c>
      <c r="H24" s="1395">
        <v>6</v>
      </c>
      <c r="I24" s="1402"/>
      <c r="J24" s="1402"/>
      <c r="L24" s="1788"/>
      <c r="M24" s="1788"/>
      <c r="N24" s="1788"/>
      <c r="O24" s="1788"/>
      <c r="P24" s="1788"/>
      <c r="Q24" s="1788"/>
    </row>
    <row r="25" spans="1:17" ht="18">
      <c r="A25" s="1434" t="s">
        <v>438</v>
      </c>
      <c r="B25" s="1701"/>
      <c r="C25" s="1394">
        <v>0</v>
      </c>
      <c r="D25" s="1395">
        <v>0</v>
      </c>
      <c r="E25" s="1396">
        <v>0</v>
      </c>
      <c r="F25" s="1394">
        <v>0</v>
      </c>
      <c r="G25" s="1395">
        <v>0</v>
      </c>
      <c r="H25" s="1396">
        <v>0</v>
      </c>
      <c r="I25" s="1402"/>
      <c r="J25" s="1402"/>
      <c r="L25" s="1788"/>
      <c r="M25" s="1788"/>
      <c r="N25" s="1788"/>
      <c r="O25" s="1788"/>
      <c r="P25" s="1788"/>
      <c r="Q25" s="1788"/>
    </row>
    <row r="26" spans="1:17" ht="18">
      <c r="A26" s="1434" t="s">
        <v>439</v>
      </c>
      <c r="B26" s="1701"/>
      <c r="C26" s="1394">
        <v>0</v>
      </c>
      <c r="D26" s="1395">
        <v>0</v>
      </c>
      <c r="E26" s="1396">
        <v>0</v>
      </c>
      <c r="F26" s="1394">
        <v>0</v>
      </c>
      <c r="G26" s="1395">
        <v>0</v>
      </c>
      <c r="H26" s="1395">
        <v>0</v>
      </c>
      <c r="I26" s="1402"/>
      <c r="J26" s="1402"/>
      <c r="L26" s="1788"/>
      <c r="M26" s="1788"/>
      <c r="N26" s="1788"/>
      <c r="O26" s="1788"/>
      <c r="P26" s="1788"/>
      <c r="Q26" s="1788"/>
    </row>
    <row r="27" spans="1:17" ht="18">
      <c r="A27" s="1434" t="s">
        <v>440</v>
      </c>
      <c r="B27" s="1701"/>
      <c r="C27" s="1394">
        <v>0</v>
      </c>
      <c r="D27" s="1395">
        <v>0</v>
      </c>
      <c r="E27" s="1396">
        <v>0</v>
      </c>
      <c r="F27" s="1394">
        <v>0</v>
      </c>
      <c r="G27" s="1395">
        <v>0</v>
      </c>
      <c r="H27" s="1396">
        <v>0</v>
      </c>
      <c r="I27" s="1402"/>
      <c r="J27" s="1402"/>
      <c r="L27" s="1788"/>
      <c r="M27" s="1788"/>
      <c r="N27" s="1788"/>
      <c r="O27" s="1788"/>
      <c r="P27" s="1788"/>
      <c r="Q27" s="1788"/>
    </row>
    <row r="28" spans="1:17" ht="18">
      <c r="A28" s="1434" t="s">
        <v>441</v>
      </c>
      <c r="B28" s="1701"/>
      <c r="C28" s="1394">
        <v>0</v>
      </c>
      <c r="D28" s="1395">
        <v>0</v>
      </c>
      <c r="E28" s="1396">
        <v>0</v>
      </c>
      <c r="F28" s="1394">
        <v>0</v>
      </c>
      <c r="G28" s="1395">
        <v>0</v>
      </c>
      <c r="H28" s="1395">
        <v>0</v>
      </c>
      <c r="I28" s="1402"/>
      <c r="J28" s="1402"/>
      <c r="L28" s="1788"/>
      <c r="M28" s="1788"/>
      <c r="N28" s="1788"/>
      <c r="O28" s="1788"/>
      <c r="P28" s="1788"/>
      <c r="Q28" s="1788"/>
    </row>
    <row r="29" spans="1:17" ht="18">
      <c r="A29" s="1434" t="s">
        <v>467</v>
      </c>
      <c r="B29" s="1701"/>
      <c r="C29" s="1394">
        <v>0</v>
      </c>
      <c r="D29" s="1395">
        <v>0</v>
      </c>
      <c r="E29" s="1396">
        <v>0</v>
      </c>
      <c r="F29" s="1394">
        <v>0</v>
      </c>
      <c r="G29" s="1395">
        <v>0</v>
      </c>
      <c r="H29" s="1395">
        <v>0</v>
      </c>
      <c r="I29" s="1408"/>
      <c r="J29" s="1402"/>
      <c r="L29" s="1788"/>
      <c r="M29" s="1788"/>
      <c r="N29" s="1788"/>
      <c r="O29" s="1788"/>
      <c r="P29" s="1788"/>
      <c r="Q29" s="1788"/>
    </row>
    <row r="30" spans="1:17" ht="18">
      <c r="A30" s="1434" t="s">
        <v>466</v>
      </c>
      <c r="B30" s="1701"/>
      <c r="C30" s="1394">
        <v>0</v>
      </c>
      <c r="D30" s="1395">
        <v>0</v>
      </c>
      <c r="E30" s="1396">
        <v>0</v>
      </c>
      <c r="F30" s="1394">
        <v>0</v>
      </c>
      <c r="G30" s="1395">
        <v>0</v>
      </c>
      <c r="H30" s="1395">
        <v>0</v>
      </c>
      <c r="I30" s="1402"/>
      <c r="J30" s="1402"/>
      <c r="L30" s="1788"/>
      <c r="M30" s="1788"/>
      <c r="N30" s="1788"/>
      <c r="O30" s="1788"/>
      <c r="P30" s="1788"/>
      <c r="Q30" s="1788"/>
    </row>
    <row r="31" spans="1:17" ht="18">
      <c r="A31" s="1434" t="s">
        <v>444</v>
      </c>
      <c r="B31" s="1701"/>
      <c r="C31" s="1394">
        <v>0</v>
      </c>
      <c r="D31" s="1395">
        <v>0</v>
      </c>
      <c r="E31" s="1396">
        <v>0</v>
      </c>
      <c r="F31" s="1394">
        <v>0</v>
      </c>
      <c r="G31" s="1395">
        <v>0</v>
      </c>
      <c r="H31" s="1395">
        <v>0</v>
      </c>
      <c r="I31" s="1402"/>
      <c r="J31" s="1402"/>
      <c r="L31" s="1788"/>
      <c r="M31" s="1788"/>
      <c r="N31" s="1788"/>
      <c r="O31" s="1788"/>
      <c r="P31" s="1788"/>
      <c r="Q31" s="1788"/>
    </row>
    <row r="32" spans="1:17" ht="18">
      <c r="A32" s="1434" t="s">
        <v>445</v>
      </c>
      <c r="B32" s="1701"/>
      <c r="C32" s="1394">
        <v>0</v>
      </c>
      <c r="D32" s="1395">
        <v>0</v>
      </c>
      <c r="E32" s="1396">
        <v>0</v>
      </c>
      <c r="F32" s="1394">
        <v>0</v>
      </c>
      <c r="G32" s="1395">
        <v>0</v>
      </c>
      <c r="H32" s="1395">
        <v>0</v>
      </c>
      <c r="I32" s="1402"/>
      <c r="J32" s="1402"/>
      <c r="L32" s="1788"/>
      <c r="M32" s="1788"/>
      <c r="N32" s="1788"/>
      <c r="O32" s="1788"/>
      <c r="P32" s="1788"/>
      <c r="Q32" s="1788"/>
    </row>
    <row r="33" spans="1:17" ht="18">
      <c r="A33" s="1434" t="s">
        <v>446</v>
      </c>
      <c r="B33" s="1701"/>
      <c r="C33" s="1394">
        <v>0</v>
      </c>
      <c r="D33" s="1395">
        <v>0</v>
      </c>
      <c r="E33" s="1396">
        <v>0</v>
      </c>
      <c r="F33" s="1394">
        <v>0</v>
      </c>
      <c r="G33" s="1395">
        <v>0</v>
      </c>
      <c r="H33" s="1396">
        <v>0</v>
      </c>
      <c r="I33" s="1402"/>
      <c r="J33" s="1402"/>
      <c r="L33" s="1788"/>
      <c r="M33" s="1788"/>
      <c r="N33" s="1788"/>
      <c r="O33" s="1788"/>
      <c r="P33" s="1788"/>
      <c r="Q33" s="1788"/>
    </row>
    <row r="34" spans="1:17" ht="18">
      <c r="A34" s="1434" t="s">
        <v>447</v>
      </c>
      <c r="B34" s="1701"/>
      <c r="C34" s="1394">
        <v>0</v>
      </c>
      <c r="D34" s="1395">
        <v>0</v>
      </c>
      <c r="E34" s="1396">
        <v>0</v>
      </c>
      <c r="F34" s="1394">
        <v>0</v>
      </c>
      <c r="G34" s="1395">
        <v>0</v>
      </c>
      <c r="H34" s="1396">
        <v>0</v>
      </c>
      <c r="I34" s="1402"/>
      <c r="J34" s="1402"/>
      <c r="L34" s="1788"/>
      <c r="M34" s="1788"/>
      <c r="N34" s="1788"/>
      <c r="O34" s="1788"/>
      <c r="P34" s="1788"/>
      <c r="Q34" s="1788"/>
    </row>
    <row r="35" spans="1:17" ht="18">
      <c r="A35" s="1434" t="s">
        <v>448</v>
      </c>
      <c r="B35" s="1701"/>
      <c r="C35" s="1394">
        <v>0</v>
      </c>
      <c r="D35" s="1395">
        <v>0</v>
      </c>
      <c r="E35" s="1396">
        <v>0</v>
      </c>
      <c r="F35" s="1394">
        <v>0</v>
      </c>
      <c r="G35" s="1395">
        <v>0</v>
      </c>
      <c r="H35" s="1395">
        <v>0</v>
      </c>
      <c r="I35" s="1402"/>
      <c r="J35" s="1402"/>
      <c r="L35" s="1788"/>
      <c r="M35" s="1788"/>
      <c r="N35" s="1788"/>
      <c r="O35" s="1788"/>
      <c r="P35" s="1788"/>
      <c r="Q35" s="1788"/>
    </row>
    <row r="36" spans="1:17" ht="18">
      <c r="A36" s="1434" t="s">
        <v>449</v>
      </c>
      <c r="B36" s="1701"/>
      <c r="C36" s="1394">
        <v>0</v>
      </c>
      <c r="D36" s="1395">
        <v>0</v>
      </c>
      <c r="E36" s="1396">
        <v>0</v>
      </c>
      <c r="F36" s="1394">
        <v>0</v>
      </c>
      <c r="G36" s="1395">
        <v>0</v>
      </c>
      <c r="H36" s="1395">
        <v>0</v>
      </c>
      <c r="I36" s="1402"/>
      <c r="J36" s="1402"/>
      <c r="L36" s="1788"/>
      <c r="M36" s="1788"/>
      <c r="N36" s="1788"/>
      <c r="O36" s="1788"/>
      <c r="P36" s="1788"/>
      <c r="Q36" s="1788"/>
    </row>
    <row r="37" spans="1:17" ht="18">
      <c r="A37" s="1434" t="s">
        <v>450</v>
      </c>
      <c r="B37" s="1701"/>
      <c r="C37" s="1394">
        <v>0</v>
      </c>
      <c r="D37" s="1395">
        <v>0</v>
      </c>
      <c r="E37" s="1396">
        <v>0</v>
      </c>
      <c r="F37" s="1394">
        <v>0</v>
      </c>
      <c r="G37" s="1395">
        <v>0</v>
      </c>
      <c r="H37" s="1395">
        <v>0</v>
      </c>
      <c r="I37" s="1402"/>
      <c r="J37" s="1402"/>
      <c r="L37" s="1788"/>
      <c r="M37" s="1788"/>
      <c r="N37" s="1788"/>
      <c r="O37" s="1788"/>
      <c r="P37" s="1788"/>
      <c r="Q37" s="1788"/>
    </row>
    <row r="38" spans="1:17" ht="18">
      <c r="A38" s="1434" t="s">
        <v>451</v>
      </c>
      <c r="B38" s="1701"/>
      <c r="C38" s="1394">
        <v>0</v>
      </c>
      <c r="D38" s="1395">
        <v>0</v>
      </c>
      <c r="E38" s="1396">
        <v>0</v>
      </c>
      <c r="F38" s="1394">
        <v>0</v>
      </c>
      <c r="G38" s="1395">
        <v>0</v>
      </c>
      <c r="H38" s="1395">
        <v>0</v>
      </c>
      <c r="I38" s="1402"/>
      <c r="J38" s="1402"/>
      <c r="L38" s="1788"/>
      <c r="M38" s="1788"/>
      <c r="N38" s="1788"/>
      <c r="O38" s="1788"/>
      <c r="P38" s="1788"/>
      <c r="Q38" s="1788"/>
    </row>
    <row r="39" spans="1:17" ht="18">
      <c r="A39" s="1434" t="s">
        <v>452</v>
      </c>
      <c r="B39" s="1702"/>
      <c r="C39" s="1394">
        <v>0</v>
      </c>
      <c r="D39" s="1395">
        <v>0</v>
      </c>
      <c r="E39" s="1396">
        <v>0</v>
      </c>
      <c r="F39" s="1394">
        <v>0</v>
      </c>
      <c r="G39" s="1395">
        <v>0</v>
      </c>
      <c r="H39" s="1395">
        <v>0</v>
      </c>
      <c r="I39" s="1402"/>
      <c r="J39" s="1402"/>
      <c r="L39" s="1788"/>
      <c r="M39" s="1788"/>
      <c r="N39" s="1788"/>
      <c r="O39" s="1788"/>
      <c r="P39" s="1788"/>
      <c r="Q39" s="1788"/>
    </row>
    <row r="40" spans="1:17" ht="18">
      <c r="A40" s="1435" t="s">
        <v>418</v>
      </c>
      <c r="B40" s="1710"/>
      <c r="C40" s="1790">
        <v>12</v>
      </c>
      <c r="D40" s="1791">
        <v>3</v>
      </c>
      <c r="E40" s="1791">
        <v>6</v>
      </c>
      <c r="F40" s="1793">
        <v>12</v>
      </c>
      <c r="G40" s="1791">
        <v>3</v>
      </c>
      <c r="H40" s="1791">
        <v>6</v>
      </c>
      <c r="I40" s="1402"/>
      <c r="J40" s="1402"/>
      <c r="L40" s="1788"/>
      <c r="M40" s="1788"/>
      <c r="N40" s="1788"/>
      <c r="O40" s="1788"/>
      <c r="P40" s="1788"/>
      <c r="Q40" s="1788"/>
    </row>
    <row r="41" spans="1:17" ht="18">
      <c r="A41" s="1402" t="s">
        <v>498</v>
      </c>
      <c r="B41" s="1402"/>
      <c r="C41" s="1402"/>
      <c r="D41" s="1402"/>
      <c r="E41" s="1403"/>
      <c r="F41" s="1402"/>
      <c r="G41" s="1402"/>
      <c r="H41" s="1402"/>
      <c r="I41" s="1402"/>
      <c r="J41" s="1402"/>
    </row>
    <row r="42" spans="1:17" ht="18">
      <c r="A42" s="1401" t="s">
        <v>547</v>
      </c>
      <c r="B42" s="1401"/>
    </row>
    <row r="43" spans="1:17" ht="18">
      <c r="A43" s="1402" t="s">
        <v>542</v>
      </c>
      <c r="B43" s="1402"/>
    </row>
  </sheetData>
  <printOptions horizontalCentered="1"/>
  <pageMargins left="0.70866141732283472" right="0.70866141732283472" top="0.78740157480314965" bottom="0.78740157480314965" header="0.31496062992125984" footer="0.31496062992125984"/>
  <pageSetup paperSize="9" scale="90" orientation="landscape" r:id="rId1"/>
  <rowBreaks count="1" manualBreakCount="1">
    <brk id="21" max="16383" man="1"/>
  </rowBreaks>
  <tableParts count="2">
    <tablePart r:id="rId2"/>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499984740745262"/>
  </sheetPr>
  <dimension ref="A1:AK39"/>
  <sheetViews>
    <sheetView zoomScaleNormal="100" zoomScaleSheetLayoutView="100" workbookViewId="0">
      <selection activeCell="N30" sqref="N30"/>
    </sheetView>
  </sheetViews>
  <sheetFormatPr baseColWidth="10" defaultColWidth="11.42578125" defaultRowHeight="11.25"/>
  <cols>
    <col min="1" max="1" width="7.5703125" style="605" customWidth="1"/>
    <col min="2" max="2" width="0.85546875" style="605" customWidth="1"/>
    <col min="3" max="8" width="7.5703125" style="605" customWidth="1"/>
    <col min="9" max="10" width="10.5703125" style="605" customWidth="1"/>
    <col min="11" max="16" width="7.5703125" style="605" customWidth="1"/>
    <col min="17" max="16384" width="11.42578125" style="605"/>
  </cols>
  <sheetData>
    <row r="1" spans="1:37" ht="12.75">
      <c r="I1" s="654"/>
    </row>
    <row r="2" spans="1:37" ht="12.75">
      <c r="A2" s="728" t="s">
        <v>215</v>
      </c>
      <c r="B2" s="653"/>
      <c r="C2" s="652"/>
      <c r="D2" s="649"/>
      <c r="E2" s="649"/>
      <c r="F2" s="649"/>
      <c r="G2" s="649"/>
      <c r="H2" s="649"/>
      <c r="I2" s="651"/>
      <c r="K2" s="650"/>
      <c r="L2" s="649"/>
      <c r="M2" s="649"/>
      <c r="N2" s="648"/>
      <c r="O2" s="649"/>
      <c r="P2" s="649"/>
    </row>
    <row r="3" spans="1:37">
      <c r="A3" s="647"/>
      <c r="B3" s="647"/>
      <c r="C3" s="645"/>
      <c r="D3" s="645"/>
      <c r="E3" s="645"/>
      <c r="F3" s="645"/>
      <c r="G3" s="645"/>
      <c r="H3" s="645"/>
      <c r="I3" s="645"/>
      <c r="K3" s="646"/>
      <c r="L3" s="645"/>
      <c r="M3" s="645" t="s">
        <v>40</v>
      </c>
      <c r="N3" s="645"/>
    </row>
    <row r="4" spans="1:37" s="389" customFormat="1" ht="15">
      <c r="A4" s="2048" t="s">
        <v>306</v>
      </c>
      <c r="B4" s="2048"/>
      <c r="C4" s="2049"/>
      <c r="D4" s="2049"/>
      <c r="E4" s="2049"/>
      <c r="F4" s="2049"/>
      <c r="G4" s="2049"/>
      <c r="H4" s="2049"/>
      <c r="I4" s="2049"/>
      <c r="J4" s="2049"/>
      <c r="K4" s="2049"/>
      <c r="L4" s="2049"/>
      <c r="M4" s="2049"/>
      <c r="N4" s="2049"/>
      <c r="O4" s="1993"/>
      <c r="P4" s="1993"/>
    </row>
    <row r="5" spans="1:37" ht="12" thickBot="1">
      <c r="A5" s="643"/>
      <c r="B5" s="643"/>
      <c r="C5" s="643"/>
      <c r="D5" s="643"/>
      <c r="E5" s="643"/>
      <c r="F5" s="643"/>
      <c r="G5" s="643"/>
      <c r="H5" s="643"/>
      <c r="I5" s="643"/>
      <c r="J5" s="643"/>
      <c r="K5" s="644"/>
      <c r="L5" s="643"/>
      <c r="M5" s="643"/>
      <c r="N5" s="643"/>
    </row>
    <row r="6" spans="1:37" ht="24.6" customHeight="1">
      <c r="A6" s="2042" t="s">
        <v>43</v>
      </c>
      <c r="B6" s="2043"/>
      <c r="C6" s="2035" t="s">
        <v>360</v>
      </c>
      <c r="D6" s="2035" t="s">
        <v>116</v>
      </c>
      <c r="E6" s="2035" t="s">
        <v>116</v>
      </c>
      <c r="F6" s="2035" t="s">
        <v>116</v>
      </c>
      <c r="G6" s="2035" t="s">
        <v>116</v>
      </c>
      <c r="H6" s="2036" t="s">
        <v>116</v>
      </c>
      <c r="I6" s="642" t="s">
        <v>0</v>
      </c>
      <c r="J6" s="642" t="s">
        <v>1</v>
      </c>
      <c r="K6" s="2039" t="s">
        <v>218</v>
      </c>
      <c r="L6" s="2040"/>
      <c r="M6" s="2040"/>
      <c r="N6" s="2040"/>
      <c r="O6" s="2040"/>
      <c r="P6" s="2041"/>
    </row>
    <row r="7" spans="1:37" ht="11.25" customHeight="1">
      <c r="A7" s="2044"/>
      <c r="B7" s="2045"/>
      <c r="C7" s="2037"/>
      <c r="D7" s="2037"/>
      <c r="E7" s="2037"/>
      <c r="F7" s="2037"/>
      <c r="G7" s="2037"/>
      <c r="H7" s="2038"/>
      <c r="I7" s="626" t="s">
        <v>3</v>
      </c>
      <c r="J7" s="626" t="s">
        <v>4</v>
      </c>
      <c r="K7" s="641"/>
      <c r="L7" s="640"/>
      <c r="M7" s="639"/>
      <c r="N7" s="1971" t="s">
        <v>300</v>
      </c>
      <c r="O7" s="1972"/>
      <c r="P7" s="1976"/>
    </row>
    <row r="8" spans="1:37" ht="12" customHeight="1">
      <c r="A8" s="2044"/>
      <c r="B8" s="2045"/>
      <c r="C8" s="629"/>
      <c r="D8" s="626"/>
      <c r="E8" s="626"/>
      <c r="F8" s="638" t="s">
        <v>167</v>
      </c>
      <c r="G8" s="638"/>
      <c r="H8" s="638"/>
      <c r="I8" s="626" t="s">
        <v>8</v>
      </c>
      <c r="J8" s="626" t="s">
        <v>8</v>
      </c>
      <c r="K8" s="627"/>
      <c r="L8" s="637"/>
      <c r="M8" s="626"/>
      <c r="N8" s="1974"/>
      <c r="O8" s="1975"/>
      <c r="P8" s="1977"/>
      <c r="Q8" s="649"/>
      <c r="R8" s="649"/>
      <c r="S8" s="649"/>
      <c r="T8" s="649"/>
      <c r="U8" s="649"/>
      <c r="V8" s="649"/>
      <c r="W8" s="651"/>
      <c r="X8" s="651"/>
      <c r="Y8" s="650"/>
      <c r="Z8" s="649"/>
      <c r="AA8" s="649"/>
      <c r="AB8" s="649"/>
      <c r="AC8" s="649"/>
      <c r="AD8" s="649"/>
      <c r="AE8" s="649"/>
      <c r="AF8" s="649"/>
      <c r="AG8" s="649"/>
      <c r="AH8" s="651"/>
      <c r="AI8" s="649"/>
      <c r="AJ8" s="649"/>
      <c r="AK8" s="736" t="s">
        <v>111</v>
      </c>
    </row>
    <row r="9" spans="1:37" ht="12" customHeight="1">
      <c r="A9" s="2044"/>
      <c r="B9" s="2045"/>
      <c r="C9" s="622"/>
      <c r="D9" s="617"/>
      <c r="E9" s="617"/>
      <c r="F9" s="636" t="s">
        <v>302</v>
      </c>
      <c r="G9" s="635"/>
      <c r="H9" s="635"/>
      <c r="I9" s="626" t="s">
        <v>20</v>
      </c>
      <c r="J9" s="626" t="s">
        <v>20</v>
      </c>
      <c r="K9" s="619"/>
      <c r="L9" s="618"/>
      <c r="M9" s="617"/>
      <c r="N9" s="634"/>
      <c r="O9" s="633"/>
      <c r="P9" s="632"/>
    </row>
    <row r="10" spans="1:37" ht="12" customHeight="1">
      <c r="A10" s="2044"/>
      <c r="B10" s="2045"/>
      <c r="C10" s="629" t="s">
        <v>19</v>
      </c>
      <c r="D10" s="626" t="s">
        <v>17</v>
      </c>
      <c r="E10" s="626" t="s">
        <v>18</v>
      </c>
      <c r="F10" s="631"/>
      <c r="G10" s="630"/>
      <c r="H10" s="630"/>
      <c r="I10" s="626" t="s">
        <v>33</v>
      </c>
      <c r="J10" s="626" t="s">
        <v>33</v>
      </c>
      <c r="K10" s="628" t="s">
        <v>19</v>
      </c>
      <c r="L10" s="627" t="s">
        <v>17</v>
      </c>
      <c r="M10" s="626" t="s">
        <v>18</v>
      </c>
      <c r="N10" s="625" t="s">
        <v>19</v>
      </c>
      <c r="O10" s="624" t="s">
        <v>17</v>
      </c>
      <c r="P10" s="623" t="s">
        <v>18</v>
      </c>
    </row>
    <row r="11" spans="1:37" ht="12" customHeight="1">
      <c r="A11" s="2044"/>
      <c r="B11" s="2045"/>
      <c r="C11" s="629" t="s">
        <v>29</v>
      </c>
      <c r="D11" s="626" t="s">
        <v>28</v>
      </c>
      <c r="E11" s="626" t="s">
        <v>28</v>
      </c>
      <c r="F11" s="627" t="s">
        <v>30</v>
      </c>
      <c r="G11" s="624" t="s">
        <v>31</v>
      </c>
      <c r="H11" s="624" t="s">
        <v>32</v>
      </c>
      <c r="I11" s="626" t="s">
        <v>39</v>
      </c>
      <c r="J11" s="626" t="s">
        <v>39</v>
      </c>
      <c r="K11" s="628" t="s">
        <v>29</v>
      </c>
      <c r="L11" s="627" t="s">
        <v>28</v>
      </c>
      <c r="M11" s="626" t="s">
        <v>34</v>
      </c>
      <c r="N11" s="625" t="s">
        <v>29</v>
      </c>
      <c r="O11" s="624" t="s">
        <v>28</v>
      </c>
      <c r="P11" s="623" t="s">
        <v>34</v>
      </c>
    </row>
    <row r="12" spans="1:37" ht="12" customHeight="1">
      <c r="A12" s="2046"/>
      <c r="B12" s="2047"/>
      <c r="C12" s="735"/>
      <c r="D12" s="621"/>
      <c r="E12" s="621"/>
      <c r="F12" s="616"/>
      <c r="G12" s="620"/>
      <c r="H12" s="620"/>
      <c r="I12" s="621"/>
      <c r="J12" s="621"/>
      <c r="K12" s="734"/>
      <c r="L12" s="616"/>
      <c r="M12" s="621"/>
      <c r="N12" s="735"/>
      <c r="O12" s="616"/>
      <c r="P12" s="615"/>
    </row>
    <row r="13" spans="1:37" ht="15" customHeight="1">
      <c r="A13" s="592" t="s">
        <v>308</v>
      </c>
      <c r="B13" s="601"/>
      <c r="C13" s="1078">
        <v>30</v>
      </c>
      <c r="D13" s="1076">
        <v>3</v>
      </c>
      <c r="E13" s="1077">
        <v>27</v>
      </c>
      <c r="F13" s="1076">
        <v>9</v>
      </c>
      <c r="G13" s="1076">
        <v>9</v>
      </c>
      <c r="H13" s="1077">
        <v>12</v>
      </c>
      <c r="I13" s="1067">
        <v>9</v>
      </c>
      <c r="J13" s="1067">
        <v>6</v>
      </c>
      <c r="K13" s="1080">
        <f>9</f>
        <v>9</v>
      </c>
      <c r="L13" s="1076">
        <v>0</v>
      </c>
      <c r="M13" s="1077">
        <f>6</f>
        <v>6</v>
      </c>
      <c r="N13" s="1080">
        <f>9</f>
        <v>9</v>
      </c>
      <c r="O13" s="1076">
        <v>0</v>
      </c>
      <c r="P13" s="1084">
        <f>6</f>
        <v>6</v>
      </c>
    </row>
    <row r="14" spans="1:37" ht="15" customHeight="1">
      <c r="A14" s="592" t="s">
        <v>49</v>
      </c>
      <c r="B14" s="595"/>
      <c r="C14" s="1069">
        <v>0</v>
      </c>
      <c r="D14" s="5">
        <v>0</v>
      </c>
      <c r="E14" s="396">
        <v>0</v>
      </c>
      <c r="F14" s="5">
        <v>0</v>
      </c>
      <c r="G14" s="5">
        <v>0</v>
      </c>
      <c r="H14" s="396">
        <v>0</v>
      </c>
      <c r="I14" s="396">
        <v>0</v>
      </c>
      <c r="J14" s="396">
        <v>0</v>
      </c>
      <c r="K14" s="1081">
        <v>0</v>
      </c>
      <c r="L14" s="5">
        <v>0</v>
      </c>
      <c r="M14" s="396">
        <v>0</v>
      </c>
      <c r="N14" s="1081">
        <v>0</v>
      </c>
      <c r="O14" s="5">
        <v>0</v>
      </c>
      <c r="P14" s="1038">
        <v>0</v>
      </c>
    </row>
    <row r="15" spans="1:37" ht="15" customHeight="1">
      <c r="A15" s="592" t="s">
        <v>52</v>
      </c>
      <c r="B15" s="595"/>
      <c r="C15" s="1069">
        <v>0</v>
      </c>
      <c r="D15" s="5">
        <v>0</v>
      </c>
      <c r="E15" s="396">
        <v>0</v>
      </c>
      <c r="F15" s="5">
        <v>0</v>
      </c>
      <c r="G15" s="5">
        <v>0</v>
      </c>
      <c r="H15" s="396">
        <v>0</v>
      </c>
      <c r="I15" s="396">
        <v>0</v>
      </c>
      <c r="J15" s="396">
        <v>0</v>
      </c>
      <c r="K15" s="1081">
        <v>0</v>
      </c>
      <c r="L15" s="5">
        <v>0</v>
      </c>
      <c r="M15" s="396">
        <v>0</v>
      </c>
      <c r="N15" s="1081">
        <v>0</v>
      </c>
      <c r="O15" s="5">
        <v>0</v>
      </c>
      <c r="P15" s="1038">
        <v>0</v>
      </c>
    </row>
    <row r="16" spans="1:37" ht="15" customHeight="1">
      <c r="A16" s="592" t="s">
        <v>48</v>
      </c>
      <c r="B16" s="595"/>
      <c r="C16" s="1069">
        <v>0</v>
      </c>
      <c r="D16" s="5">
        <v>0</v>
      </c>
      <c r="E16" s="396">
        <v>0</v>
      </c>
      <c r="F16" s="5">
        <v>0</v>
      </c>
      <c r="G16" s="5">
        <v>0</v>
      </c>
      <c r="H16" s="396">
        <v>0</v>
      </c>
      <c r="I16" s="396">
        <v>0</v>
      </c>
      <c r="J16" s="396">
        <v>0</v>
      </c>
      <c r="K16" s="1081">
        <v>0</v>
      </c>
      <c r="L16" s="5">
        <v>0</v>
      </c>
      <c r="M16" s="396">
        <v>0</v>
      </c>
      <c r="N16" s="1081">
        <v>0</v>
      </c>
      <c r="O16" s="5">
        <v>0</v>
      </c>
      <c r="P16" s="1038">
        <v>0</v>
      </c>
    </row>
    <row r="17" spans="1:16" ht="15" customHeight="1">
      <c r="A17" s="592" t="s">
        <v>53</v>
      </c>
      <c r="B17" s="595"/>
      <c r="C17" s="1069">
        <v>0</v>
      </c>
      <c r="D17" s="5">
        <v>0</v>
      </c>
      <c r="E17" s="396">
        <v>0</v>
      </c>
      <c r="F17" s="5">
        <v>0</v>
      </c>
      <c r="G17" s="5">
        <v>0</v>
      </c>
      <c r="H17" s="396">
        <v>0</v>
      </c>
      <c r="I17" s="396">
        <v>0</v>
      </c>
      <c r="J17" s="396">
        <v>0</v>
      </c>
      <c r="K17" s="1081">
        <v>0</v>
      </c>
      <c r="L17" s="5">
        <v>0</v>
      </c>
      <c r="M17" s="396">
        <v>0</v>
      </c>
      <c r="N17" s="1081">
        <v>0</v>
      </c>
      <c r="O17" s="5">
        <v>0</v>
      </c>
      <c r="P17" s="1038">
        <v>0</v>
      </c>
    </row>
    <row r="18" spans="1:16" ht="15" customHeight="1">
      <c r="A18" s="592" t="s">
        <v>379</v>
      </c>
      <c r="B18" s="595"/>
      <c r="C18" s="1069">
        <f>3+66</f>
        <v>69</v>
      </c>
      <c r="D18" s="5">
        <f>3+6</f>
        <v>9</v>
      </c>
      <c r="E18" s="396">
        <v>60</v>
      </c>
      <c r="F18" s="5">
        <f>3</f>
        <v>3</v>
      </c>
      <c r="G18" s="5">
        <v>33</v>
      </c>
      <c r="H18" s="396">
        <f>3+33</f>
        <v>36</v>
      </c>
      <c r="I18" s="396">
        <f>3+18</f>
        <v>21</v>
      </c>
      <c r="J18" s="396">
        <v>15</v>
      </c>
      <c r="K18" s="1081">
        <v>30</v>
      </c>
      <c r="L18" s="5">
        <v>3</v>
      </c>
      <c r="M18" s="396">
        <v>27</v>
      </c>
      <c r="N18" s="1081">
        <v>24</v>
      </c>
      <c r="O18" s="5">
        <v>0</v>
      </c>
      <c r="P18" s="1038">
        <v>21</v>
      </c>
    </row>
    <row r="19" spans="1:16" ht="15" customHeight="1">
      <c r="A19" s="592" t="s">
        <v>309</v>
      </c>
      <c r="B19" s="595"/>
      <c r="C19" s="1069">
        <v>6</v>
      </c>
      <c r="D19" s="5">
        <v>3</v>
      </c>
      <c r="E19" s="396">
        <v>3</v>
      </c>
      <c r="F19" s="5">
        <v>3</v>
      </c>
      <c r="G19" s="5">
        <v>0</v>
      </c>
      <c r="H19" s="396">
        <v>3</v>
      </c>
      <c r="I19" s="396">
        <v>3</v>
      </c>
      <c r="J19" s="396">
        <v>0</v>
      </c>
      <c r="K19" s="1081">
        <v>6</v>
      </c>
      <c r="L19" s="5">
        <v>3</v>
      </c>
      <c r="M19" s="396">
        <v>3</v>
      </c>
      <c r="N19" s="1081">
        <v>3</v>
      </c>
      <c r="O19" s="5">
        <v>0</v>
      </c>
      <c r="P19" s="1038">
        <v>3</v>
      </c>
    </row>
    <row r="20" spans="1:16" ht="15" customHeight="1">
      <c r="A20" s="592" t="s">
        <v>44</v>
      </c>
      <c r="B20" s="595"/>
      <c r="C20" s="1069">
        <v>0</v>
      </c>
      <c r="D20" s="5">
        <v>0</v>
      </c>
      <c r="E20" s="396">
        <v>0</v>
      </c>
      <c r="F20" s="5">
        <v>0</v>
      </c>
      <c r="G20" s="5">
        <v>0</v>
      </c>
      <c r="H20" s="396">
        <v>0</v>
      </c>
      <c r="I20" s="396">
        <v>0</v>
      </c>
      <c r="J20" s="396">
        <v>0</v>
      </c>
      <c r="K20" s="1081">
        <v>0</v>
      </c>
      <c r="L20" s="5">
        <v>0</v>
      </c>
      <c r="M20" s="396">
        <v>0</v>
      </c>
      <c r="N20" s="1081">
        <v>0</v>
      </c>
      <c r="O20" s="5">
        <v>0</v>
      </c>
      <c r="P20" s="1038">
        <v>0</v>
      </c>
    </row>
    <row r="21" spans="1:16" ht="15" customHeight="1">
      <c r="A21" s="592" t="s">
        <v>45</v>
      </c>
      <c r="B21" s="595"/>
      <c r="C21" s="1069">
        <v>0</v>
      </c>
      <c r="D21" s="5">
        <v>0</v>
      </c>
      <c r="E21" s="396">
        <v>0</v>
      </c>
      <c r="F21" s="5">
        <v>0</v>
      </c>
      <c r="G21" s="5">
        <v>0</v>
      </c>
      <c r="H21" s="396">
        <v>0</v>
      </c>
      <c r="I21" s="396">
        <v>0</v>
      </c>
      <c r="J21" s="396">
        <v>0</v>
      </c>
      <c r="K21" s="1081">
        <v>0</v>
      </c>
      <c r="L21" s="5">
        <v>0</v>
      </c>
      <c r="M21" s="396">
        <v>0</v>
      </c>
      <c r="N21" s="1081">
        <v>0</v>
      </c>
      <c r="O21" s="5">
        <v>0</v>
      </c>
      <c r="P21" s="1038">
        <v>0</v>
      </c>
    </row>
    <row r="22" spans="1:16" ht="15" customHeight="1">
      <c r="A22" s="592" t="s">
        <v>359</v>
      </c>
      <c r="B22" s="597"/>
      <c r="C22" s="1069">
        <v>0</v>
      </c>
      <c r="D22" s="5">
        <v>0</v>
      </c>
      <c r="E22" s="396">
        <v>0</v>
      </c>
      <c r="F22" s="5">
        <v>0</v>
      </c>
      <c r="G22" s="5">
        <v>0</v>
      </c>
      <c r="H22" s="396">
        <v>0</v>
      </c>
      <c r="I22" s="396">
        <v>0</v>
      </c>
      <c r="J22" s="396">
        <v>0</v>
      </c>
      <c r="K22" s="1081">
        <v>0</v>
      </c>
      <c r="L22" s="5">
        <v>0</v>
      </c>
      <c r="M22" s="396">
        <v>0</v>
      </c>
      <c r="N22" s="1081">
        <v>0</v>
      </c>
      <c r="O22" s="5">
        <v>0</v>
      </c>
      <c r="P22" s="1038">
        <v>0</v>
      </c>
    </row>
    <row r="23" spans="1:16" ht="15" customHeight="1">
      <c r="A23" s="592" t="s">
        <v>46</v>
      </c>
      <c r="B23" s="595"/>
      <c r="C23" s="1070">
        <v>0</v>
      </c>
      <c r="D23" s="1063">
        <v>0</v>
      </c>
      <c r="E23" s="1064">
        <v>0</v>
      </c>
      <c r="F23" s="1063">
        <v>0</v>
      </c>
      <c r="G23" s="1063">
        <v>0</v>
      </c>
      <c r="H23" s="1064">
        <v>0</v>
      </c>
      <c r="I23" s="396">
        <v>0</v>
      </c>
      <c r="J23" s="396">
        <v>0</v>
      </c>
      <c r="K23" s="1082">
        <v>0</v>
      </c>
      <c r="L23" s="1063">
        <v>0</v>
      </c>
      <c r="M23" s="1064">
        <v>0</v>
      </c>
      <c r="N23" s="1082">
        <v>0</v>
      </c>
      <c r="O23" s="1063">
        <v>0</v>
      </c>
      <c r="P23" s="1036">
        <v>0</v>
      </c>
    </row>
    <row r="24" spans="1:16" ht="15" customHeight="1">
      <c r="A24" s="592" t="s">
        <v>47</v>
      </c>
      <c r="B24" s="595"/>
      <c r="C24" s="1069">
        <v>0</v>
      </c>
      <c r="D24" s="5">
        <v>0</v>
      </c>
      <c r="E24" s="396">
        <v>0</v>
      </c>
      <c r="F24" s="5">
        <v>0</v>
      </c>
      <c r="G24" s="5">
        <v>0</v>
      </c>
      <c r="H24" s="396">
        <v>0</v>
      </c>
      <c r="I24" s="258">
        <v>0</v>
      </c>
      <c r="J24" s="258">
        <v>0</v>
      </c>
      <c r="K24" s="1081">
        <v>0</v>
      </c>
      <c r="L24" s="5">
        <v>0</v>
      </c>
      <c r="M24" s="396">
        <v>0</v>
      </c>
      <c r="N24" s="1081">
        <v>0</v>
      </c>
      <c r="O24" s="5">
        <v>0</v>
      </c>
      <c r="P24" s="1038">
        <v>0</v>
      </c>
    </row>
    <row r="25" spans="1:16" ht="15" customHeight="1">
      <c r="A25" s="592" t="s">
        <v>380</v>
      </c>
      <c r="B25" s="595"/>
      <c r="C25" s="1069">
        <v>0</v>
      </c>
      <c r="D25" s="5">
        <v>0</v>
      </c>
      <c r="E25" s="396">
        <v>0</v>
      </c>
      <c r="F25" s="5">
        <v>0</v>
      </c>
      <c r="G25" s="5">
        <v>0</v>
      </c>
      <c r="H25" s="396">
        <v>0</v>
      </c>
      <c r="I25" s="396">
        <v>0</v>
      </c>
      <c r="J25" s="396">
        <v>0</v>
      </c>
      <c r="K25" s="1081">
        <v>0</v>
      </c>
      <c r="L25" s="5">
        <v>0</v>
      </c>
      <c r="M25" s="396">
        <v>0</v>
      </c>
      <c r="N25" s="1081">
        <v>0</v>
      </c>
      <c r="O25" s="5">
        <v>0</v>
      </c>
      <c r="P25" s="1038">
        <v>0</v>
      </c>
    </row>
    <row r="26" spans="1:16" ht="15" customHeight="1">
      <c r="A26" s="592" t="s">
        <v>56</v>
      </c>
      <c r="B26" s="595"/>
      <c r="C26" s="1069">
        <v>0</v>
      </c>
      <c r="D26" s="5">
        <v>0</v>
      </c>
      <c r="E26" s="396">
        <v>0</v>
      </c>
      <c r="F26" s="5">
        <v>0</v>
      </c>
      <c r="G26" s="5">
        <v>0</v>
      </c>
      <c r="H26" s="396">
        <v>0</v>
      </c>
      <c r="I26" s="396">
        <v>0</v>
      </c>
      <c r="J26" s="396">
        <v>0</v>
      </c>
      <c r="K26" s="1081">
        <v>0</v>
      </c>
      <c r="L26" s="5">
        <v>0</v>
      </c>
      <c r="M26" s="396">
        <v>0</v>
      </c>
      <c r="N26" s="1081">
        <v>0</v>
      </c>
      <c r="O26" s="5">
        <v>0</v>
      </c>
      <c r="P26" s="1038">
        <v>0</v>
      </c>
    </row>
    <row r="27" spans="1:16" s="388" customFormat="1" ht="15" customHeight="1">
      <c r="A27" s="592" t="s">
        <v>57</v>
      </c>
      <c r="B27" s="597"/>
      <c r="C27" s="1069">
        <v>0</v>
      </c>
      <c r="D27" s="5">
        <v>0</v>
      </c>
      <c r="E27" s="396">
        <v>0</v>
      </c>
      <c r="F27" s="5">
        <v>0</v>
      </c>
      <c r="G27" s="5">
        <v>0</v>
      </c>
      <c r="H27" s="396">
        <v>0</v>
      </c>
      <c r="I27" s="396">
        <v>0</v>
      </c>
      <c r="J27" s="396">
        <v>0</v>
      </c>
      <c r="K27" s="1081">
        <v>0</v>
      </c>
      <c r="L27" s="5">
        <v>0</v>
      </c>
      <c r="M27" s="396">
        <v>0</v>
      </c>
      <c r="N27" s="1081">
        <v>0</v>
      </c>
      <c r="O27" s="5">
        <v>0</v>
      </c>
      <c r="P27" s="1038">
        <v>0</v>
      </c>
    </row>
    <row r="28" spans="1:16" s="613" customFormat="1" ht="15" customHeight="1">
      <c r="A28" s="592" t="s">
        <v>59</v>
      </c>
      <c r="B28" s="597"/>
      <c r="C28" s="1069">
        <v>0</v>
      </c>
      <c r="D28" s="5">
        <v>0</v>
      </c>
      <c r="E28" s="396">
        <v>0</v>
      </c>
      <c r="F28" s="5">
        <v>0</v>
      </c>
      <c r="G28" s="5">
        <v>0</v>
      </c>
      <c r="H28" s="396">
        <v>0</v>
      </c>
      <c r="I28" s="1037">
        <v>0</v>
      </c>
      <c r="J28" s="1037">
        <v>0</v>
      </c>
      <c r="K28" s="1081">
        <v>0</v>
      </c>
      <c r="L28" s="5">
        <v>0</v>
      </c>
      <c r="M28" s="396">
        <v>0</v>
      </c>
      <c r="N28" s="1081">
        <v>0</v>
      </c>
      <c r="O28" s="5">
        <v>0</v>
      </c>
      <c r="P28" s="1038">
        <v>0</v>
      </c>
    </row>
    <row r="29" spans="1:16" s="612" customFormat="1" ht="4.5" customHeight="1">
      <c r="A29" s="329"/>
      <c r="B29" s="596"/>
      <c r="C29" s="408"/>
      <c r="D29" s="406"/>
      <c r="E29" s="407"/>
      <c r="F29" s="406"/>
      <c r="G29" s="406"/>
      <c r="H29" s="407"/>
      <c r="I29" s="1079"/>
      <c r="J29" s="1079"/>
      <c r="K29" s="1083"/>
      <c r="L29" s="406"/>
      <c r="M29" s="407"/>
      <c r="N29" s="1083"/>
      <c r="O29" s="406"/>
      <c r="P29" s="1085"/>
    </row>
    <row r="30" spans="1:16" s="388" customFormat="1" ht="21" customHeight="1" thickBot="1">
      <c r="A30" s="593" t="s">
        <v>60</v>
      </c>
      <c r="B30" s="598"/>
      <c r="C30" s="1068">
        <f>12+66+30</f>
        <v>108</v>
      </c>
      <c r="D30" s="580">
        <f>6+6+3</f>
        <v>15</v>
      </c>
      <c r="E30" s="1065">
        <f>6+60+27</f>
        <v>93</v>
      </c>
      <c r="F30" s="580">
        <f>3+0+9</f>
        <v>12</v>
      </c>
      <c r="G30" s="580">
        <f>0+33+9</f>
        <v>42</v>
      </c>
      <c r="H30" s="1065">
        <f>6+33+12</f>
        <v>51</v>
      </c>
      <c r="I30" s="1066">
        <f>3+18+9</f>
        <v>30</v>
      </c>
      <c r="J30" s="1066">
        <f>3+15+6</f>
        <v>24</v>
      </c>
      <c r="K30" s="580">
        <f>6+30+9</f>
        <v>45</v>
      </c>
      <c r="L30" s="580">
        <f>3+3</f>
        <v>6</v>
      </c>
      <c r="M30" s="1065">
        <f>3+27+6</f>
        <v>36</v>
      </c>
      <c r="N30" s="580">
        <f>6+24+9</f>
        <v>39</v>
      </c>
      <c r="O30" s="580">
        <v>3</v>
      </c>
      <c r="P30" s="1039">
        <f>3+21+6</f>
        <v>30</v>
      </c>
    </row>
    <row r="31" spans="1:16" s="388" customFormat="1" ht="3.6" customHeight="1">
      <c r="A31" s="605"/>
      <c r="B31" s="605"/>
      <c r="C31" s="605"/>
      <c r="D31" s="605"/>
      <c r="E31" s="605"/>
      <c r="F31" s="605"/>
      <c r="G31" s="605"/>
      <c r="H31" s="605"/>
      <c r="I31" s="605"/>
      <c r="J31" s="605"/>
      <c r="K31" s="605"/>
      <c r="L31" s="605"/>
      <c r="M31" s="610"/>
      <c r="N31" s="605"/>
    </row>
    <row r="32" spans="1:16" ht="11.1" customHeight="1">
      <c r="A32" s="388" t="s">
        <v>299</v>
      </c>
      <c r="B32" s="388"/>
    </row>
    <row r="33" spans="1:16" s="389" customFormat="1" ht="12" customHeight="1">
      <c r="A33" s="388" t="s">
        <v>310</v>
      </c>
      <c r="B33" s="388"/>
      <c r="D33" s="609"/>
      <c r="E33" s="609"/>
      <c r="F33" s="609"/>
      <c r="G33" s="609"/>
      <c r="H33" s="609"/>
      <c r="I33" s="609"/>
      <c r="J33" s="609"/>
      <c r="K33" s="609"/>
      <c r="L33" s="609"/>
      <c r="M33" s="609"/>
      <c r="N33" s="609"/>
      <c r="O33" s="609"/>
      <c r="P33" s="609"/>
    </row>
    <row r="34" spans="1:16" ht="12" customHeight="1">
      <c r="A34" s="71" t="s">
        <v>354</v>
      </c>
      <c r="B34" s="71"/>
      <c r="C34" s="6"/>
      <c r="D34" s="6"/>
      <c r="E34" s="6"/>
      <c r="F34" s="123"/>
      <c r="G34" s="123"/>
      <c r="H34" s="123"/>
      <c r="I34" s="429"/>
    </row>
    <row r="35" spans="1:16" s="389" customFormat="1" ht="12" customHeight="1">
      <c r="A35" s="388" t="s">
        <v>307</v>
      </c>
      <c r="B35" s="388"/>
      <c r="D35" s="609"/>
      <c r="E35" s="609"/>
      <c r="F35" s="609"/>
      <c r="G35" s="609"/>
      <c r="H35" s="609"/>
      <c r="I35" s="609"/>
      <c r="J35" s="609"/>
      <c r="K35" s="609"/>
      <c r="L35" s="609"/>
      <c r="M35" s="609"/>
      <c r="N35" s="609"/>
      <c r="O35" s="609"/>
      <c r="P35" s="609"/>
    </row>
    <row r="36" spans="1:16">
      <c r="A36" s="608"/>
      <c r="B36" s="608"/>
      <c r="F36" s="607"/>
      <c r="G36" s="607"/>
      <c r="H36" s="607"/>
      <c r="I36" s="606"/>
    </row>
    <row r="37" spans="1:16" s="388" customFormat="1">
      <c r="C37" s="737"/>
    </row>
    <row r="38" spans="1:16" ht="12" thickBot="1">
      <c r="A38" s="593" t="s">
        <v>60</v>
      </c>
      <c r="B38" s="598"/>
      <c r="C38" s="1068">
        <v>105</v>
      </c>
      <c r="D38" s="580">
        <v>15</v>
      </c>
      <c r="E38" s="1065">
        <v>90</v>
      </c>
      <c r="F38" s="580">
        <v>15</v>
      </c>
      <c r="G38" s="580">
        <v>42</v>
      </c>
      <c r="H38" s="1065">
        <v>51</v>
      </c>
      <c r="I38" s="580">
        <v>33</v>
      </c>
      <c r="J38" s="1066">
        <v>21</v>
      </c>
      <c r="K38" s="1068">
        <v>45</v>
      </c>
      <c r="L38" s="580">
        <v>6</v>
      </c>
      <c r="M38" s="1065">
        <v>36</v>
      </c>
      <c r="N38" s="1068">
        <v>36</v>
      </c>
      <c r="O38" s="580">
        <v>0</v>
      </c>
      <c r="P38" s="1039">
        <v>30</v>
      </c>
    </row>
    <row r="39" spans="1:16" ht="12" thickBot="1">
      <c r="A39" s="593" t="s">
        <v>386</v>
      </c>
      <c r="B39" s="598"/>
      <c r="C39" s="1292">
        <f t="shared" ref="C39:P39" si="0">C30-C38</f>
        <v>3</v>
      </c>
      <c r="D39" s="1304">
        <f t="shared" si="0"/>
        <v>0</v>
      </c>
      <c r="E39" s="1294">
        <f t="shared" si="0"/>
        <v>3</v>
      </c>
      <c r="F39" s="1295">
        <f t="shared" si="0"/>
        <v>-3</v>
      </c>
      <c r="G39" s="1305">
        <f t="shared" si="0"/>
        <v>0</v>
      </c>
      <c r="H39" s="1311">
        <f t="shared" si="0"/>
        <v>0</v>
      </c>
      <c r="I39" s="1295">
        <f t="shared" si="0"/>
        <v>-3</v>
      </c>
      <c r="J39" s="1334">
        <f t="shared" si="0"/>
        <v>3</v>
      </c>
      <c r="K39" s="1303">
        <f t="shared" si="0"/>
        <v>0</v>
      </c>
      <c r="L39" s="1304">
        <f t="shared" si="0"/>
        <v>0</v>
      </c>
      <c r="M39" s="1302">
        <f t="shared" si="0"/>
        <v>0</v>
      </c>
      <c r="N39" s="1292">
        <f t="shared" si="0"/>
        <v>3</v>
      </c>
      <c r="O39" s="1293">
        <f t="shared" si="0"/>
        <v>3</v>
      </c>
      <c r="P39" s="1342">
        <f t="shared" si="0"/>
        <v>0</v>
      </c>
    </row>
  </sheetData>
  <mergeCells count="5">
    <mergeCell ref="C6:H7"/>
    <mergeCell ref="K6:P6"/>
    <mergeCell ref="A6:B12"/>
    <mergeCell ref="A4:P4"/>
    <mergeCell ref="N7:P8"/>
  </mergeCells>
  <printOptions horizontalCentered="1"/>
  <pageMargins left="0.39370078740157483" right="0.19685039370078741" top="0.98425196850393704" bottom="0.43307086614173229" header="0.51181102362204722" footer="0.23622047244094491"/>
  <pageSetup paperSize="9" scale="99" orientation="landscape" r:id="rId1"/>
  <headerFooter alignWithMargins="0">
    <oddHeader>&amp;C&amp;"Arial,Standard"&amp;8- 10 - &amp;R&amp;8&amp;D</oddHeader>
    <oddFooter>&amp;R
&amp;12...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S42"/>
  <sheetViews>
    <sheetView zoomScaleNormal="100" workbookViewId="0"/>
  </sheetViews>
  <sheetFormatPr baseColWidth="10" defaultColWidth="11.42578125" defaultRowHeight="16.5"/>
  <cols>
    <col min="1" max="1" width="19.85546875" style="1566" customWidth="1"/>
    <col min="2" max="2" width="9.42578125" style="1566" customWidth="1"/>
    <col min="3" max="3" width="14.5703125" style="1566" customWidth="1"/>
    <col min="4" max="4" width="14" style="1566" customWidth="1"/>
    <col min="5" max="7" width="13.42578125" style="1566" customWidth="1"/>
    <col min="8" max="8" width="17.42578125" style="1566" customWidth="1"/>
    <col min="9" max="9" width="17.140625" style="1566" customWidth="1"/>
    <col min="10" max="16384" width="11.42578125" style="1566"/>
  </cols>
  <sheetData>
    <row r="1" spans="1:19" ht="18">
      <c r="A1" s="1599" t="s">
        <v>424</v>
      </c>
      <c r="B1" s="1423"/>
      <c r="C1" s="1423"/>
      <c r="D1" s="1423"/>
      <c r="E1" s="1423"/>
      <c r="F1" s="1423"/>
      <c r="G1" s="1423"/>
      <c r="H1" s="1423"/>
      <c r="I1" s="1423"/>
    </row>
    <row r="2" spans="1:19" ht="18">
      <c r="A2" s="1600" t="s">
        <v>492</v>
      </c>
      <c r="B2" s="1423"/>
      <c r="C2" s="1423"/>
      <c r="D2" s="1423"/>
      <c r="E2" s="1423"/>
      <c r="F2" s="1423"/>
      <c r="G2" s="1423"/>
      <c r="H2" s="1423"/>
      <c r="I2" s="1423"/>
    </row>
    <row r="3" spans="1:19" ht="18">
      <c r="A3" s="1600" t="s">
        <v>559</v>
      </c>
      <c r="B3" s="1423"/>
      <c r="C3" s="1423"/>
      <c r="D3" s="1423"/>
      <c r="E3" s="1423"/>
      <c r="F3" s="1423"/>
      <c r="G3" s="1423"/>
      <c r="H3" s="1423"/>
      <c r="I3" s="1423"/>
    </row>
    <row r="4" spans="1:19" ht="66">
      <c r="A4" s="1421" t="s">
        <v>43</v>
      </c>
      <c r="B4" s="1706" t="s">
        <v>94</v>
      </c>
      <c r="C4" s="1708" t="s">
        <v>416</v>
      </c>
      <c r="D4" s="1420" t="s">
        <v>417</v>
      </c>
      <c r="E4" s="1419" t="s">
        <v>419</v>
      </c>
      <c r="F4" s="1419" t="s">
        <v>420</v>
      </c>
      <c r="G4" s="1419" t="s">
        <v>421</v>
      </c>
      <c r="H4" s="1419" t="s">
        <v>414</v>
      </c>
      <c r="I4" s="1418" t="s">
        <v>415</v>
      </c>
    </row>
    <row r="5" spans="1:19" ht="18">
      <c r="A5" s="1434" t="s">
        <v>468</v>
      </c>
      <c r="B5" s="1567">
        <v>123</v>
      </c>
      <c r="C5" s="1395">
        <v>12</v>
      </c>
      <c r="D5" s="1396">
        <v>111</v>
      </c>
      <c r="E5" s="1395">
        <v>39</v>
      </c>
      <c r="F5" s="1395">
        <v>39</v>
      </c>
      <c r="G5" s="1396">
        <v>48</v>
      </c>
      <c r="H5" s="1576">
        <v>57</v>
      </c>
      <c r="I5" s="1576">
        <v>21</v>
      </c>
      <c r="L5" s="1788"/>
      <c r="M5" s="1788"/>
      <c r="N5" s="1788"/>
      <c r="O5" s="1788"/>
      <c r="P5" s="1788"/>
      <c r="Q5" s="1788"/>
      <c r="R5" s="1788"/>
      <c r="S5" s="1788"/>
    </row>
    <row r="6" spans="1:19" ht="18">
      <c r="A6" s="1434" t="s">
        <v>438</v>
      </c>
      <c r="B6" s="1394">
        <v>9</v>
      </c>
      <c r="C6" s="1395">
        <v>0</v>
      </c>
      <c r="D6" s="1396">
        <v>9</v>
      </c>
      <c r="E6" s="1395">
        <v>0</v>
      </c>
      <c r="F6" s="1395">
        <v>3</v>
      </c>
      <c r="G6" s="1396">
        <v>3</v>
      </c>
      <c r="H6" s="1396">
        <v>3</v>
      </c>
      <c r="I6" s="1396">
        <v>6</v>
      </c>
      <c r="L6" s="1788"/>
      <c r="M6" s="1788"/>
      <c r="N6" s="1788"/>
      <c r="O6" s="1788"/>
      <c r="P6" s="1788"/>
      <c r="Q6" s="1788"/>
      <c r="R6" s="1788"/>
      <c r="S6" s="1788"/>
    </row>
    <row r="7" spans="1:19" ht="18">
      <c r="A7" s="1434" t="s">
        <v>439</v>
      </c>
      <c r="B7" s="1394">
        <v>213</v>
      </c>
      <c r="C7" s="1395">
        <v>21</v>
      </c>
      <c r="D7" s="1396">
        <v>192</v>
      </c>
      <c r="E7" s="1395">
        <v>45</v>
      </c>
      <c r="F7" s="1395">
        <v>78</v>
      </c>
      <c r="G7" s="1396">
        <v>87</v>
      </c>
      <c r="H7" s="1577">
        <v>114</v>
      </c>
      <c r="I7" s="1577">
        <v>45</v>
      </c>
      <c r="L7" s="1788"/>
      <c r="M7" s="1788"/>
      <c r="N7" s="1788"/>
      <c r="O7" s="1788"/>
      <c r="P7" s="1788"/>
      <c r="Q7" s="1788"/>
      <c r="R7" s="1788"/>
      <c r="S7" s="1788"/>
    </row>
    <row r="8" spans="1:19" ht="18">
      <c r="A8" s="1434" t="s">
        <v>440</v>
      </c>
      <c r="B8" s="1394">
        <v>3</v>
      </c>
      <c r="C8" s="1395">
        <v>0</v>
      </c>
      <c r="D8" s="1396">
        <v>3</v>
      </c>
      <c r="E8" s="1395">
        <v>0</v>
      </c>
      <c r="F8" s="1395">
        <v>0</v>
      </c>
      <c r="G8" s="1396">
        <v>3</v>
      </c>
      <c r="H8" s="1396">
        <v>3</v>
      </c>
      <c r="I8" s="1395">
        <v>0</v>
      </c>
      <c r="L8" s="1788"/>
      <c r="M8" s="1788"/>
      <c r="N8" s="1788"/>
      <c r="O8" s="1788"/>
      <c r="P8" s="1788"/>
      <c r="Q8" s="1788"/>
      <c r="R8" s="1788"/>
      <c r="S8" s="1788"/>
    </row>
    <row r="9" spans="1:19" ht="18">
      <c r="A9" s="1434" t="s">
        <v>441</v>
      </c>
      <c r="B9" s="1394">
        <v>351</v>
      </c>
      <c r="C9" s="1395">
        <v>51</v>
      </c>
      <c r="D9" s="1396">
        <v>300</v>
      </c>
      <c r="E9" s="1395">
        <v>96</v>
      </c>
      <c r="F9" s="1395">
        <v>150</v>
      </c>
      <c r="G9" s="1396">
        <v>105</v>
      </c>
      <c r="H9" s="1577">
        <v>168</v>
      </c>
      <c r="I9" s="1577">
        <v>63</v>
      </c>
      <c r="L9" s="1788"/>
      <c r="M9" s="1788"/>
      <c r="N9" s="1788"/>
      <c r="O9" s="1788"/>
      <c r="P9" s="1788"/>
      <c r="Q9" s="1788"/>
      <c r="R9" s="1788"/>
      <c r="S9" s="1788"/>
    </row>
    <row r="10" spans="1:19" ht="18">
      <c r="A10" s="1434" t="s">
        <v>467</v>
      </c>
      <c r="B10" s="1394">
        <v>108</v>
      </c>
      <c r="C10" s="1395">
        <v>12</v>
      </c>
      <c r="D10" s="1396">
        <v>93</v>
      </c>
      <c r="E10" s="1395">
        <v>36</v>
      </c>
      <c r="F10" s="1395">
        <v>42</v>
      </c>
      <c r="G10" s="1396">
        <v>27</v>
      </c>
      <c r="H10" s="1397">
        <v>45</v>
      </c>
      <c r="I10" s="1397">
        <v>33</v>
      </c>
      <c r="L10" s="1788"/>
      <c r="M10" s="1788"/>
      <c r="N10" s="1788"/>
      <c r="O10" s="1788"/>
      <c r="P10" s="1788"/>
      <c r="Q10" s="1788"/>
      <c r="R10" s="1788"/>
      <c r="S10" s="1788"/>
    </row>
    <row r="11" spans="1:19" ht="18">
      <c r="A11" s="1434" t="s">
        <v>466</v>
      </c>
      <c r="B11" s="1394">
        <v>78</v>
      </c>
      <c r="C11" s="1395">
        <v>3</v>
      </c>
      <c r="D11" s="1396">
        <v>78</v>
      </c>
      <c r="E11" s="1395">
        <v>21</v>
      </c>
      <c r="F11" s="1395">
        <v>33</v>
      </c>
      <c r="G11" s="1396">
        <v>30</v>
      </c>
      <c r="H11" s="1577">
        <v>36</v>
      </c>
      <c r="I11" s="1577">
        <v>12</v>
      </c>
      <c r="L11" s="1788"/>
      <c r="M11" s="1788"/>
      <c r="N11" s="1788"/>
      <c r="O11" s="1788"/>
      <c r="P11" s="1788"/>
      <c r="Q11" s="1788"/>
      <c r="R11" s="1788"/>
      <c r="S11" s="1788"/>
    </row>
    <row r="12" spans="1:19" ht="18">
      <c r="A12" s="1434" t="s">
        <v>444</v>
      </c>
      <c r="B12" s="1394">
        <v>162</v>
      </c>
      <c r="C12" s="1395">
        <v>18</v>
      </c>
      <c r="D12" s="1396">
        <v>138</v>
      </c>
      <c r="E12" s="1395">
        <v>33</v>
      </c>
      <c r="F12" s="1395">
        <v>60</v>
      </c>
      <c r="G12" s="1396">
        <v>69</v>
      </c>
      <c r="H12" s="1577">
        <v>81</v>
      </c>
      <c r="I12" s="1577">
        <v>39</v>
      </c>
      <c r="L12" s="1788"/>
      <c r="M12" s="1788"/>
      <c r="N12" s="1788"/>
      <c r="O12" s="1788"/>
      <c r="P12" s="1788"/>
      <c r="Q12" s="1788"/>
      <c r="R12" s="1788"/>
      <c r="S12" s="1788"/>
    </row>
    <row r="13" spans="1:19" ht="18">
      <c r="A13" s="1434" t="s">
        <v>445</v>
      </c>
      <c r="B13" s="1394">
        <v>174</v>
      </c>
      <c r="C13" s="1395">
        <v>15</v>
      </c>
      <c r="D13" s="1396">
        <v>156</v>
      </c>
      <c r="E13" s="1395">
        <v>54</v>
      </c>
      <c r="F13" s="1395">
        <v>57</v>
      </c>
      <c r="G13" s="1396">
        <v>66</v>
      </c>
      <c r="H13" s="1577">
        <v>69</v>
      </c>
      <c r="I13" s="1577">
        <v>45</v>
      </c>
      <c r="L13" s="1788"/>
      <c r="M13" s="1788"/>
      <c r="N13" s="1788"/>
      <c r="O13" s="1788"/>
      <c r="P13" s="1788"/>
      <c r="Q13" s="1788"/>
      <c r="R13" s="1788"/>
      <c r="S13" s="1788"/>
    </row>
    <row r="14" spans="1:19" ht="18">
      <c r="A14" s="1434" t="s">
        <v>446</v>
      </c>
      <c r="B14" s="1394">
        <v>24</v>
      </c>
      <c r="C14" s="1395">
        <v>3</v>
      </c>
      <c r="D14" s="1396">
        <v>24</v>
      </c>
      <c r="E14" s="1395">
        <v>6</v>
      </c>
      <c r="F14" s="1395">
        <v>3</v>
      </c>
      <c r="G14" s="1396">
        <v>9</v>
      </c>
      <c r="H14" s="1577">
        <v>6</v>
      </c>
      <c r="I14" s="1577">
        <v>12</v>
      </c>
      <c r="L14" s="1788"/>
      <c r="M14" s="1788"/>
      <c r="N14" s="1788"/>
      <c r="O14" s="1788"/>
      <c r="P14" s="1788"/>
      <c r="Q14" s="1788"/>
      <c r="R14" s="1788"/>
      <c r="S14" s="1788"/>
    </row>
    <row r="15" spans="1:19" ht="18">
      <c r="A15" s="1434" t="s">
        <v>447</v>
      </c>
      <c r="B15" s="1394">
        <v>12</v>
      </c>
      <c r="C15" s="1395">
        <v>0</v>
      </c>
      <c r="D15" s="1396">
        <v>9</v>
      </c>
      <c r="E15" s="1395">
        <v>3</v>
      </c>
      <c r="F15" s="1395">
        <v>3</v>
      </c>
      <c r="G15" s="1396">
        <v>3</v>
      </c>
      <c r="H15" s="1396">
        <v>6</v>
      </c>
      <c r="I15" s="1396">
        <v>3</v>
      </c>
      <c r="L15" s="1788"/>
      <c r="M15" s="1788"/>
      <c r="N15" s="1788"/>
      <c r="O15" s="1788"/>
      <c r="P15" s="1788"/>
      <c r="Q15" s="1788"/>
      <c r="R15" s="1788"/>
      <c r="S15" s="1788"/>
    </row>
    <row r="16" spans="1:19" ht="18">
      <c r="A16" s="1434" t="s">
        <v>448</v>
      </c>
      <c r="B16" s="1394">
        <v>96</v>
      </c>
      <c r="C16" s="1395">
        <v>9</v>
      </c>
      <c r="D16" s="1396">
        <v>81</v>
      </c>
      <c r="E16" s="1395">
        <v>30</v>
      </c>
      <c r="F16" s="1395">
        <v>27</v>
      </c>
      <c r="G16" s="1396">
        <v>36</v>
      </c>
      <c r="H16" s="1396">
        <v>33</v>
      </c>
      <c r="I16" s="1396">
        <v>12</v>
      </c>
      <c r="L16" s="1788"/>
      <c r="M16" s="1788"/>
      <c r="N16" s="1788"/>
      <c r="O16" s="1788"/>
      <c r="P16" s="1788"/>
      <c r="Q16" s="1788"/>
      <c r="R16" s="1788"/>
      <c r="S16" s="1788"/>
    </row>
    <row r="17" spans="1:19" ht="18">
      <c r="A17" s="1434" t="s">
        <v>449</v>
      </c>
      <c r="B17" s="1394">
        <v>36</v>
      </c>
      <c r="C17" s="1395">
        <v>0</v>
      </c>
      <c r="D17" s="1396">
        <v>33</v>
      </c>
      <c r="E17" s="1395">
        <v>15</v>
      </c>
      <c r="F17" s="1395">
        <v>6</v>
      </c>
      <c r="G17" s="1396">
        <v>15</v>
      </c>
      <c r="H17" s="1577">
        <v>18</v>
      </c>
      <c r="I17" s="1577">
        <v>12</v>
      </c>
      <c r="L17" s="1788"/>
      <c r="M17" s="1788"/>
      <c r="N17" s="1788"/>
      <c r="O17" s="1788"/>
      <c r="P17" s="1788"/>
      <c r="Q17" s="1788"/>
      <c r="R17" s="1788"/>
      <c r="S17" s="1788"/>
    </row>
    <row r="18" spans="1:19" ht="18">
      <c r="A18" s="1434" t="s">
        <v>450</v>
      </c>
      <c r="B18" s="1394">
        <v>66</v>
      </c>
      <c r="C18" s="1395">
        <v>12</v>
      </c>
      <c r="D18" s="1396">
        <v>54</v>
      </c>
      <c r="E18" s="1395">
        <v>18</v>
      </c>
      <c r="F18" s="1395">
        <v>27</v>
      </c>
      <c r="G18" s="1396">
        <v>21</v>
      </c>
      <c r="H18" s="1577">
        <v>27</v>
      </c>
      <c r="I18" s="1577">
        <v>12</v>
      </c>
      <c r="L18" s="1788"/>
      <c r="M18" s="1788"/>
      <c r="N18" s="1788"/>
      <c r="O18" s="1788"/>
      <c r="P18" s="1788"/>
      <c r="Q18" s="1788"/>
      <c r="R18" s="1788"/>
      <c r="S18" s="1788"/>
    </row>
    <row r="19" spans="1:19" ht="18">
      <c r="A19" s="1434" t="s">
        <v>451</v>
      </c>
      <c r="B19" s="1394">
        <v>18</v>
      </c>
      <c r="C19" s="1395">
        <v>3</v>
      </c>
      <c r="D19" s="1396">
        <v>12</v>
      </c>
      <c r="E19" s="1395">
        <v>6</v>
      </c>
      <c r="F19" s="1395">
        <v>9</v>
      </c>
      <c r="G19" s="1396">
        <v>6</v>
      </c>
      <c r="H19" s="1396">
        <v>9</v>
      </c>
      <c r="I19" s="1396">
        <v>6</v>
      </c>
      <c r="L19" s="1788"/>
      <c r="M19" s="1788"/>
      <c r="N19" s="1788"/>
      <c r="O19" s="1788"/>
      <c r="P19" s="1788"/>
      <c r="Q19" s="1788"/>
      <c r="R19" s="1788"/>
      <c r="S19" s="1788"/>
    </row>
    <row r="20" spans="1:19" ht="18">
      <c r="A20" s="1434" t="s">
        <v>452</v>
      </c>
      <c r="B20" s="1394">
        <v>21</v>
      </c>
      <c r="C20" s="1395">
        <v>6</v>
      </c>
      <c r="D20" s="1396">
        <v>18</v>
      </c>
      <c r="E20" s="1395">
        <v>6</v>
      </c>
      <c r="F20" s="1395">
        <v>9</v>
      </c>
      <c r="G20" s="1396">
        <v>6</v>
      </c>
      <c r="H20" s="1397">
        <v>9</v>
      </c>
      <c r="I20" s="1397">
        <v>3</v>
      </c>
      <c r="L20" s="1788"/>
      <c r="M20" s="1788"/>
      <c r="N20" s="1788"/>
      <c r="O20" s="1788"/>
      <c r="P20" s="1788"/>
      <c r="Q20" s="1788"/>
      <c r="R20" s="1788"/>
      <c r="S20" s="1788"/>
    </row>
    <row r="21" spans="1:19">
      <c r="A21" s="1435" t="s">
        <v>418</v>
      </c>
      <c r="B21" s="1790">
        <v>1482</v>
      </c>
      <c r="C21" s="1791">
        <v>177</v>
      </c>
      <c r="D21" s="1791">
        <v>1308</v>
      </c>
      <c r="E21" s="1790">
        <v>402</v>
      </c>
      <c r="F21" s="1791">
        <v>558</v>
      </c>
      <c r="G21" s="1792">
        <v>525</v>
      </c>
      <c r="H21" s="1698">
        <v>687</v>
      </c>
      <c r="I21" s="1699">
        <v>333</v>
      </c>
      <c r="S21" s="1788"/>
    </row>
    <row r="22" spans="1:19" ht="18">
      <c r="A22" s="1601" t="s">
        <v>552</v>
      </c>
      <c r="B22" s="1412"/>
      <c r="C22" s="1412"/>
      <c r="D22" s="1412"/>
      <c r="E22" s="1412"/>
      <c r="F22" s="1412"/>
      <c r="G22" s="1412"/>
      <c r="H22" s="1411"/>
      <c r="I22" s="1411"/>
    </row>
    <row r="23" spans="1:19" ht="66">
      <c r="A23" s="1708" t="s">
        <v>43</v>
      </c>
      <c r="B23" s="1706" t="s">
        <v>94</v>
      </c>
      <c r="C23" s="1707" t="s">
        <v>92</v>
      </c>
      <c r="D23" s="1409" t="s">
        <v>93</v>
      </c>
      <c r="E23" s="1419" t="s">
        <v>474</v>
      </c>
      <c r="F23" s="1419" t="s">
        <v>422</v>
      </c>
      <c r="G23" s="1418" t="s">
        <v>482</v>
      </c>
      <c r="H23" s="1408"/>
      <c r="I23" s="1408"/>
    </row>
    <row r="24" spans="1:19" ht="18">
      <c r="A24" s="1434" t="s">
        <v>437</v>
      </c>
      <c r="B24" s="1394">
        <v>42</v>
      </c>
      <c r="C24" s="1395">
        <v>3</v>
      </c>
      <c r="D24" s="1396">
        <v>39</v>
      </c>
      <c r="E24" s="1394">
        <v>36</v>
      </c>
      <c r="F24" s="1395">
        <v>3</v>
      </c>
      <c r="G24" s="1395">
        <v>33</v>
      </c>
      <c r="H24" s="1402"/>
      <c r="I24" s="1772"/>
      <c r="J24" s="1395"/>
      <c r="K24" s="1395"/>
      <c r="L24" s="1395"/>
      <c r="M24" s="1788"/>
      <c r="N24" s="1788"/>
      <c r="O24" s="1788"/>
      <c r="P24" s="1788"/>
      <c r="Q24" s="1788"/>
    </row>
    <row r="25" spans="1:19" ht="18">
      <c r="A25" s="1434" t="s">
        <v>438</v>
      </c>
      <c r="B25" s="1394">
        <v>0</v>
      </c>
      <c r="C25" s="1395">
        <v>0</v>
      </c>
      <c r="D25" s="1396">
        <v>0</v>
      </c>
      <c r="E25" s="1394">
        <v>0</v>
      </c>
      <c r="F25" s="1395">
        <v>0</v>
      </c>
      <c r="G25" s="1395">
        <v>0</v>
      </c>
      <c r="H25" s="1402"/>
      <c r="I25" s="1772"/>
      <c r="J25" s="1395"/>
      <c r="K25" s="1395"/>
      <c r="L25" s="1395"/>
      <c r="M25" s="1788"/>
      <c r="N25" s="1788"/>
      <c r="O25" s="1788"/>
      <c r="P25" s="1788"/>
      <c r="Q25" s="1788"/>
    </row>
    <row r="26" spans="1:19" ht="18">
      <c r="A26" s="1434" t="s">
        <v>439</v>
      </c>
      <c r="B26" s="1394">
        <v>87</v>
      </c>
      <c r="C26" s="1395">
        <v>9</v>
      </c>
      <c r="D26" s="1396">
        <v>78</v>
      </c>
      <c r="E26" s="1394">
        <v>75</v>
      </c>
      <c r="F26" s="1395">
        <v>6</v>
      </c>
      <c r="G26" s="1395">
        <v>72</v>
      </c>
      <c r="H26" s="1402"/>
      <c r="I26" s="1772"/>
      <c r="J26" s="1395"/>
      <c r="K26" s="1395"/>
      <c r="L26" s="1395"/>
      <c r="M26" s="1788"/>
      <c r="N26" s="1788"/>
      <c r="O26" s="1788"/>
      <c r="P26" s="1788"/>
      <c r="Q26" s="1788"/>
    </row>
    <row r="27" spans="1:19" ht="18">
      <c r="A27" s="1434" t="s">
        <v>440</v>
      </c>
      <c r="B27" s="1394">
        <v>0</v>
      </c>
      <c r="C27" s="1395">
        <v>0</v>
      </c>
      <c r="D27" s="1396">
        <v>0</v>
      </c>
      <c r="E27" s="1394">
        <v>0</v>
      </c>
      <c r="F27" s="1395">
        <v>0</v>
      </c>
      <c r="G27" s="1395">
        <v>0</v>
      </c>
      <c r="H27" s="1402"/>
      <c r="I27" s="1772"/>
      <c r="J27" s="1395"/>
      <c r="K27" s="1395"/>
      <c r="L27" s="1395"/>
      <c r="M27" s="1788"/>
      <c r="N27" s="1788"/>
      <c r="O27" s="1788"/>
      <c r="P27" s="1788"/>
      <c r="Q27" s="1788"/>
    </row>
    <row r="28" spans="1:19" ht="18">
      <c r="A28" s="1434" t="s">
        <v>441</v>
      </c>
      <c r="B28" s="1394">
        <v>117</v>
      </c>
      <c r="C28" s="1395">
        <v>21</v>
      </c>
      <c r="D28" s="1396">
        <v>96</v>
      </c>
      <c r="E28" s="1394">
        <v>102</v>
      </c>
      <c r="F28" s="1395">
        <v>18</v>
      </c>
      <c r="G28" s="1395">
        <v>84</v>
      </c>
      <c r="H28" s="1402"/>
      <c r="I28" s="1772"/>
      <c r="J28" s="1395"/>
      <c r="K28" s="1395"/>
      <c r="L28" s="1395"/>
      <c r="M28" s="1788"/>
      <c r="N28" s="1788"/>
      <c r="O28" s="1788"/>
      <c r="P28" s="1788"/>
      <c r="Q28" s="1788"/>
    </row>
    <row r="29" spans="1:19" ht="18">
      <c r="A29" s="1434" t="s">
        <v>442</v>
      </c>
      <c r="B29" s="1394">
        <v>36</v>
      </c>
      <c r="C29" s="1395">
        <v>0</v>
      </c>
      <c r="D29" s="1396">
        <v>33</v>
      </c>
      <c r="E29" s="1394">
        <v>24</v>
      </c>
      <c r="F29" s="1395">
        <v>0</v>
      </c>
      <c r="G29" s="1395">
        <v>21</v>
      </c>
      <c r="H29" s="1408"/>
      <c r="I29" s="1772"/>
      <c r="J29" s="1395"/>
      <c r="K29" s="1395"/>
      <c r="L29" s="1395"/>
      <c r="M29" s="1788"/>
      <c r="N29" s="1788"/>
      <c r="O29" s="1788"/>
      <c r="P29" s="1788"/>
      <c r="Q29" s="1788"/>
    </row>
    <row r="30" spans="1:19" ht="18">
      <c r="A30" s="1434" t="s">
        <v>443</v>
      </c>
      <c r="B30" s="1394">
        <v>36</v>
      </c>
      <c r="C30" s="1395">
        <v>3</v>
      </c>
      <c r="D30" s="1396">
        <v>30</v>
      </c>
      <c r="E30" s="1394">
        <v>33</v>
      </c>
      <c r="F30" s="1395">
        <v>3</v>
      </c>
      <c r="G30" s="1395">
        <v>27</v>
      </c>
      <c r="H30" s="1402"/>
      <c r="I30" s="1772"/>
      <c r="J30" s="1395"/>
      <c r="K30" s="1395"/>
      <c r="L30" s="1395"/>
      <c r="M30" s="1788"/>
      <c r="N30" s="1788"/>
      <c r="O30" s="1788"/>
      <c r="P30" s="1788"/>
      <c r="Q30" s="1788"/>
    </row>
    <row r="31" spans="1:19" ht="18">
      <c r="A31" s="1434" t="s">
        <v>444</v>
      </c>
      <c r="B31" s="1394">
        <v>63</v>
      </c>
      <c r="C31" s="1395">
        <v>9</v>
      </c>
      <c r="D31" s="1396">
        <v>51</v>
      </c>
      <c r="E31" s="1394">
        <v>54</v>
      </c>
      <c r="F31" s="1395">
        <v>9</v>
      </c>
      <c r="G31" s="1395">
        <v>45</v>
      </c>
      <c r="H31" s="1402"/>
      <c r="I31" s="1772"/>
      <c r="J31" s="1395"/>
      <c r="K31" s="1395"/>
      <c r="L31" s="1395"/>
      <c r="M31" s="1788"/>
      <c r="N31" s="1788"/>
      <c r="O31" s="1788"/>
      <c r="P31" s="1788"/>
      <c r="Q31" s="1788"/>
    </row>
    <row r="32" spans="1:19" ht="18">
      <c r="A32" s="1434" t="s">
        <v>445</v>
      </c>
      <c r="B32" s="1394">
        <v>48</v>
      </c>
      <c r="C32" s="1395">
        <v>3</v>
      </c>
      <c r="D32" s="1396">
        <v>39</v>
      </c>
      <c r="E32" s="1394">
        <v>45</v>
      </c>
      <c r="F32" s="1395">
        <v>3</v>
      </c>
      <c r="G32" s="1395">
        <v>36</v>
      </c>
      <c r="H32" s="1402"/>
      <c r="I32" s="1772"/>
      <c r="J32" s="1395"/>
      <c r="K32" s="1395"/>
      <c r="L32" s="1395"/>
      <c r="M32" s="1788"/>
      <c r="N32" s="1788"/>
      <c r="O32" s="1788"/>
      <c r="P32" s="1788"/>
      <c r="Q32" s="1788"/>
    </row>
    <row r="33" spans="1:17" ht="18">
      <c r="A33" s="1434" t="s">
        <v>446</v>
      </c>
      <c r="B33" s="1394">
        <v>9</v>
      </c>
      <c r="C33" s="1395">
        <v>0</v>
      </c>
      <c r="D33" s="1396">
        <v>9</v>
      </c>
      <c r="E33" s="1394">
        <v>6</v>
      </c>
      <c r="F33" s="1395">
        <v>0</v>
      </c>
      <c r="G33" s="1395">
        <v>6</v>
      </c>
      <c r="H33" s="1402"/>
      <c r="I33" s="1772"/>
      <c r="J33" s="1395"/>
      <c r="K33" s="1395"/>
      <c r="L33" s="1395"/>
      <c r="M33" s="1788"/>
      <c r="N33" s="1788"/>
      <c r="O33" s="1788"/>
      <c r="P33" s="1788"/>
      <c r="Q33" s="1788"/>
    </row>
    <row r="34" spans="1:17" ht="18">
      <c r="A34" s="1434" t="s">
        <v>447</v>
      </c>
      <c r="B34" s="1394">
        <v>3</v>
      </c>
      <c r="C34" s="1395">
        <v>0</v>
      </c>
      <c r="D34" s="1396">
        <v>0</v>
      </c>
      <c r="E34" s="1394">
        <v>3</v>
      </c>
      <c r="F34" s="1395">
        <v>0</v>
      </c>
      <c r="G34" s="1395">
        <v>0</v>
      </c>
      <c r="H34" s="1402"/>
      <c r="I34" s="1772"/>
      <c r="J34" s="1395"/>
      <c r="K34" s="1395"/>
      <c r="L34" s="1395"/>
      <c r="M34" s="1788"/>
      <c r="N34" s="1788"/>
      <c r="O34" s="1788"/>
      <c r="P34" s="1788"/>
      <c r="Q34" s="1788"/>
    </row>
    <row r="35" spans="1:17" ht="18">
      <c r="A35" s="1434" t="s">
        <v>448</v>
      </c>
      <c r="B35" s="1394">
        <v>39</v>
      </c>
      <c r="C35" s="1395">
        <v>3</v>
      </c>
      <c r="D35" s="1396">
        <v>36</v>
      </c>
      <c r="E35" s="1394">
        <v>33</v>
      </c>
      <c r="F35" s="1395">
        <v>3</v>
      </c>
      <c r="G35" s="1395">
        <v>33</v>
      </c>
      <c r="H35" s="1402"/>
      <c r="I35" s="1772"/>
      <c r="J35" s="1395"/>
      <c r="K35" s="1395"/>
      <c r="L35" s="1395"/>
      <c r="M35" s="1788"/>
      <c r="N35" s="1788"/>
      <c r="O35" s="1788"/>
      <c r="P35" s="1788"/>
      <c r="Q35" s="1788"/>
    </row>
    <row r="36" spans="1:17" ht="18">
      <c r="A36" s="1434" t="s">
        <v>449</v>
      </c>
      <c r="B36" s="1394">
        <v>18</v>
      </c>
      <c r="C36" s="1395">
        <v>0</v>
      </c>
      <c r="D36" s="1396">
        <v>18</v>
      </c>
      <c r="E36" s="1394">
        <v>15</v>
      </c>
      <c r="F36" s="1395">
        <v>0</v>
      </c>
      <c r="G36" s="1395">
        <v>12</v>
      </c>
      <c r="H36" s="1402"/>
      <c r="I36" s="1772"/>
      <c r="J36" s="1395"/>
      <c r="K36" s="1395"/>
      <c r="L36" s="1395"/>
      <c r="M36" s="1788"/>
      <c r="N36" s="1788"/>
      <c r="O36" s="1788"/>
      <c r="P36" s="1788"/>
      <c r="Q36" s="1788"/>
    </row>
    <row r="37" spans="1:17" ht="18">
      <c r="A37" s="1434" t="s">
        <v>450</v>
      </c>
      <c r="B37" s="1394">
        <v>24</v>
      </c>
      <c r="C37" s="1395">
        <v>0</v>
      </c>
      <c r="D37" s="1396">
        <v>18</v>
      </c>
      <c r="E37" s="1394">
        <v>21</v>
      </c>
      <c r="F37" s="1395">
        <v>0</v>
      </c>
      <c r="G37" s="1395">
        <v>18</v>
      </c>
      <c r="H37" s="1402"/>
      <c r="I37" s="1772"/>
      <c r="J37" s="1395"/>
      <c r="K37" s="1395"/>
      <c r="L37" s="1395"/>
      <c r="M37" s="1788"/>
      <c r="N37" s="1788"/>
      <c r="O37" s="1788"/>
      <c r="P37" s="1788"/>
      <c r="Q37" s="1788"/>
    </row>
    <row r="38" spans="1:17" ht="18">
      <c r="A38" s="1434" t="s">
        <v>451</v>
      </c>
      <c r="B38" s="1394">
        <v>6</v>
      </c>
      <c r="C38" s="1395">
        <v>0</v>
      </c>
      <c r="D38" s="1396">
        <v>6</v>
      </c>
      <c r="E38" s="1394">
        <v>6</v>
      </c>
      <c r="F38" s="1395">
        <v>0</v>
      </c>
      <c r="G38" s="1395">
        <v>6</v>
      </c>
      <c r="H38" s="1402"/>
      <c r="I38" s="1772"/>
      <c r="J38" s="1395"/>
      <c r="K38" s="1395"/>
      <c r="L38" s="1395"/>
      <c r="M38" s="1788"/>
      <c r="N38" s="1788"/>
      <c r="O38" s="1788"/>
      <c r="P38" s="1788"/>
      <c r="Q38" s="1788"/>
    </row>
    <row r="39" spans="1:17" ht="18">
      <c r="A39" s="1434" t="s">
        <v>452</v>
      </c>
      <c r="B39" s="1394">
        <v>12</v>
      </c>
      <c r="C39" s="1395">
        <v>0</v>
      </c>
      <c r="D39" s="1396">
        <v>12</v>
      </c>
      <c r="E39" s="1394">
        <v>9</v>
      </c>
      <c r="F39" s="1395">
        <v>0</v>
      </c>
      <c r="G39" s="1395">
        <v>9</v>
      </c>
      <c r="H39" s="1402"/>
      <c r="I39" s="1772"/>
      <c r="J39" s="1395"/>
      <c r="K39" s="1395"/>
      <c r="L39" s="1395"/>
      <c r="M39" s="1788"/>
      <c r="N39" s="1788"/>
      <c r="O39" s="1788"/>
      <c r="P39" s="1788"/>
      <c r="Q39" s="1788"/>
    </row>
    <row r="40" spans="1:17" ht="18">
      <c r="A40" s="1718" t="s">
        <v>418</v>
      </c>
      <c r="B40" s="1793">
        <v>534</v>
      </c>
      <c r="C40" s="1795">
        <v>66</v>
      </c>
      <c r="D40" s="1795">
        <v>468</v>
      </c>
      <c r="E40" s="1793">
        <v>462</v>
      </c>
      <c r="F40" s="1795">
        <v>57</v>
      </c>
      <c r="G40" s="1795">
        <v>405</v>
      </c>
      <c r="H40" s="1402"/>
      <c r="I40" s="1405"/>
      <c r="J40" s="1405"/>
      <c r="K40" s="1405"/>
      <c r="L40" s="1405"/>
      <c r="M40" s="1405"/>
      <c r="N40" s="1405"/>
      <c r="O40" s="1405"/>
      <c r="P40" s="1405"/>
      <c r="Q40" s="1405"/>
    </row>
    <row r="41" spans="1:17" ht="18">
      <c r="A41" s="1402" t="s">
        <v>498</v>
      </c>
      <c r="B41" s="1406"/>
      <c r="C41" s="1405"/>
      <c r="D41" s="1407"/>
      <c r="E41" s="1406"/>
      <c r="F41" s="1405"/>
      <c r="G41" s="1405"/>
      <c r="H41" s="1402"/>
      <c r="I41" s="1402"/>
    </row>
    <row r="42" spans="1:17" ht="18">
      <c r="A42" s="1402" t="s">
        <v>542</v>
      </c>
    </row>
  </sheetData>
  <printOptions horizontalCentered="1"/>
  <pageMargins left="0.70866141732283472" right="0.70866141732283472" top="0.78740157480314965" bottom="0.78740157480314965" header="0.31496062992125984" footer="0.31496062992125984"/>
  <pageSetup paperSize="9" orientation="landscape" r:id="rId1"/>
  <rowBreaks count="1" manualBreakCount="1">
    <brk id="21" max="16383" man="1"/>
  </rowBreaks>
  <tableParts count="2">
    <tablePart r:id="rId2"/>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499984740745262"/>
  </sheetPr>
  <dimension ref="A1:AH37"/>
  <sheetViews>
    <sheetView zoomScaleNormal="100" zoomScaleSheetLayoutView="100" workbookViewId="0">
      <selection activeCell="N30" sqref="N30"/>
    </sheetView>
  </sheetViews>
  <sheetFormatPr baseColWidth="10" defaultColWidth="11.42578125" defaultRowHeight="11.25"/>
  <cols>
    <col min="1" max="1" width="5.5703125" style="6" customWidth="1"/>
    <col min="2" max="2" width="0.85546875" style="6" customWidth="1"/>
    <col min="3" max="8" width="7.5703125" style="6" customWidth="1"/>
    <col min="9" max="10" width="10.5703125" style="6" customWidth="1"/>
    <col min="11" max="16" width="7.5703125" style="6" customWidth="1"/>
    <col min="17" max="16384" width="11.42578125" style="6"/>
  </cols>
  <sheetData>
    <row r="1" spans="1:34" ht="12.75">
      <c r="I1" s="84"/>
    </row>
    <row r="2" spans="1:34" ht="12.75">
      <c r="A2" s="728" t="s">
        <v>215</v>
      </c>
      <c r="B2" s="63"/>
      <c r="C2" s="40"/>
      <c r="D2" s="41"/>
      <c r="E2" s="41"/>
      <c r="F2" s="41"/>
      <c r="G2" s="41"/>
      <c r="H2" s="41"/>
      <c r="I2" s="42"/>
      <c r="K2" s="43"/>
      <c r="L2" s="41"/>
      <c r="M2" s="41"/>
      <c r="N2" s="534"/>
      <c r="O2" s="41"/>
      <c r="P2" s="41"/>
    </row>
    <row r="3" spans="1:34">
      <c r="A3" s="65"/>
      <c r="B3" s="65"/>
      <c r="C3" s="44"/>
      <c r="D3" s="44"/>
      <c r="E3" s="44"/>
      <c r="F3" s="44"/>
      <c r="G3" s="44"/>
      <c r="H3" s="44"/>
      <c r="I3" s="44"/>
      <c r="K3" s="409"/>
      <c r="L3" s="44"/>
      <c r="M3" s="44"/>
    </row>
    <row r="4" spans="1:34" s="82" customFormat="1" ht="15">
      <c r="B4" s="590" t="s">
        <v>269</v>
      </c>
      <c r="C4" s="589"/>
      <c r="D4" s="589"/>
      <c r="E4" s="589"/>
      <c r="F4" s="589"/>
      <c r="G4" s="589"/>
      <c r="H4" s="589"/>
      <c r="I4" s="589"/>
      <c r="J4" s="589"/>
      <c r="K4" s="589"/>
      <c r="L4" s="589"/>
      <c r="M4" s="589"/>
      <c r="O4" s="136"/>
      <c r="P4" s="136"/>
    </row>
    <row r="5" spans="1:34" ht="12" thickBot="1">
      <c r="A5" s="410"/>
      <c r="B5" s="410"/>
      <c r="C5" s="410"/>
      <c r="D5" s="410"/>
      <c r="E5" s="410"/>
      <c r="F5" s="410"/>
      <c r="G5" s="410"/>
      <c r="H5" s="410"/>
      <c r="I5" s="410"/>
      <c r="J5" s="410"/>
      <c r="K5" s="411"/>
      <c r="L5" s="410"/>
      <c r="M5" s="410"/>
      <c r="N5" s="410"/>
    </row>
    <row r="6" spans="1:34" ht="24.6" customHeight="1">
      <c r="A6" s="1953" t="s">
        <v>43</v>
      </c>
      <c r="B6" s="1984"/>
      <c r="C6" s="1965" t="s">
        <v>360</v>
      </c>
      <c r="D6" s="1966" t="s">
        <v>116</v>
      </c>
      <c r="E6" s="1966" t="s">
        <v>116</v>
      </c>
      <c r="F6" s="1966" t="s">
        <v>116</v>
      </c>
      <c r="G6" s="1966" t="s">
        <v>116</v>
      </c>
      <c r="H6" s="1967" t="s">
        <v>116</v>
      </c>
      <c r="I6" s="148" t="s">
        <v>0</v>
      </c>
      <c r="J6" s="207" t="s">
        <v>1</v>
      </c>
      <c r="K6" s="1962" t="s">
        <v>218</v>
      </c>
      <c r="L6" s="1982"/>
      <c r="M6" s="1982"/>
      <c r="N6" s="1982"/>
      <c r="O6" s="1982"/>
      <c r="P6" s="1983"/>
    </row>
    <row r="7" spans="1:34" ht="11.1" customHeight="1">
      <c r="A7" s="1985"/>
      <c r="B7" s="1986"/>
      <c r="C7" s="1991"/>
      <c r="D7" s="1980"/>
      <c r="E7" s="1980"/>
      <c r="F7" s="1980"/>
      <c r="G7" s="1980"/>
      <c r="H7" s="1981"/>
      <c r="I7" s="25" t="s">
        <v>3</v>
      </c>
      <c r="J7" s="19" t="s">
        <v>4</v>
      </c>
      <c r="K7" s="412"/>
      <c r="L7" s="413"/>
      <c r="M7" s="414"/>
      <c r="N7" s="1971" t="s">
        <v>300</v>
      </c>
      <c r="O7" s="1972"/>
      <c r="P7" s="1976"/>
    </row>
    <row r="8" spans="1:34" ht="12" customHeight="1">
      <c r="A8" s="1985"/>
      <c r="B8" s="1986"/>
      <c r="C8" s="20"/>
      <c r="D8" s="19"/>
      <c r="E8" s="19"/>
      <c r="F8" s="21" t="s">
        <v>167</v>
      </c>
      <c r="G8" s="21"/>
      <c r="H8" s="21"/>
      <c r="I8" s="19" t="s">
        <v>8</v>
      </c>
      <c r="J8" s="19" t="s">
        <v>8</v>
      </c>
      <c r="K8" s="15"/>
      <c r="L8" s="415"/>
      <c r="M8" s="19"/>
      <c r="N8" s="1974"/>
      <c r="O8" s="1975"/>
      <c r="P8" s="1977"/>
      <c r="Q8" s="41"/>
      <c r="R8" s="41"/>
      <c r="S8" s="41"/>
      <c r="T8" s="42"/>
      <c r="U8" s="42"/>
      <c r="V8" s="43"/>
      <c r="W8" s="41"/>
      <c r="X8" s="41"/>
      <c r="Y8" s="41"/>
      <c r="Z8" s="41"/>
      <c r="AA8" s="41"/>
      <c r="AB8" s="41"/>
      <c r="AC8" s="41"/>
      <c r="AD8" s="41"/>
      <c r="AE8" s="42"/>
      <c r="AF8" s="41"/>
      <c r="AG8" s="41"/>
      <c r="AH8" s="64" t="s">
        <v>111</v>
      </c>
    </row>
    <row r="9" spans="1:34" ht="12" customHeight="1">
      <c r="A9" s="1985"/>
      <c r="B9" s="1986"/>
      <c r="C9" s="417"/>
      <c r="D9" s="208"/>
      <c r="E9" s="208"/>
      <c r="F9" s="26" t="s">
        <v>302</v>
      </c>
      <c r="G9" s="27"/>
      <c r="H9" s="27"/>
      <c r="I9" s="19" t="s">
        <v>20</v>
      </c>
      <c r="J9" s="19" t="s">
        <v>20</v>
      </c>
      <c r="K9" s="263"/>
      <c r="L9" s="418"/>
      <c r="M9" s="208"/>
      <c r="N9" s="498"/>
      <c r="O9" s="297"/>
      <c r="P9" s="551"/>
    </row>
    <row r="10" spans="1:34" ht="12" customHeight="1">
      <c r="A10" s="1985"/>
      <c r="B10" s="1986"/>
      <c r="C10" s="20" t="s">
        <v>19</v>
      </c>
      <c r="D10" s="19" t="s">
        <v>17</v>
      </c>
      <c r="E10" s="19" t="s">
        <v>18</v>
      </c>
      <c r="F10" s="420"/>
      <c r="G10" s="421"/>
      <c r="H10" s="421"/>
      <c r="I10" s="19" t="s">
        <v>33</v>
      </c>
      <c r="J10" s="19" t="s">
        <v>33</v>
      </c>
      <c r="K10" s="422" t="s">
        <v>19</v>
      </c>
      <c r="L10" s="15" t="s">
        <v>17</v>
      </c>
      <c r="M10" s="19" t="s">
        <v>18</v>
      </c>
      <c r="N10" s="20" t="s">
        <v>19</v>
      </c>
      <c r="O10" s="424" t="s">
        <v>17</v>
      </c>
      <c r="P10" s="503" t="s">
        <v>18</v>
      </c>
    </row>
    <row r="11" spans="1:34" ht="12" customHeight="1">
      <c r="A11" s="1985"/>
      <c r="B11" s="1986"/>
      <c r="C11" s="20" t="s">
        <v>29</v>
      </c>
      <c r="D11" s="19" t="s">
        <v>28</v>
      </c>
      <c r="E11" s="19" t="s">
        <v>28</v>
      </c>
      <c r="F11" s="15" t="s">
        <v>30</v>
      </c>
      <c r="G11" s="424" t="s">
        <v>31</v>
      </c>
      <c r="H11" s="424" t="s">
        <v>32</v>
      </c>
      <c r="I11" s="19" t="s">
        <v>39</v>
      </c>
      <c r="J11" s="19" t="s">
        <v>39</v>
      </c>
      <c r="K11" s="422" t="s">
        <v>29</v>
      </c>
      <c r="L11" s="15" t="s">
        <v>28</v>
      </c>
      <c r="M11" s="19" t="s">
        <v>34</v>
      </c>
      <c r="N11" s="20" t="s">
        <v>29</v>
      </c>
      <c r="O11" s="424" t="s">
        <v>28</v>
      </c>
      <c r="P11" s="503" t="s">
        <v>34</v>
      </c>
    </row>
    <row r="12" spans="1:34" ht="12" customHeight="1">
      <c r="A12" s="1987"/>
      <c r="B12" s="1988"/>
      <c r="C12" s="417"/>
      <c r="D12" s="425"/>
      <c r="E12" s="425"/>
      <c r="F12" s="426"/>
      <c r="G12" s="427"/>
      <c r="H12" s="427"/>
      <c r="I12" s="208"/>
      <c r="J12" s="208"/>
      <c r="K12" s="263"/>
      <c r="L12" s="418"/>
      <c r="M12" s="208"/>
      <c r="N12" s="417"/>
      <c r="O12" s="426"/>
      <c r="P12" s="518"/>
    </row>
    <row r="13" spans="1:34" ht="15" customHeight="1">
      <c r="A13" s="592" t="s">
        <v>169</v>
      </c>
      <c r="B13" s="558"/>
      <c r="C13" s="1078">
        <f>69+18+27+3+6</f>
        <v>123</v>
      </c>
      <c r="D13" s="1076">
        <f>3+3+6</f>
        <v>12</v>
      </c>
      <c r="E13" s="1077">
        <f>66+15+21+6</f>
        <v>108</v>
      </c>
      <c r="F13" s="1076">
        <f>24+9+9+3</f>
        <v>45</v>
      </c>
      <c r="G13" s="1076">
        <f>21+3+6</f>
        <v>30</v>
      </c>
      <c r="H13" s="1077">
        <f>27+6+12+3</f>
        <v>48</v>
      </c>
      <c r="I13" s="1067">
        <f>27+9+18+3</f>
        <v>57</v>
      </c>
      <c r="J13" s="1067">
        <f>12+6+3</f>
        <v>21</v>
      </c>
      <c r="K13" s="1080">
        <f>21+9+12+3</f>
        <v>45</v>
      </c>
      <c r="L13" s="1076">
        <f>3</f>
        <v>3</v>
      </c>
      <c r="M13" s="1077">
        <f>18+9+9+3</f>
        <v>39</v>
      </c>
      <c r="N13" s="1080">
        <f>15+6+9+3</f>
        <v>33</v>
      </c>
      <c r="O13" s="1076">
        <f>3</f>
        <v>3</v>
      </c>
      <c r="P13" s="1084">
        <f>12+6+9+3</f>
        <v>30</v>
      </c>
    </row>
    <row r="14" spans="1:34" ht="15" customHeight="1">
      <c r="A14" s="592" t="s">
        <v>49</v>
      </c>
      <c r="B14" s="121"/>
      <c r="C14" s="1069">
        <f>6</f>
        <v>6</v>
      </c>
      <c r="D14" s="5">
        <v>0</v>
      </c>
      <c r="E14" s="396">
        <f>6</f>
        <v>6</v>
      </c>
      <c r="F14" s="5">
        <f>3</f>
        <v>3</v>
      </c>
      <c r="G14" s="5">
        <f>3</f>
        <v>3</v>
      </c>
      <c r="H14" s="396">
        <f>0</f>
        <v>0</v>
      </c>
      <c r="I14" s="396">
        <v>6</v>
      </c>
      <c r="J14" s="396">
        <f>6+3</f>
        <v>9</v>
      </c>
      <c r="K14" s="1081">
        <v>3</v>
      </c>
      <c r="L14" s="5">
        <v>0</v>
      </c>
      <c r="M14" s="396">
        <v>3</v>
      </c>
      <c r="N14" s="1081">
        <v>3</v>
      </c>
      <c r="O14" s="5">
        <v>0</v>
      </c>
      <c r="P14" s="1038">
        <v>3</v>
      </c>
    </row>
    <row r="15" spans="1:34" ht="15" customHeight="1">
      <c r="A15" s="592" t="s">
        <v>52</v>
      </c>
      <c r="B15" s="121"/>
      <c r="C15" s="1069">
        <f>120+33+99+3+12</f>
        <v>267</v>
      </c>
      <c r="D15" s="5">
        <f>9+9+21</f>
        <v>39</v>
      </c>
      <c r="E15" s="396">
        <f>111+24+78+3+9</f>
        <v>225</v>
      </c>
      <c r="F15" s="5">
        <f>21+6+12</f>
        <v>39</v>
      </c>
      <c r="G15" s="5">
        <f>48+15+42+3</f>
        <v>108</v>
      </c>
      <c r="H15" s="396">
        <f>51+9+45+6</f>
        <v>111</v>
      </c>
      <c r="I15" s="396">
        <f>57+18+36+6</f>
        <v>117</v>
      </c>
      <c r="J15" s="396">
        <f>27+9+27+3+3</f>
        <v>69</v>
      </c>
      <c r="K15" s="1081">
        <f>39+9+42</f>
        <v>90</v>
      </c>
      <c r="L15" s="5">
        <f>3+9</f>
        <v>12</v>
      </c>
      <c r="M15" s="396">
        <f>36+9+33</f>
        <v>78</v>
      </c>
      <c r="N15" s="1081">
        <f>33+9+39</f>
        <v>81</v>
      </c>
      <c r="O15" s="5">
        <f>3+9</f>
        <v>12</v>
      </c>
      <c r="P15" s="1038">
        <f>30+9+30</f>
        <v>69</v>
      </c>
    </row>
    <row r="16" spans="1:34" ht="15" customHeight="1">
      <c r="A16" s="592" t="s">
        <v>48</v>
      </c>
      <c r="B16" s="557"/>
      <c r="C16" s="1069">
        <v>3</v>
      </c>
      <c r="D16" s="5">
        <v>0</v>
      </c>
      <c r="E16" s="396">
        <v>0</v>
      </c>
      <c r="F16" s="5">
        <v>3</v>
      </c>
      <c r="G16" s="5">
        <v>0</v>
      </c>
      <c r="H16" s="396">
        <v>0</v>
      </c>
      <c r="I16" s="396">
        <v>3</v>
      </c>
      <c r="J16" s="396">
        <v>3</v>
      </c>
      <c r="K16" s="1081">
        <v>0</v>
      </c>
      <c r="L16" s="5">
        <v>0</v>
      </c>
      <c r="M16" s="396">
        <v>0</v>
      </c>
      <c r="N16" s="1081">
        <v>0</v>
      </c>
      <c r="O16" s="5">
        <v>0</v>
      </c>
      <c r="P16" s="1038">
        <v>0</v>
      </c>
    </row>
    <row r="17" spans="1:16" ht="15" customHeight="1">
      <c r="A17" s="592" t="s">
        <v>53</v>
      </c>
      <c r="B17" s="557"/>
      <c r="C17" s="1069">
        <f>108+27+210+21+9</f>
        <v>375</v>
      </c>
      <c r="D17" s="5">
        <f>12+3+36+6+3</f>
        <v>60</v>
      </c>
      <c r="E17" s="396">
        <f>93+24+177+15+9</f>
        <v>318</v>
      </c>
      <c r="F17" s="5">
        <f>36+6+42+6</f>
        <v>90</v>
      </c>
      <c r="G17" s="5">
        <f>42+6+75+9+3</f>
        <v>135</v>
      </c>
      <c r="H17" s="396">
        <f>30+15+93+9+6</f>
        <v>153</v>
      </c>
      <c r="I17" s="396">
        <f>48+9+99+9+3</f>
        <v>168</v>
      </c>
      <c r="J17" s="396">
        <f>21+3+30+6+3</f>
        <v>63</v>
      </c>
      <c r="K17" s="1081">
        <f>45+12+81+9+3</f>
        <v>150</v>
      </c>
      <c r="L17" s="5">
        <f>6+3+18+3</f>
        <v>30</v>
      </c>
      <c r="M17" s="396">
        <f>39+12+66+6+3</f>
        <v>126</v>
      </c>
      <c r="N17" s="1081">
        <f>39+12+66+6+3</f>
        <v>126</v>
      </c>
      <c r="O17" s="5">
        <f>6+3+15+3</f>
        <v>27</v>
      </c>
      <c r="P17" s="1038">
        <f>33+9+51+6+3</f>
        <v>102</v>
      </c>
    </row>
    <row r="18" spans="1:16" ht="15" customHeight="1">
      <c r="A18" s="592" t="s">
        <v>50</v>
      </c>
      <c r="B18" s="558"/>
      <c r="C18" s="1069">
        <f>9+12+3</f>
        <v>24</v>
      </c>
      <c r="D18" s="5">
        <v>3</v>
      </c>
      <c r="E18" s="396">
        <f>9+9+3</f>
        <v>21</v>
      </c>
      <c r="F18" s="5">
        <f>9+12+3</f>
        <v>24</v>
      </c>
      <c r="G18" s="5">
        <v>0</v>
      </c>
      <c r="H18" s="396">
        <v>0</v>
      </c>
      <c r="I18" s="396">
        <f>9+12+3</f>
        <v>24</v>
      </c>
      <c r="J18" s="396">
        <f>3+3</f>
        <v>6</v>
      </c>
      <c r="K18" s="1081">
        <v>3</v>
      </c>
      <c r="L18" s="5">
        <v>3</v>
      </c>
      <c r="M18" s="396">
        <v>0</v>
      </c>
      <c r="N18" s="1081">
        <v>3</v>
      </c>
      <c r="O18" s="5">
        <v>3</v>
      </c>
      <c r="P18" s="1038">
        <v>0</v>
      </c>
    </row>
    <row r="19" spans="1:16" ht="15" customHeight="1">
      <c r="A19" s="592" t="s">
        <v>183</v>
      </c>
      <c r="B19" s="558"/>
      <c r="C19" s="1069">
        <f>69+3+33+9</f>
        <v>114</v>
      </c>
      <c r="D19" s="5">
        <f>6+6+3</f>
        <v>15</v>
      </c>
      <c r="E19" s="396">
        <f>60+3+27+6</f>
        <v>96</v>
      </c>
      <c r="F19" s="5">
        <f>21+3+3</f>
        <v>27</v>
      </c>
      <c r="G19" s="5">
        <f>27+21+3</f>
        <v>51</v>
      </c>
      <c r="H19" s="396">
        <f>21+3+9+3</f>
        <v>36</v>
      </c>
      <c r="I19" s="396">
        <f>33+3+18+3</f>
        <v>57</v>
      </c>
      <c r="J19" s="396">
        <f>15+3+6+6</f>
        <v>30</v>
      </c>
      <c r="K19" s="1081">
        <f>24+18+3</f>
        <v>45</v>
      </c>
      <c r="L19" s="5">
        <f>6+3</f>
        <v>9</v>
      </c>
      <c r="M19" s="396">
        <f>18+15+3</f>
        <v>36</v>
      </c>
      <c r="N19" s="1081">
        <f>21+15+3</f>
        <v>39</v>
      </c>
      <c r="O19" s="5">
        <f>3+3</f>
        <v>6</v>
      </c>
      <c r="P19" s="1038">
        <f>18+12</f>
        <v>30</v>
      </c>
    </row>
    <row r="20" spans="1:16" ht="15" customHeight="1">
      <c r="A20" s="592" t="s">
        <v>44</v>
      </c>
      <c r="B20" s="121"/>
      <c r="C20" s="1069">
        <f>90+15+57+3+9</f>
        <v>174</v>
      </c>
      <c r="D20" s="5">
        <f>15+3+9</f>
        <v>27</v>
      </c>
      <c r="E20" s="396">
        <f>75+12+48+3+9</f>
        <v>147</v>
      </c>
      <c r="F20" s="5">
        <f>24+3+9+3</f>
        <v>39</v>
      </c>
      <c r="G20" s="5">
        <f>30+9+24+3</f>
        <v>66</v>
      </c>
      <c r="H20" s="396">
        <f>36+3+24+6</f>
        <v>69</v>
      </c>
      <c r="I20" s="396">
        <f>48+9+33+3+3</f>
        <v>96</v>
      </c>
      <c r="J20" s="396">
        <f>15+27</f>
        <v>42</v>
      </c>
      <c r="K20" s="1081">
        <f>30+9+24+3</f>
        <v>66</v>
      </c>
      <c r="L20" s="5">
        <f>9+6</f>
        <v>15</v>
      </c>
      <c r="M20" s="396">
        <f>21+9+18+3</f>
        <v>51</v>
      </c>
      <c r="N20" s="1081">
        <f>30+9+18+3</f>
        <v>60</v>
      </c>
      <c r="O20" s="5">
        <f>6+6</f>
        <v>12</v>
      </c>
      <c r="P20" s="1038">
        <f>21+6+15+3</f>
        <v>45</v>
      </c>
    </row>
    <row r="21" spans="1:16" ht="15" customHeight="1">
      <c r="A21" s="592" t="s">
        <v>45</v>
      </c>
      <c r="B21" s="121"/>
      <c r="C21" s="1069">
        <f>78+21+45+6+15</f>
        <v>165</v>
      </c>
      <c r="D21" s="5">
        <f>9+6+9</f>
        <v>24</v>
      </c>
      <c r="E21" s="396">
        <f>69+15+36+3+15</f>
        <v>138</v>
      </c>
      <c r="F21" s="5">
        <f>30+6+12+3</f>
        <v>51</v>
      </c>
      <c r="G21" s="5">
        <f>27+9+18+3+6</f>
        <v>63</v>
      </c>
      <c r="H21" s="396">
        <f>21+6+15+3+6</f>
        <v>51</v>
      </c>
      <c r="I21" s="396">
        <f>36+9+21+6</f>
        <v>72</v>
      </c>
      <c r="J21" s="396">
        <f>18+9+3+3</f>
        <v>33</v>
      </c>
      <c r="K21" s="1081">
        <f>21+3+12+6</f>
        <v>42</v>
      </c>
      <c r="L21" s="5">
        <f>3+3</f>
        <v>6</v>
      </c>
      <c r="M21" s="396">
        <f>18+3+9+6</f>
        <v>36</v>
      </c>
      <c r="N21" s="1081">
        <f>18+3+12+3</f>
        <v>36</v>
      </c>
      <c r="O21" s="5">
        <f>3+3</f>
        <v>6</v>
      </c>
      <c r="P21" s="1038">
        <f>15+3+9+3</f>
        <v>30</v>
      </c>
    </row>
    <row r="22" spans="1:16" ht="15" customHeight="1">
      <c r="A22" s="592" t="s">
        <v>55</v>
      </c>
      <c r="B22" s="558"/>
      <c r="C22" s="1069">
        <f>12+6+3+6</f>
        <v>27</v>
      </c>
      <c r="D22" s="5">
        <f>3+3</f>
        <v>6</v>
      </c>
      <c r="E22" s="396">
        <f>12+3+3+6</f>
        <v>24</v>
      </c>
      <c r="F22" s="5">
        <f>3</f>
        <v>3</v>
      </c>
      <c r="G22" s="5">
        <f>3</f>
        <v>3</v>
      </c>
      <c r="H22" s="396">
        <f>6+3+6</f>
        <v>15</v>
      </c>
      <c r="I22" s="396">
        <f>6+3+3</f>
        <v>12</v>
      </c>
      <c r="J22" s="396">
        <v>3</v>
      </c>
      <c r="K22" s="1081">
        <f>3+3</f>
        <v>6</v>
      </c>
      <c r="L22" s="5">
        <v>0</v>
      </c>
      <c r="M22" s="396">
        <f>3+3</f>
        <v>6</v>
      </c>
      <c r="N22" s="1081">
        <f>3+3</f>
        <v>6</v>
      </c>
      <c r="O22" s="5">
        <v>0</v>
      </c>
      <c r="P22" s="1038">
        <f>3+3</f>
        <v>6</v>
      </c>
    </row>
    <row r="23" spans="1:16" ht="15" customHeight="1">
      <c r="A23" s="592" t="s">
        <v>46</v>
      </c>
      <c r="B23" s="121"/>
      <c r="C23" s="1070">
        <f>3+3</f>
        <v>6</v>
      </c>
      <c r="D23" s="1063">
        <v>0</v>
      </c>
      <c r="E23" s="1064">
        <f>3+3</f>
        <v>6</v>
      </c>
      <c r="F23" s="1063">
        <f>3</f>
        <v>3</v>
      </c>
      <c r="G23" s="1063">
        <f>3+3</f>
        <v>6</v>
      </c>
      <c r="H23" s="1064">
        <f>0</f>
        <v>0</v>
      </c>
      <c r="I23" s="396">
        <f>3+3</f>
        <v>6</v>
      </c>
      <c r="J23" s="396">
        <v>3</v>
      </c>
      <c r="K23" s="1082">
        <v>3</v>
      </c>
      <c r="L23" s="1063">
        <v>0</v>
      </c>
      <c r="M23" s="1064">
        <v>3</v>
      </c>
      <c r="N23" s="1082">
        <v>3</v>
      </c>
      <c r="O23" s="1063">
        <v>0</v>
      </c>
      <c r="P23" s="1036">
        <v>3</v>
      </c>
    </row>
    <row r="24" spans="1:16" ht="15" customHeight="1">
      <c r="A24" s="592" t="s">
        <v>47</v>
      </c>
      <c r="B24" s="558"/>
      <c r="C24" s="1069">
        <f>60+30+9+3+3</f>
        <v>105</v>
      </c>
      <c r="D24" s="5">
        <f>3+6+3+3</f>
        <v>15</v>
      </c>
      <c r="E24" s="396">
        <f>57+24+6+3+3</f>
        <v>93</v>
      </c>
      <c r="F24" s="5">
        <f>21+12</f>
        <v>33</v>
      </c>
      <c r="G24" s="5">
        <f>24+9+3+3</f>
        <v>39</v>
      </c>
      <c r="H24" s="396">
        <f>15+9+6</f>
        <v>30</v>
      </c>
      <c r="I24" s="258">
        <f>24+15+6+3</f>
        <v>48</v>
      </c>
      <c r="J24" s="258">
        <f>9+3+3</f>
        <v>15</v>
      </c>
      <c r="K24" s="1081">
        <f>24+15+9</f>
        <v>48</v>
      </c>
      <c r="L24" s="5">
        <f>3+3+3</f>
        <v>9</v>
      </c>
      <c r="M24" s="396">
        <f>21+12+6</f>
        <v>39</v>
      </c>
      <c r="N24" s="1081">
        <f>15+9+9</f>
        <v>33</v>
      </c>
      <c r="O24" s="5">
        <f>3+3+3</f>
        <v>9</v>
      </c>
      <c r="P24" s="1038">
        <f>12+6+6</f>
        <v>24</v>
      </c>
    </row>
    <row r="25" spans="1:16" ht="15" customHeight="1">
      <c r="A25" s="592" t="s">
        <v>51</v>
      </c>
      <c r="B25" s="121"/>
      <c r="C25" s="1069">
        <f>27+3+6</f>
        <v>36</v>
      </c>
      <c r="D25" s="5">
        <f>6+3</f>
        <v>9</v>
      </c>
      <c r="E25" s="396">
        <f>18+3+3</f>
        <v>24</v>
      </c>
      <c r="F25" s="5">
        <v>6</v>
      </c>
      <c r="G25" s="5">
        <f>12+3+3</f>
        <v>18</v>
      </c>
      <c r="H25" s="396">
        <f>9+3</f>
        <v>12</v>
      </c>
      <c r="I25" s="396">
        <f>12+3</f>
        <v>15</v>
      </c>
      <c r="J25" s="396">
        <f>6+3</f>
        <v>9</v>
      </c>
      <c r="K25" s="1081">
        <f>12+3</f>
        <v>15</v>
      </c>
      <c r="L25" s="5">
        <f>3</f>
        <v>3</v>
      </c>
      <c r="M25" s="396">
        <f>6+3</f>
        <v>9</v>
      </c>
      <c r="N25" s="1081">
        <f>9</f>
        <v>9</v>
      </c>
      <c r="O25" s="5">
        <f>3</f>
        <v>3</v>
      </c>
      <c r="P25" s="1038">
        <f>6</f>
        <v>6</v>
      </c>
    </row>
    <row r="26" spans="1:16" ht="15" customHeight="1">
      <c r="A26" s="592" t="s">
        <v>56</v>
      </c>
      <c r="B26" s="121"/>
      <c r="C26" s="1069">
        <f>63+3+3</f>
        <v>69</v>
      </c>
      <c r="D26" s="5">
        <f>12+3</f>
        <v>15</v>
      </c>
      <c r="E26" s="396">
        <f>51+3+3</f>
        <v>57</v>
      </c>
      <c r="F26" s="5">
        <v>21</v>
      </c>
      <c r="G26" s="5">
        <f>24+3+3</f>
        <v>30</v>
      </c>
      <c r="H26" s="396">
        <f>18+3</f>
        <v>21</v>
      </c>
      <c r="I26" s="396">
        <f>27+3+3</f>
        <v>33</v>
      </c>
      <c r="J26" s="396">
        <v>3</v>
      </c>
      <c r="K26" s="1081">
        <f>24</f>
        <v>24</v>
      </c>
      <c r="L26" s="5">
        <f>3</f>
        <v>3</v>
      </c>
      <c r="M26" s="396">
        <f>21</f>
        <v>21</v>
      </c>
      <c r="N26" s="1081">
        <f>21</f>
        <v>21</v>
      </c>
      <c r="O26" s="5">
        <f>3</f>
        <v>3</v>
      </c>
      <c r="P26" s="1038">
        <f>18</f>
        <v>18</v>
      </c>
    </row>
    <row r="27" spans="1:16" s="70" customFormat="1" ht="15" customHeight="1">
      <c r="A27" s="592" t="s">
        <v>57</v>
      </c>
      <c r="B27" s="122"/>
      <c r="C27" s="1069">
        <f>36+3</f>
        <v>39</v>
      </c>
      <c r="D27" s="5">
        <v>3</v>
      </c>
      <c r="E27" s="396">
        <f>33+3</f>
        <v>36</v>
      </c>
      <c r="F27" s="5">
        <v>15</v>
      </c>
      <c r="G27" s="5">
        <f>12+3</f>
        <v>15</v>
      </c>
      <c r="H27" s="396">
        <v>9</v>
      </c>
      <c r="I27" s="396">
        <f>18+3</f>
        <v>21</v>
      </c>
      <c r="J27" s="396">
        <v>6</v>
      </c>
      <c r="K27" s="1081">
        <f>18+3</f>
        <v>21</v>
      </c>
      <c r="L27" s="5">
        <v>3</v>
      </c>
      <c r="M27" s="396">
        <v>15</v>
      </c>
      <c r="N27" s="1081">
        <f>18+3</f>
        <v>21</v>
      </c>
      <c r="O27" s="5">
        <v>3</v>
      </c>
      <c r="P27" s="1038">
        <v>15</v>
      </c>
    </row>
    <row r="28" spans="1:16" s="7" customFormat="1" ht="15" customHeight="1">
      <c r="A28" s="592" t="s">
        <v>59</v>
      </c>
      <c r="B28" s="122"/>
      <c r="C28" s="1069">
        <v>24</v>
      </c>
      <c r="D28" s="5">
        <v>3</v>
      </c>
      <c r="E28" s="396">
        <v>21</v>
      </c>
      <c r="F28" s="5">
        <v>9</v>
      </c>
      <c r="G28" s="5">
        <v>9</v>
      </c>
      <c r="H28" s="396">
        <v>6</v>
      </c>
      <c r="I28" s="1037">
        <v>15</v>
      </c>
      <c r="J28" s="1037">
        <v>3</v>
      </c>
      <c r="K28" s="1081">
        <v>9</v>
      </c>
      <c r="L28" s="5">
        <v>0</v>
      </c>
      <c r="M28" s="396">
        <v>9</v>
      </c>
      <c r="N28" s="1081">
        <v>9</v>
      </c>
      <c r="O28" s="5">
        <v>0</v>
      </c>
      <c r="P28" s="1038">
        <v>9</v>
      </c>
    </row>
    <row r="29" spans="1:16" s="39" customFormat="1" ht="4.5" customHeight="1">
      <c r="A29" s="329"/>
      <c r="B29" s="557"/>
      <c r="C29" s="408"/>
      <c r="D29" s="406"/>
      <c r="E29" s="407"/>
      <c r="F29" s="406"/>
      <c r="G29" s="406"/>
      <c r="H29" s="407"/>
      <c r="I29" s="1079"/>
      <c r="J29" s="1079"/>
      <c r="K29" s="1083"/>
      <c r="L29" s="406"/>
      <c r="M29" s="407"/>
      <c r="N29" s="1083"/>
      <c r="O29" s="406"/>
      <c r="P29" s="1085"/>
    </row>
    <row r="30" spans="1:16" s="70" customFormat="1" ht="21" customHeight="1" thickBot="1">
      <c r="A30" s="593" t="s">
        <v>60</v>
      </c>
      <c r="B30" s="541"/>
      <c r="C30" s="1068">
        <f>765+168+513+42+72</f>
        <v>1560</v>
      </c>
      <c r="D30" s="580">
        <f>84+33+96+12+9</f>
        <v>234</v>
      </c>
      <c r="E30" s="1065">
        <f>681+135+414+30+63</f>
        <v>1323</v>
      </c>
      <c r="F30" s="580">
        <f>234+54+105+15+12</f>
        <v>420</v>
      </c>
      <c r="G30" s="580">
        <f>285+57+195+12+24</f>
        <v>573</v>
      </c>
      <c r="H30" s="1065">
        <f>246+57+213+15+36</f>
        <v>567</v>
      </c>
      <c r="I30" s="1066">
        <f>357+87+252+21+30</f>
        <v>747</v>
      </c>
      <c r="J30" s="1066">
        <f>147+30+111+12+15</f>
        <v>315</v>
      </c>
      <c r="K30" s="580">
        <f>273+63+210+9+18</f>
        <v>573</v>
      </c>
      <c r="L30" s="580">
        <f>39+9+45+3</f>
        <v>96</v>
      </c>
      <c r="M30" s="1065">
        <f>234+54+165+9+18</f>
        <v>480</v>
      </c>
      <c r="N30" s="580">
        <f>234+45+177+9+12</f>
        <v>477</v>
      </c>
      <c r="O30" s="580">
        <f>36+6+39+3</f>
        <v>84</v>
      </c>
      <c r="P30" s="1039">
        <f>198+39+138+6+12</f>
        <v>393</v>
      </c>
    </row>
    <row r="31" spans="1:16" s="70" customFormat="1" ht="3.6" customHeight="1">
      <c r="A31" s="6"/>
      <c r="B31" s="6"/>
      <c r="C31" s="6"/>
      <c r="D31" s="6"/>
      <c r="E31" s="6"/>
      <c r="F31" s="6"/>
      <c r="G31" s="6"/>
      <c r="H31" s="6"/>
      <c r="I31" s="6"/>
      <c r="J31" s="6"/>
      <c r="K31" s="6"/>
      <c r="L31" s="6"/>
      <c r="M31" s="53"/>
      <c r="N31" s="6"/>
    </row>
    <row r="32" spans="1:16" ht="11.1" customHeight="1">
      <c r="A32" s="70" t="s">
        <v>299</v>
      </c>
      <c r="B32" s="71"/>
    </row>
    <row r="33" spans="1:16" s="82" customFormat="1" ht="12" customHeight="1">
      <c r="A33" s="70" t="s">
        <v>311</v>
      </c>
      <c r="D33" s="135"/>
      <c r="E33" s="135"/>
      <c r="F33" s="135"/>
      <c r="G33" s="135"/>
      <c r="H33" s="135"/>
      <c r="I33" s="135"/>
      <c r="J33" s="135"/>
      <c r="K33" s="135"/>
      <c r="L33" s="135"/>
      <c r="M33" s="135"/>
      <c r="N33" s="135"/>
      <c r="O33" s="135"/>
      <c r="P33" s="135"/>
    </row>
    <row r="34" spans="1:16" ht="11.85" customHeight="1">
      <c r="A34" s="71"/>
      <c r="B34" s="71"/>
      <c r="F34" s="123"/>
      <c r="G34" s="123"/>
      <c r="H34" s="123"/>
      <c r="I34" s="429"/>
    </row>
    <row r="35" spans="1:16" s="70" customFormat="1"/>
    <row r="36" spans="1:16" ht="12" thickBot="1">
      <c r="A36" s="593" t="s">
        <v>60</v>
      </c>
      <c r="B36" s="598"/>
      <c r="C36" s="1068">
        <v>1557</v>
      </c>
      <c r="D36" s="580">
        <v>231</v>
      </c>
      <c r="E36" s="1065">
        <v>1320</v>
      </c>
      <c r="F36" s="580">
        <v>411</v>
      </c>
      <c r="G36" s="580">
        <v>576</v>
      </c>
      <c r="H36" s="1065">
        <v>561</v>
      </c>
      <c r="I36" s="580">
        <v>750</v>
      </c>
      <c r="J36" s="1066">
        <v>318</v>
      </c>
      <c r="K36" s="1068">
        <v>570</v>
      </c>
      <c r="L36" s="580">
        <v>96</v>
      </c>
      <c r="M36" s="1065">
        <v>471</v>
      </c>
      <c r="N36" s="1068">
        <v>483</v>
      </c>
      <c r="O36" s="580">
        <v>87</v>
      </c>
      <c r="P36" s="1039">
        <v>390</v>
      </c>
    </row>
    <row r="37" spans="1:16" ht="12" thickBot="1">
      <c r="A37" s="593" t="s">
        <v>386</v>
      </c>
      <c r="B37" s="598"/>
      <c r="C37" s="1292">
        <f t="shared" ref="C37:P37" si="0">C30-C36</f>
        <v>3</v>
      </c>
      <c r="D37" s="1293">
        <f t="shared" si="0"/>
        <v>3</v>
      </c>
      <c r="E37" s="1294">
        <f t="shared" si="0"/>
        <v>3</v>
      </c>
      <c r="F37" s="1314">
        <f t="shared" si="0"/>
        <v>9</v>
      </c>
      <c r="G37" s="1295">
        <f t="shared" si="0"/>
        <v>-3</v>
      </c>
      <c r="H37" s="1298">
        <f t="shared" si="0"/>
        <v>6</v>
      </c>
      <c r="I37" s="1295">
        <f t="shared" si="0"/>
        <v>-3</v>
      </c>
      <c r="J37" s="1336">
        <f t="shared" si="0"/>
        <v>-3</v>
      </c>
      <c r="K37" s="1292">
        <f t="shared" si="0"/>
        <v>3</v>
      </c>
      <c r="L37" s="1304">
        <f t="shared" si="0"/>
        <v>0</v>
      </c>
      <c r="M37" s="1294">
        <f t="shared" si="0"/>
        <v>9</v>
      </c>
      <c r="N37" s="1328">
        <f t="shared" si="0"/>
        <v>-6</v>
      </c>
      <c r="O37" s="1295">
        <f t="shared" si="0"/>
        <v>-3</v>
      </c>
      <c r="P37" s="1341">
        <f t="shared" si="0"/>
        <v>3</v>
      </c>
    </row>
  </sheetData>
  <mergeCells count="4">
    <mergeCell ref="A6:B12"/>
    <mergeCell ref="C6:H7"/>
    <mergeCell ref="K6:P6"/>
    <mergeCell ref="N7:P8"/>
  </mergeCells>
  <printOptions horizontalCentered="1"/>
  <pageMargins left="0.39370078740157483" right="0.19685039370078741" top="0.78740157480314965" bottom="0.43307086614173229" header="0.51181102362204722" footer="0.23622047244094491"/>
  <pageSetup paperSize="9" orientation="landscape" r:id="rId1"/>
  <headerFooter alignWithMargins="0">
    <oddHeader>&amp;C&amp;"Arial,Standard"&amp;8- 11 - &amp;R&amp;8&amp;D</oddHeader>
    <oddFooter>&amp;R
&amp;12...</oddFooter>
  </headerFooter>
  <ignoredErrors>
    <ignoredError sqref="F23 H23 O20 J25:J26"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V285"/>
  <sheetViews>
    <sheetView zoomScale="110" zoomScaleNormal="110" zoomScaleSheetLayoutView="100" workbookViewId="0"/>
  </sheetViews>
  <sheetFormatPr baseColWidth="10" defaultColWidth="11.42578125" defaultRowHeight="16.5"/>
  <cols>
    <col min="1" max="1" width="19.85546875" style="1575" customWidth="1"/>
    <col min="2" max="2" width="19.5703125" style="1575" customWidth="1"/>
    <col min="3" max="3" width="9.42578125" style="1571" customWidth="1"/>
    <col min="4" max="4" width="14.5703125" style="1571" customWidth="1"/>
    <col min="5" max="5" width="14" style="1571" customWidth="1"/>
    <col min="6" max="8" width="11.5703125" style="1571" customWidth="1"/>
    <col min="9" max="10" width="18" style="1571" customWidth="1"/>
    <col min="11" max="11" width="10.5703125" style="1571" customWidth="1"/>
    <col min="12" max="16384" width="11.42578125" style="1398"/>
  </cols>
  <sheetData>
    <row r="1" spans="1:10" ht="18">
      <c r="A1" s="1599" t="s">
        <v>424</v>
      </c>
      <c r="B1" s="1423"/>
      <c r="C1" s="1423"/>
      <c r="D1" s="1423"/>
      <c r="E1" s="1423"/>
      <c r="F1" s="1423"/>
      <c r="G1" s="1423"/>
      <c r="H1" s="1423"/>
      <c r="I1" s="1423"/>
      <c r="J1" s="1423"/>
    </row>
    <row r="2" spans="1:10" ht="18">
      <c r="A2" s="1600" t="s">
        <v>157</v>
      </c>
      <c r="B2" s="1423"/>
      <c r="C2" s="1423"/>
      <c r="D2" s="1423"/>
      <c r="E2" s="1423"/>
      <c r="F2" s="1423"/>
      <c r="G2" s="1423"/>
      <c r="H2" s="1423"/>
      <c r="I2" s="1423"/>
      <c r="J2" s="1423"/>
    </row>
    <row r="3" spans="1:10" ht="18">
      <c r="A3" s="1600" t="s">
        <v>559</v>
      </c>
      <c r="B3" s="1424"/>
      <c r="C3" s="1423"/>
      <c r="D3" s="1423"/>
      <c r="E3" s="1423"/>
      <c r="F3" s="1423"/>
      <c r="G3" s="1423"/>
      <c r="H3" s="1423"/>
      <c r="I3" s="1423"/>
      <c r="J3" s="1423"/>
    </row>
    <row r="4" spans="1:10" ht="66">
      <c r="A4" s="1409" t="s">
        <v>43</v>
      </c>
      <c r="B4" s="1713" t="s">
        <v>465</v>
      </c>
      <c r="C4" s="1421" t="s">
        <v>94</v>
      </c>
      <c r="D4" s="1420" t="s">
        <v>416</v>
      </c>
      <c r="E4" s="1409" t="s">
        <v>417</v>
      </c>
      <c r="F4" s="1419" t="s">
        <v>419</v>
      </c>
      <c r="G4" s="1419" t="s">
        <v>420</v>
      </c>
      <c r="H4" s="1419" t="s">
        <v>421</v>
      </c>
      <c r="I4" s="1419" t="s">
        <v>414</v>
      </c>
      <c r="J4" s="1418" t="s">
        <v>415</v>
      </c>
    </row>
    <row r="5" spans="1:10">
      <c r="A5" s="1563" t="s">
        <v>437</v>
      </c>
      <c r="B5" s="1579" t="s">
        <v>64</v>
      </c>
      <c r="C5" s="1580">
        <f>SUM(C6:C12)</f>
        <v>441</v>
      </c>
      <c r="D5" s="1581">
        <f t="shared" ref="D5:J5" si="0">SUM(D6:D12)</f>
        <v>336</v>
      </c>
      <c r="E5" s="1582">
        <f t="shared" si="0"/>
        <v>105</v>
      </c>
      <c r="F5" s="1581">
        <f t="shared" si="0"/>
        <v>129</v>
      </c>
      <c r="G5" s="1727">
        <f t="shared" si="0"/>
        <v>135</v>
      </c>
      <c r="H5" s="1582">
        <f t="shared" si="0"/>
        <v>177</v>
      </c>
      <c r="I5" s="1580">
        <f t="shared" si="0"/>
        <v>147</v>
      </c>
      <c r="J5" s="1580">
        <f t="shared" si="0"/>
        <v>60</v>
      </c>
    </row>
    <row r="6" spans="1:10">
      <c r="A6" s="1896" t="s">
        <v>437</v>
      </c>
      <c r="B6" s="1583" t="s">
        <v>65</v>
      </c>
      <c r="C6" s="1584">
        <v>39</v>
      </c>
      <c r="D6" s="1585">
        <v>15</v>
      </c>
      <c r="E6" s="1586">
        <v>24</v>
      </c>
      <c r="F6" s="1719">
        <v>12</v>
      </c>
      <c r="G6" s="1720">
        <v>12</v>
      </c>
      <c r="H6" s="1589">
        <v>15</v>
      </c>
      <c r="I6" s="1587">
        <v>15</v>
      </c>
      <c r="J6" s="1584">
        <v>6</v>
      </c>
    </row>
    <row r="7" spans="1:10">
      <c r="A7" s="1896" t="s">
        <v>437</v>
      </c>
      <c r="B7" s="1583" t="s">
        <v>66</v>
      </c>
      <c r="C7" s="1584">
        <v>18</v>
      </c>
      <c r="D7" s="1585">
        <v>9</v>
      </c>
      <c r="E7" s="1586">
        <v>9</v>
      </c>
      <c r="F7" s="1719">
        <v>3</v>
      </c>
      <c r="G7" s="1720">
        <v>6</v>
      </c>
      <c r="H7" s="1589">
        <v>9</v>
      </c>
      <c r="I7" s="1587">
        <v>6</v>
      </c>
      <c r="J7" s="1584">
        <v>3</v>
      </c>
    </row>
    <row r="8" spans="1:10">
      <c r="A8" s="1896" t="s">
        <v>437</v>
      </c>
      <c r="B8" s="1583" t="s">
        <v>67</v>
      </c>
      <c r="C8" s="1584">
        <v>51</v>
      </c>
      <c r="D8" s="1585">
        <v>42</v>
      </c>
      <c r="E8" s="1586">
        <v>12</v>
      </c>
      <c r="F8" s="1719">
        <v>12</v>
      </c>
      <c r="G8" s="1720">
        <v>21</v>
      </c>
      <c r="H8" s="1589">
        <v>21</v>
      </c>
      <c r="I8" s="1587">
        <v>15</v>
      </c>
      <c r="J8" s="1584">
        <v>12</v>
      </c>
    </row>
    <row r="9" spans="1:10">
      <c r="A9" s="1896" t="s">
        <v>437</v>
      </c>
      <c r="B9" s="1583" t="s">
        <v>68</v>
      </c>
      <c r="C9" s="1584">
        <v>0</v>
      </c>
      <c r="D9" s="1585">
        <v>0</v>
      </c>
      <c r="E9" s="1586">
        <v>0</v>
      </c>
      <c r="F9" s="1719">
        <v>0</v>
      </c>
      <c r="G9" s="1720">
        <v>0</v>
      </c>
      <c r="H9" s="1589">
        <v>0</v>
      </c>
      <c r="I9" s="1589">
        <v>0</v>
      </c>
      <c r="J9" s="1584">
        <v>0</v>
      </c>
    </row>
    <row r="10" spans="1:10">
      <c r="A10" s="1896" t="s">
        <v>437</v>
      </c>
      <c r="B10" s="1583" t="s">
        <v>69</v>
      </c>
      <c r="C10" s="1584">
        <v>297</v>
      </c>
      <c r="D10" s="1585">
        <v>252</v>
      </c>
      <c r="E10" s="1586">
        <v>45</v>
      </c>
      <c r="F10" s="1719">
        <v>90</v>
      </c>
      <c r="G10" s="1720">
        <v>81</v>
      </c>
      <c r="H10" s="1589">
        <v>126</v>
      </c>
      <c r="I10" s="1587">
        <v>99</v>
      </c>
      <c r="J10" s="1584">
        <v>36</v>
      </c>
    </row>
    <row r="11" spans="1:10">
      <c r="A11" s="1896" t="s">
        <v>437</v>
      </c>
      <c r="B11" s="1583" t="s">
        <v>70</v>
      </c>
      <c r="C11" s="1584">
        <v>33</v>
      </c>
      <c r="D11" s="1585">
        <v>18</v>
      </c>
      <c r="E11" s="1586">
        <v>15</v>
      </c>
      <c r="F11" s="1719">
        <v>12</v>
      </c>
      <c r="G11" s="1720">
        <v>15</v>
      </c>
      <c r="H11" s="1589">
        <v>6</v>
      </c>
      <c r="I11" s="1590">
        <v>12</v>
      </c>
      <c r="J11" s="1584">
        <v>3</v>
      </c>
    </row>
    <row r="12" spans="1:10">
      <c r="A12" s="1896" t="s">
        <v>437</v>
      </c>
      <c r="B12" s="1591" t="s">
        <v>71</v>
      </c>
      <c r="C12" s="1584">
        <v>3</v>
      </c>
      <c r="D12" s="1585">
        <v>0</v>
      </c>
      <c r="E12" s="1586">
        <v>0</v>
      </c>
      <c r="F12" s="1719">
        <v>0</v>
      </c>
      <c r="G12" s="1720">
        <v>0</v>
      </c>
      <c r="H12" s="1589">
        <v>0</v>
      </c>
      <c r="I12" s="1589">
        <v>0</v>
      </c>
      <c r="J12" s="1589">
        <v>0</v>
      </c>
    </row>
    <row r="13" spans="1:10">
      <c r="A13" s="1564" t="s">
        <v>438</v>
      </c>
      <c r="B13" s="1579" t="s">
        <v>64</v>
      </c>
      <c r="C13" s="1580">
        <f>SUM(C14:C20)</f>
        <v>246</v>
      </c>
      <c r="D13" s="1581">
        <f t="shared" ref="D13:J13" si="1">SUM(D14:D20)</f>
        <v>189</v>
      </c>
      <c r="E13" s="1582">
        <f t="shared" si="1"/>
        <v>54</v>
      </c>
      <c r="F13" s="1581">
        <f t="shared" si="1"/>
        <v>72</v>
      </c>
      <c r="G13" s="1727">
        <f t="shared" si="1"/>
        <v>90</v>
      </c>
      <c r="H13" s="1582">
        <f t="shared" si="1"/>
        <v>87</v>
      </c>
      <c r="I13" s="1580">
        <f t="shared" si="1"/>
        <v>99</v>
      </c>
      <c r="J13" s="1580">
        <f t="shared" si="1"/>
        <v>39</v>
      </c>
    </row>
    <row r="14" spans="1:10">
      <c r="A14" s="1896" t="s">
        <v>438</v>
      </c>
      <c r="B14" s="1583" t="s">
        <v>65</v>
      </c>
      <c r="C14" s="1584">
        <v>3</v>
      </c>
      <c r="D14" s="1585">
        <v>0</v>
      </c>
      <c r="E14" s="1586">
        <v>3</v>
      </c>
      <c r="F14" s="1719">
        <v>0</v>
      </c>
      <c r="G14" s="1720">
        <v>0</v>
      </c>
      <c r="H14" s="1589">
        <v>0</v>
      </c>
      <c r="I14" s="1589">
        <v>0</v>
      </c>
      <c r="J14" s="1589">
        <v>0</v>
      </c>
    </row>
    <row r="15" spans="1:10">
      <c r="A15" s="1896" t="s">
        <v>438</v>
      </c>
      <c r="B15" s="1583" t="s">
        <v>66</v>
      </c>
      <c r="C15" s="1584">
        <v>0</v>
      </c>
      <c r="D15" s="1585">
        <v>0</v>
      </c>
      <c r="E15" s="1586">
        <v>0</v>
      </c>
      <c r="F15" s="1719">
        <v>0</v>
      </c>
      <c r="G15" s="1720">
        <v>0</v>
      </c>
      <c r="H15" s="1589">
        <v>0</v>
      </c>
      <c r="I15" s="1589">
        <v>0</v>
      </c>
      <c r="J15" s="1843">
        <v>3</v>
      </c>
    </row>
    <row r="16" spans="1:10">
      <c r="A16" s="1896" t="s">
        <v>438</v>
      </c>
      <c r="B16" s="1583" t="s">
        <v>67</v>
      </c>
      <c r="C16" s="1584">
        <v>0</v>
      </c>
      <c r="D16" s="1585">
        <v>0</v>
      </c>
      <c r="E16" s="1586">
        <v>0</v>
      </c>
      <c r="F16" s="1719">
        <v>0</v>
      </c>
      <c r="G16" s="1720">
        <v>0</v>
      </c>
      <c r="H16" s="1589">
        <v>0</v>
      </c>
      <c r="I16" s="1589">
        <v>0</v>
      </c>
      <c r="J16" s="1584">
        <v>0</v>
      </c>
    </row>
    <row r="17" spans="1:10">
      <c r="A17" s="1896" t="s">
        <v>438</v>
      </c>
      <c r="B17" s="1583" t="s">
        <v>68</v>
      </c>
      <c r="C17" s="1584">
        <v>6</v>
      </c>
      <c r="D17" s="1585">
        <v>6</v>
      </c>
      <c r="E17" s="1586">
        <v>0</v>
      </c>
      <c r="F17" s="1719">
        <v>3</v>
      </c>
      <c r="G17" s="1720">
        <v>3</v>
      </c>
      <c r="H17" s="1589">
        <v>3</v>
      </c>
      <c r="I17" s="1587">
        <v>3</v>
      </c>
      <c r="J17" s="1584">
        <v>0</v>
      </c>
    </row>
    <row r="18" spans="1:10">
      <c r="A18" s="1896" t="s">
        <v>438</v>
      </c>
      <c r="B18" s="1583" t="s">
        <v>69</v>
      </c>
      <c r="C18" s="1584">
        <v>189</v>
      </c>
      <c r="D18" s="1585">
        <v>159</v>
      </c>
      <c r="E18" s="1586">
        <v>30</v>
      </c>
      <c r="F18" s="1719">
        <v>51</v>
      </c>
      <c r="G18" s="1720">
        <v>69</v>
      </c>
      <c r="H18" s="1589">
        <v>69</v>
      </c>
      <c r="I18" s="1587">
        <v>72</v>
      </c>
      <c r="J18" s="1584">
        <v>27</v>
      </c>
    </row>
    <row r="19" spans="1:10">
      <c r="A19" s="1896" t="s">
        <v>438</v>
      </c>
      <c r="B19" s="1583" t="s">
        <v>70</v>
      </c>
      <c r="C19" s="1584">
        <v>27</v>
      </c>
      <c r="D19" s="1585">
        <v>15</v>
      </c>
      <c r="E19" s="1586">
        <v>12</v>
      </c>
      <c r="F19" s="1719">
        <v>9</v>
      </c>
      <c r="G19" s="1720">
        <v>9</v>
      </c>
      <c r="H19" s="1589">
        <v>12</v>
      </c>
      <c r="I19" s="1590">
        <v>12</v>
      </c>
      <c r="J19" s="1584">
        <v>3</v>
      </c>
    </row>
    <row r="20" spans="1:10">
      <c r="A20" s="1896" t="s">
        <v>438</v>
      </c>
      <c r="B20" s="1591" t="s">
        <v>71</v>
      </c>
      <c r="C20" s="1584">
        <v>21</v>
      </c>
      <c r="D20" s="1585">
        <v>9</v>
      </c>
      <c r="E20" s="1586">
        <v>9</v>
      </c>
      <c r="F20" s="1719">
        <v>9</v>
      </c>
      <c r="G20" s="1720">
        <v>9</v>
      </c>
      <c r="H20" s="1589">
        <v>3</v>
      </c>
      <c r="I20" s="1590">
        <v>12</v>
      </c>
      <c r="J20" s="1584">
        <v>6</v>
      </c>
    </row>
    <row r="21" spans="1:10">
      <c r="A21" s="1564" t="s">
        <v>439</v>
      </c>
      <c r="B21" s="1579" t="s">
        <v>64</v>
      </c>
      <c r="C21" s="1580">
        <f>SUM(C22:C28)</f>
        <v>1482</v>
      </c>
      <c r="D21" s="1581">
        <f t="shared" ref="D21:J21" si="2">SUM(D22:D28)</f>
        <v>1188</v>
      </c>
      <c r="E21" s="1582">
        <f t="shared" si="2"/>
        <v>300</v>
      </c>
      <c r="F21" s="1581">
        <f t="shared" si="2"/>
        <v>471</v>
      </c>
      <c r="G21" s="1727">
        <f t="shared" si="2"/>
        <v>501</v>
      </c>
      <c r="H21" s="1582">
        <f t="shared" si="2"/>
        <v>510</v>
      </c>
      <c r="I21" s="1580">
        <f t="shared" si="2"/>
        <v>579</v>
      </c>
      <c r="J21" s="1580">
        <f t="shared" si="2"/>
        <v>246</v>
      </c>
    </row>
    <row r="22" spans="1:10">
      <c r="A22" s="1896" t="s">
        <v>439</v>
      </c>
      <c r="B22" s="1583" t="s">
        <v>65</v>
      </c>
      <c r="C22" s="1584">
        <v>102</v>
      </c>
      <c r="D22" s="1585">
        <v>45</v>
      </c>
      <c r="E22" s="1586">
        <v>57</v>
      </c>
      <c r="F22" s="1719">
        <v>24</v>
      </c>
      <c r="G22" s="1720">
        <v>39</v>
      </c>
      <c r="H22" s="1589">
        <v>39</v>
      </c>
      <c r="I22" s="1850">
        <v>36</v>
      </c>
      <c r="J22" s="1847">
        <v>15</v>
      </c>
    </row>
    <row r="23" spans="1:10">
      <c r="A23" s="1896" t="s">
        <v>439</v>
      </c>
      <c r="B23" s="1583" t="s">
        <v>66</v>
      </c>
      <c r="C23" s="1584">
        <v>36</v>
      </c>
      <c r="D23" s="1585">
        <v>21</v>
      </c>
      <c r="E23" s="1586">
        <v>15</v>
      </c>
      <c r="F23" s="1719">
        <v>3</v>
      </c>
      <c r="G23" s="1720">
        <v>15</v>
      </c>
      <c r="H23" s="1589">
        <v>18</v>
      </c>
      <c r="I23" s="1850">
        <v>15</v>
      </c>
      <c r="J23" s="1847">
        <v>9</v>
      </c>
    </row>
    <row r="24" spans="1:10">
      <c r="A24" s="1896" t="s">
        <v>439</v>
      </c>
      <c r="B24" s="1583" t="s">
        <v>67</v>
      </c>
      <c r="C24" s="1584">
        <v>90</v>
      </c>
      <c r="D24" s="1585">
        <v>60</v>
      </c>
      <c r="E24" s="1586">
        <v>30</v>
      </c>
      <c r="F24" s="1719">
        <v>30</v>
      </c>
      <c r="G24" s="1720">
        <v>21</v>
      </c>
      <c r="H24" s="1589">
        <v>39</v>
      </c>
      <c r="I24" s="1850">
        <v>39</v>
      </c>
      <c r="J24" s="1847">
        <v>21</v>
      </c>
    </row>
    <row r="25" spans="1:10">
      <c r="A25" s="1896" t="s">
        <v>439</v>
      </c>
      <c r="B25" s="1583" t="s">
        <v>68</v>
      </c>
      <c r="C25" s="1584">
        <v>21</v>
      </c>
      <c r="D25" s="1585">
        <v>18</v>
      </c>
      <c r="E25" s="1586">
        <v>3</v>
      </c>
      <c r="F25" s="1719">
        <v>6</v>
      </c>
      <c r="G25" s="1720">
        <v>9</v>
      </c>
      <c r="H25" s="1589">
        <v>9</v>
      </c>
      <c r="I25" s="1850">
        <v>12</v>
      </c>
      <c r="J25" s="1847">
        <v>3</v>
      </c>
    </row>
    <row r="26" spans="1:10">
      <c r="A26" s="1896" t="s">
        <v>439</v>
      </c>
      <c r="B26" s="1583" t="s">
        <v>69</v>
      </c>
      <c r="C26" s="1584">
        <v>1182</v>
      </c>
      <c r="D26" s="1585">
        <v>1020</v>
      </c>
      <c r="E26" s="1586">
        <v>162</v>
      </c>
      <c r="F26" s="1719">
        <v>396</v>
      </c>
      <c r="G26" s="1720">
        <v>393</v>
      </c>
      <c r="H26" s="1589">
        <v>390</v>
      </c>
      <c r="I26" s="1850">
        <v>456</v>
      </c>
      <c r="J26" s="1847">
        <v>192</v>
      </c>
    </row>
    <row r="27" spans="1:10">
      <c r="A27" s="1896" t="s">
        <v>439</v>
      </c>
      <c r="B27" s="1583" t="s">
        <v>70</v>
      </c>
      <c r="C27" s="1584">
        <v>24</v>
      </c>
      <c r="D27" s="1585">
        <v>18</v>
      </c>
      <c r="E27" s="1586">
        <v>9</v>
      </c>
      <c r="F27" s="1719">
        <v>6</v>
      </c>
      <c r="G27" s="1720">
        <v>12</v>
      </c>
      <c r="H27" s="1589">
        <v>6</v>
      </c>
      <c r="I27" s="1590">
        <v>9</v>
      </c>
      <c r="J27" s="1584">
        <v>3</v>
      </c>
    </row>
    <row r="28" spans="1:10">
      <c r="A28" s="1896" t="s">
        <v>439</v>
      </c>
      <c r="B28" s="1591" t="s">
        <v>71</v>
      </c>
      <c r="C28" s="1584">
        <v>27</v>
      </c>
      <c r="D28" s="1585">
        <v>6</v>
      </c>
      <c r="E28" s="1586">
        <v>24</v>
      </c>
      <c r="F28" s="1719">
        <v>6</v>
      </c>
      <c r="G28" s="1720">
        <v>12</v>
      </c>
      <c r="H28" s="1589">
        <v>9</v>
      </c>
      <c r="I28" s="1590">
        <v>12</v>
      </c>
      <c r="J28" s="1584">
        <v>3</v>
      </c>
    </row>
    <row r="29" spans="1:10">
      <c r="A29" s="1564" t="s">
        <v>440</v>
      </c>
      <c r="B29" s="1579" t="s">
        <v>64</v>
      </c>
      <c r="C29" s="1580">
        <f>SUM(C30:C36)</f>
        <v>111</v>
      </c>
      <c r="D29" s="1581">
        <f t="shared" ref="D29:J29" si="3">SUM(D30:D36)</f>
        <v>81</v>
      </c>
      <c r="E29" s="1582">
        <f t="shared" si="3"/>
        <v>30</v>
      </c>
      <c r="F29" s="1581">
        <f t="shared" si="3"/>
        <v>33</v>
      </c>
      <c r="G29" s="1727">
        <f t="shared" si="3"/>
        <v>39</v>
      </c>
      <c r="H29" s="1582">
        <f t="shared" si="3"/>
        <v>39</v>
      </c>
      <c r="I29" s="1580">
        <f t="shared" si="3"/>
        <v>39</v>
      </c>
      <c r="J29" s="1580">
        <f t="shared" si="3"/>
        <v>24</v>
      </c>
    </row>
    <row r="30" spans="1:10">
      <c r="A30" s="1896" t="s">
        <v>440</v>
      </c>
      <c r="B30" s="1583" t="s">
        <v>65</v>
      </c>
      <c r="C30" s="1584">
        <v>0</v>
      </c>
      <c r="D30" s="1585">
        <v>0</v>
      </c>
      <c r="E30" s="1586">
        <v>0</v>
      </c>
      <c r="F30" s="1719">
        <v>0</v>
      </c>
      <c r="G30" s="1720">
        <v>0</v>
      </c>
      <c r="H30" s="1589">
        <v>0</v>
      </c>
      <c r="I30" s="1587">
        <v>0</v>
      </c>
      <c r="J30" s="1584">
        <v>0</v>
      </c>
    </row>
    <row r="31" spans="1:10">
      <c r="A31" s="1896" t="s">
        <v>440</v>
      </c>
      <c r="B31" s="1583" t="s">
        <v>66</v>
      </c>
      <c r="C31" s="1584">
        <v>0</v>
      </c>
      <c r="D31" s="1585">
        <v>0</v>
      </c>
      <c r="E31" s="1586">
        <v>0</v>
      </c>
      <c r="F31" s="1719">
        <v>0</v>
      </c>
      <c r="G31" s="1720">
        <v>0</v>
      </c>
      <c r="H31" s="1589">
        <v>0</v>
      </c>
      <c r="I31" s="1587">
        <v>0</v>
      </c>
      <c r="J31" s="1584">
        <v>0</v>
      </c>
    </row>
    <row r="32" spans="1:10">
      <c r="A32" s="1896" t="s">
        <v>440</v>
      </c>
      <c r="B32" s="1583" t="s">
        <v>67</v>
      </c>
      <c r="C32" s="1584">
        <v>0</v>
      </c>
      <c r="D32" s="1585">
        <v>0</v>
      </c>
      <c r="E32" s="1586">
        <v>0</v>
      </c>
      <c r="F32" s="1719">
        <v>0</v>
      </c>
      <c r="G32" s="1720">
        <v>0</v>
      </c>
      <c r="H32" s="1589">
        <v>0</v>
      </c>
      <c r="I32" s="1587">
        <v>0</v>
      </c>
      <c r="J32" s="1584">
        <v>0</v>
      </c>
    </row>
    <row r="33" spans="1:10">
      <c r="A33" s="1896" t="s">
        <v>440</v>
      </c>
      <c r="B33" s="1583" t="s">
        <v>68</v>
      </c>
      <c r="C33" s="1584">
        <v>0</v>
      </c>
      <c r="D33" s="1585">
        <v>0</v>
      </c>
      <c r="E33" s="1586">
        <v>0</v>
      </c>
      <c r="F33" s="1719">
        <v>0</v>
      </c>
      <c r="G33" s="1720">
        <v>0</v>
      </c>
      <c r="H33" s="1589">
        <v>0</v>
      </c>
      <c r="I33" s="1587">
        <v>0</v>
      </c>
      <c r="J33" s="1584">
        <v>0</v>
      </c>
    </row>
    <row r="34" spans="1:10">
      <c r="A34" s="1896" t="s">
        <v>440</v>
      </c>
      <c r="B34" s="1583" t="s">
        <v>69</v>
      </c>
      <c r="C34" s="1584">
        <v>96</v>
      </c>
      <c r="D34" s="1585">
        <v>72</v>
      </c>
      <c r="E34" s="1586">
        <v>24</v>
      </c>
      <c r="F34" s="1719">
        <v>30</v>
      </c>
      <c r="G34" s="1720">
        <v>30</v>
      </c>
      <c r="H34" s="1589">
        <v>36</v>
      </c>
      <c r="I34" s="1587">
        <v>33</v>
      </c>
      <c r="J34" s="1584">
        <v>21</v>
      </c>
    </row>
    <row r="35" spans="1:10">
      <c r="A35" s="1896" t="s">
        <v>440</v>
      </c>
      <c r="B35" s="1583" t="s">
        <v>70</v>
      </c>
      <c r="C35" s="1584">
        <v>15</v>
      </c>
      <c r="D35" s="1585">
        <v>9</v>
      </c>
      <c r="E35" s="1586">
        <v>6</v>
      </c>
      <c r="F35" s="1719">
        <v>3</v>
      </c>
      <c r="G35" s="1720">
        <v>9</v>
      </c>
      <c r="H35" s="1589">
        <v>3</v>
      </c>
      <c r="I35" s="1590">
        <v>6</v>
      </c>
      <c r="J35" s="1584">
        <v>3</v>
      </c>
    </row>
    <row r="36" spans="1:10">
      <c r="A36" s="1897" t="s">
        <v>440</v>
      </c>
      <c r="B36" s="1836" t="s">
        <v>71</v>
      </c>
      <c r="C36" s="1837">
        <v>0</v>
      </c>
      <c r="D36" s="1838">
        <v>0</v>
      </c>
      <c r="E36" s="1774">
        <v>0</v>
      </c>
      <c r="F36" s="1839">
        <v>0</v>
      </c>
      <c r="G36" s="1840">
        <v>0</v>
      </c>
      <c r="H36" s="1776">
        <v>0</v>
      </c>
      <c r="I36" s="1841">
        <v>0</v>
      </c>
      <c r="J36" s="1837">
        <v>0</v>
      </c>
    </row>
    <row r="37" spans="1:10">
      <c r="A37" s="1563" t="s">
        <v>441</v>
      </c>
      <c r="B37" s="1844" t="s">
        <v>64</v>
      </c>
      <c r="C37" s="1580">
        <f>SUM(C38:C44)</f>
        <v>3288</v>
      </c>
      <c r="D37" s="1581">
        <f t="shared" ref="D37:J37" si="4">SUM(D38:D44)</f>
        <v>2766</v>
      </c>
      <c r="E37" s="1582">
        <f t="shared" si="4"/>
        <v>522</v>
      </c>
      <c r="F37" s="1581">
        <f t="shared" si="4"/>
        <v>999</v>
      </c>
      <c r="G37" s="1727">
        <f t="shared" si="4"/>
        <v>1110</v>
      </c>
      <c r="H37" s="1582">
        <f t="shared" si="4"/>
        <v>1173</v>
      </c>
      <c r="I37" s="1580">
        <f t="shared" si="4"/>
        <v>1122</v>
      </c>
      <c r="J37" s="1580">
        <f t="shared" si="4"/>
        <v>408</v>
      </c>
    </row>
    <row r="38" spans="1:10">
      <c r="A38" s="1896" t="s">
        <v>441</v>
      </c>
      <c r="B38" s="1583" t="s">
        <v>65</v>
      </c>
      <c r="C38" s="1584">
        <v>243</v>
      </c>
      <c r="D38" s="1585">
        <v>123</v>
      </c>
      <c r="E38" s="1586">
        <v>120</v>
      </c>
      <c r="F38" s="1719">
        <v>66</v>
      </c>
      <c r="G38" s="1720">
        <v>96</v>
      </c>
      <c r="H38" s="1589">
        <v>81</v>
      </c>
      <c r="I38" s="1850">
        <v>90</v>
      </c>
      <c r="J38" s="1847">
        <v>36</v>
      </c>
    </row>
    <row r="39" spans="1:10">
      <c r="A39" s="1896" t="s">
        <v>441</v>
      </c>
      <c r="B39" s="1583" t="s">
        <v>66</v>
      </c>
      <c r="C39" s="1584">
        <v>33</v>
      </c>
      <c r="D39" s="1585">
        <v>27</v>
      </c>
      <c r="E39" s="1586">
        <v>6</v>
      </c>
      <c r="F39" s="1719">
        <v>6</v>
      </c>
      <c r="G39" s="1720">
        <v>18</v>
      </c>
      <c r="H39" s="1589">
        <v>9</v>
      </c>
      <c r="I39" s="1850">
        <v>15</v>
      </c>
      <c r="J39" s="1847">
        <v>9</v>
      </c>
    </row>
    <row r="40" spans="1:10">
      <c r="A40" s="1896" t="s">
        <v>441</v>
      </c>
      <c r="B40" s="1583" t="s">
        <v>67</v>
      </c>
      <c r="C40" s="1584">
        <v>126</v>
      </c>
      <c r="D40" s="1585">
        <v>84</v>
      </c>
      <c r="E40" s="1586">
        <v>45</v>
      </c>
      <c r="F40" s="1719">
        <v>36</v>
      </c>
      <c r="G40" s="1720">
        <v>45</v>
      </c>
      <c r="H40" s="1589">
        <v>45</v>
      </c>
      <c r="I40" s="1850">
        <v>45</v>
      </c>
      <c r="J40" s="1847">
        <v>15</v>
      </c>
    </row>
    <row r="41" spans="1:10">
      <c r="A41" s="1896" t="s">
        <v>441</v>
      </c>
      <c r="B41" s="1583" t="s">
        <v>68</v>
      </c>
      <c r="C41" s="1584">
        <v>24</v>
      </c>
      <c r="D41" s="1585">
        <v>18</v>
      </c>
      <c r="E41" s="1586">
        <v>3</v>
      </c>
      <c r="F41" s="1719">
        <v>3</v>
      </c>
      <c r="G41" s="1720">
        <v>6</v>
      </c>
      <c r="H41" s="1589">
        <v>12</v>
      </c>
      <c r="I41" s="1850">
        <v>6</v>
      </c>
      <c r="J41" s="1847">
        <v>6</v>
      </c>
    </row>
    <row r="42" spans="1:10">
      <c r="A42" s="1896" t="s">
        <v>441</v>
      </c>
      <c r="B42" s="1583" t="s">
        <v>69</v>
      </c>
      <c r="C42" s="1584">
        <v>2676</v>
      </c>
      <c r="D42" s="1585">
        <v>2394</v>
      </c>
      <c r="E42" s="1586">
        <v>282</v>
      </c>
      <c r="F42" s="1719">
        <v>834</v>
      </c>
      <c r="G42" s="1720">
        <v>870</v>
      </c>
      <c r="H42" s="1589">
        <v>969</v>
      </c>
      <c r="I42" s="1850">
        <v>900</v>
      </c>
      <c r="J42" s="1847">
        <v>318</v>
      </c>
    </row>
    <row r="43" spans="1:10">
      <c r="A43" s="1896" t="s">
        <v>441</v>
      </c>
      <c r="B43" s="1583" t="s">
        <v>70</v>
      </c>
      <c r="C43" s="1584">
        <v>150</v>
      </c>
      <c r="D43" s="1585">
        <v>105</v>
      </c>
      <c r="E43" s="1586">
        <v>45</v>
      </c>
      <c r="F43" s="1719">
        <v>45</v>
      </c>
      <c r="G43" s="1720">
        <v>57</v>
      </c>
      <c r="H43" s="1589">
        <v>48</v>
      </c>
      <c r="I43" s="1855">
        <v>51</v>
      </c>
      <c r="J43" s="1847">
        <v>21</v>
      </c>
    </row>
    <row r="44" spans="1:10">
      <c r="A44" s="1896" t="s">
        <v>441</v>
      </c>
      <c r="B44" s="1591" t="s">
        <v>71</v>
      </c>
      <c r="C44" s="1584">
        <v>36</v>
      </c>
      <c r="D44" s="1585">
        <v>15</v>
      </c>
      <c r="E44" s="1586">
        <v>21</v>
      </c>
      <c r="F44" s="1719">
        <v>9</v>
      </c>
      <c r="G44" s="1720">
        <v>18</v>
      </c>
      <c r="H44" s="1589">
        <v>9</v>
      </c>
      <c r="I44" s="1855">
        <v>15</v>
      </c>
      <c r="J44" s="1847">
        <v>3</v>
      </c>
    </row>
    <row r="45" spans="1:10">
      <c r="A45" s="1564" t="s">
        <v>442</v>
      </c>
      <c r="B45" s="1579" t="s">
        <v>64</v>
      </c>
      <c r="C45" s="1580">
        <f>SUM(C46:C53)</f>
        <v>720</v>
      </c>
      <c r="D45" s="1581">
        <f t="shared" ref="D45:J45" si="5">SUM(D46:D53)</f>
        <v>558</v>
      </c>
      <c r="E45" s="1582">
        <f t="shared" si="5"/>
        <v>165</v>
      </c>
      <c r="F45" s="1581">
        <f t="shared" si="5"/>
        <v>243</v>
      </c>
      <c r="G45" s="1727">
        <f t="shared" si="5"/>
        <v>234</v>
      </c>
      <c r="H45" s="1582">
        <f t="shared" si="5"/>
        <v>243</v>
      </c>
      <c r="I45" s="1580">
        <f t="shared" si="5"/>
        <v>288</v>
      </c>
      <c r="J45" s="1580">
        <f t="shared" si="5"/>
        <v>102</v>
      </c>
    </row>
    <row r="46" spans="1:10">
      <c r="A46" s="1896" t="s">
        <v>442</v>
      </c>
      <c r="B46" s="1583" t="s">
        <v>65</v>
      </c>
      <c r="C46" s="1584">
        <v>93</v>
      </c>
      <c r="D46" s="1585">
        <v>42</v>
      </c>
      <c r="E46" s="1586">
        <v>51</v>
      </c>
      <c r="F46" s="1719">
        <v>33</v>
      </c>
      <c r="G46" s="1720">
        <v>33</v>
      </c>
      <c r="H46" s="1589">
        <v>24</v>
      </c>
      <c r="I46" s="1850">
        <v>39</v>
      </c>
      <c r="J46" s="1847">
        <v>12</v>
      </c>
    </row>
    <row r="47" spans="1:10">
      <c r="A47" s="1896" t="s">
        <v>442</v>
      </c>
      <c r="B47" s="1583" t="s">
        <v>66</v>
      </c>
      <c r="C47" s="1584">
        <v>24</v>
      </c>
      <c r="D47" s="1585">
        <v>12</v>
      </c>
      <c r="E47" s="1586">
        <v>15</v>
      </c>
      <c r="F47" s="1719">
        <v>0</v>
      </c>
      <c r="G47" s="1720">
        <v>9</v>
      </c>
      <c r="H47" s="1589">
        <v>15</v>
      </c>
      <c r="I47" s="1850">
        <v>6</v>
      </c>
      <c r="J47" s="1847">
        <v>3</v>
      </c>
    </row>
    <row r="48" spans="1:10">
      <c r="A48" s="1896" t="s">
        <v>442</v>
      </c>
      <c r="B48" s="1583" t="s">
        <v>67</v>
      </c>
      <c r="C48" s="1584">
        <v>21</v>
      </c>
      <c r="D48" s="1585">
        <v>12</v>
      </c>
      <c r="E48" s="1586">
        <v>9</v>
      </c>
      <c r="F48" s="1719">
        <v>6</v>
      </c>
      <c r="G48" s="1720">
        <v>9</v>
      </c>
      <c r="H48" s="1589">
        <v>6</v>
      </c>
      <c r="I48" s="1850">
        <v>9</v>
      </c>
      <c r="J48" s="1847">
        <v>3</v>
      </c>
    </row>
    <row r="49" spans="1:10">
      <c r="A49" s="1896" t="s">
        <v>442</v>
      </c>
      <c r="B49" s="1583" t="s">
        <v>68</v>
      </c>
      <c r="C49" s="1584">
        <v>6</v>
      </c>
      <c r="D49" s="1585">
        <v>6</v>
      </c>
      <c r="E49" s="1586">
        <v>0</v>
      </c>
      <c r="F49" s="1719">
        <v>3</v>
      </c>
      <c r="G49" s="1720">
        <v>0</v>
      </c>
      <c r="H49" s="1589">
        <v>3</v>
      </c>
      <c r="I49" s="1850">
        <v>3</v>
      </c>
      <c r="J49" s="1584">
        <v>0</v>
      </c>
    </row>
    <row r="50" spans="1:10">
      <c r="A50" s="1896" t="s">
        <v>442</v>
      </c>
      <c r="B50" s="1583" t="s">
        <v>69</v>
      </c>
      <c r="C50" s="1584">
        <v>558</v>
      </c>
      <c r="D50" s="1585">
        <v>477</v>
      </c>
      <c r="E50" s="1586">
        <v>81</v>
      </c>
      <c r="F50" s="1719">
        <v>195</v>
      </c>
      <c r="G50" s="1720">
        <v>177</v>
      </c>
      <c r="H50" s="1589">
        <v>189</v>
      </c>
      <c r="I50" s="1850">
        <v>222</v>
      </c>
      <c r="J50" s="1847">
        <v>81</v>
      </c>
    </row>
    <row r="51" spans="1:10">
      <c r="A51" s="1896" t="s">
        <v>442</v>
      </c>
      <c r="B51" s="1583" t="s">
        <v>70</v>
      </c>
      <c r="C51" s="1584">
        <v>15</v>
      </c>
      <c r="D51" s="1585">
        <v>9</v>
      </c>
      <c r="E51" s="1586">
        <v>6</v>
      </c>
      <c r="F51" s="1719">
        <v>3</v>
      </c>
      <c r="G51" s="1720">
        <v>6</v>
      </c>
      <c r="H51" s="1589">
        <v>6</v>
      </c>
      <c r="I51" s="1855">
        <v>6</v>
      </c>
      <c r="J51" s="1847">
        <v>3</v>
      </c>
    </row>
    <row r="52" spans="1:10">
      <c r="A52" s="1896" t="s">
        <v>442</v>
      </c>
      <c r="B52" s="1583" t="s">
        <v>71</v>
      </c>
      <c r="C52" s="1584">
        <v>3</v>
      </c>
      <c r="D52" s="1585">
        <v>0</v>
      </c>
      <c r="E52" s="1586">
        <v>3</v>
      </c>
      <c r="F52" s="1719">
        <v>3</v>
      </c>
      <c r="G52" s="1720">
        <v>0</v>
      </c>
      <c r="H52" s="1589">
        <v>0</v>
      </c>
      <c r="I52" s="1852">
        <v>3</v>
      </c>
      <c r="J52" s="1858">
        <v>0</v>
      </c>
    </row>
    <row r="53" spans="1:10">
      <c r="A53" s="1896" t="s">
        <v>442</v>
      </c>
      <c r="B53" s="1583" t="s">
        <v>356</v>
      </c>
      <c r="C53" s="1584">
        <v>0</v>
      </c>
      <c r="D53" s="1590">
        <v>0</v>
      </c>
      <c r="E53" s="1587">
        <v>0</v>
      </c>
      <c r="F53" s="1719">
        <v>0</v>
      </c>
      <c r="G53" s="1592">
        <v>0</v>
      </c>
      <c r="H53" s="1593">
        <v>0</v>
      </c>
      <c r="I53" s="1587">
        <v>0</v>
      </c>
      <c r="J53" s="1584">
        <v>0</v>
      </c>
    </row>
    <row r="54" spans="1:10">
      <c r="A54" s="1564" t="s">
        <v>443</v>
      </c>
      <c r="B54" s="1579" t="s">
        <v>64</v>
      </c>
      <c r="C54" s="1580">
        <f>SUM(C55:C61)</f>
        <v>510</v>
      </c>
      <c r="D54" s="1581">
        <f t="shared" ref="D54:J54" si="6">SUM(D55:D61)</f>
        <v>411</v>
      </c>
      <c r="E54" s="1582">
        <f t="shared" si="6"/>
        <v>96</v>
      </c>
      <c r="F54" s="1581">
        <f t="shared" si="6"/>
        <v>159</v>
      </c>
      <c r="G54" s="1727">
        <f t="shared" si="6"/>
        <v>195</v>
      </c>
      <c r="H54" s="1582">
        <f t="shared" si="6"/>
        <v>150</v>
      </c>
      <c r="I54" s="1580">
        <f t="shared" si="6"/>
        <v>201</v>
      </c>
      <c r="J54" s="1580">
        <f t="shared" si="6"/>
        <v>63</v>
      </c>
    </row>
    <row r="55" spans="1:10">
      <c r="A55" s="1896" t="s">
        <v>443</v>
      </c>
      <c r="B55" s="1583" t="s">
        <v>65</v>
      </c>
      <c r="C55" s="1584">
        <v>63</v>
      </c>
      <c r="D55" s="1585">
        <v>30</v>
      </c>
      <c r="E55" s="1586">
        <v>33</v>
      </c>
      <c r="F55" s="1719">
        <v>15</v>
      </c>
      <c r="G55" s="1720">
        <v>24</v>
      </c>
      <c r="H55" s="1589">
        <v>21</v>
      </c>
      <c r="I55" s="1587">
        <v>21</v>
      </c>
      <c r="J55" s="1584">
        <v>6</v>
      </c>
    </row>
    <row r="56" spans="1:10">
      <c r="A56" s="1896" t="s">
        <v>443</v>
      </c>
      <c r="B56" s="1583" t="s">
        <v>66</v>
      </c>
      <c r="C56" s="1584">
        <v>21</v>
      </c>
      <c r="D56" s="1585">
        <v>18</v>
      </c>
      <c r="E56" s="1586">
        <v>3</v>
      </c>
      <c r="F56" s="1719">
        <v>3</v>
      </c>
      <c r="G56" s="1720">
        <v>15</v>
      </c>
      <c r="H56" s="1589">
        <v>3</v>
      </c>
      <c r="I56" s="1587">
        <v>9</v>
      </c>
      <c r="J56" s="1584">
        <v>3</v>
      </c>
    </row>
    <row r="57" spans="1:10">
      <c r="A57" s="1896" t="s">
        <v>443</v>
      </c>
      <c r="B57" s="1583" t="s">
        <v>67</v>
      </c>
      <c r="C57" s="1584">
        <v>15</v>
      </c>
      <c r="D57" s="1585">
        <v>9</v>
      </c>
      <c r="E57" s="1586">
        <v>6</v>
      </c>
      <c r="F57" s="1719">
        <v>3</v>
      </c>
      <c r="G57" s="1720">
        <v>9</v>
      </c>
      <c r="H57" s="1589">
        <v>6</v>
      </c>
      <c r="I57" s="1587">
        <v>6</v>
      </c>
      <c r="J57" s="1584">
        <v>0</v>
      </c>
    </row>
    <row r="58" spans="1:10">
      <c r="A58" s="1896" t="s">
        <v>443</v>
      </c>
      <c r="B58" s="1583" t="s">
        <v>68</v>
      </c>
      <c r="C58" s="1584">
        <v>3</v>
      </c>
      <c r="D58" s="1585">
        <v>3</v>
      </c>
      <c r="E58" s="1586">
        <v>0</v>
      </c>
      <c r="F58" s="1719">
        <v>0</v>
      </c>
      <c r="G58" s="1720">
        <v>3</v>
      </c>
      <c r="H58" s="1589">
        <v>0</v>
      </c>
      <c r="I58" s="1587">
        <v>3</v>
      </c>
      <c r="J58" s="1584">
        <v>3</v>
      </c>
    </row>
    <row r="59" spans="1:10">
      <c r="A59" s="1896" t="s">
        <v>443</v>
      </c>
      <c r="B59" s="1583" t="s">
        <v>69</v>
      </c>
      <c r="C59" s="1584">
        <v>387</v>
      </c>
      <c r="D59" s="1585">
        <v>342</v>
      </c>
      <c r="E59" s="1586">
        <v>45</v>
      </c>
      <c r="F59" s="1719">
        <v>132</v>
      </c>
      <c r="G59" s="1720">
        <v>138</v>
      </c>
      <c r="H59" s="1589">
        <v>117</v>
      </c>
      <c r="I59" s="1587">
        <v>150</v>
      </c>
      <c r="J59" s="1584">
        <v>48</v>
      </c>
    </row>
    <row r="60" spans="1:10">
      <c r="A60" s="1896" t="s">
        <v>443</v>
      </c>
      <c r="B60" s="1583" t="s">
        <v>70</v>
      </c>
      <c r="C60" s="1584">
        <v>15</v>
      </c>
      <c r="D60" s="1585">
        <v>6</v>
      </c>
      <c r="E60" s="1586">
        <v>6</v>
      </c>
      <c r="F60" s="1719">
        <v>6</v>
      </c>
      <c r="G60" s="1720">
        <v>3</v>
      </c>
      <c r="H60" s="1589">
        <v>3</v>
      </c>
      <c r="I60" s="1590">
        <v>9</v>
      </c>
      <c r="J60" s="1584">
        <v>0</v>
      </c>
    </row>
    <row r="61" spans="1:10">
      <c r="A61" s="1896" t="s">
        <v>443</v>
      </c>
      <c r="B61" s="1591" t="s">
        <v>71</v>
      </c>
      <c r="C61" s="1584">
        <v>6</v>
      </c>
      <c r="D61" s="1585">
        <v>3</v>
      </c>
      <c r="E61" s="1586">
        <v>3</v>
      </c>
      <c r="F61" s="1719">
        <v>0</v>
      </c>
      <c r="G61" s="1720">
        <v>3</v>
      </c>
      <c r="H61" s="1589">
        <v>0</v>
      </c>
      <c r="I61" s="1590">
        <v>3</v>
      </c>
      <c r="J61" s="1584">
        <v>3</v>
      </c>
    </row>
    <row r="62" spans="1:10">
      <c r="A62" s="1564" t="s">
        <v>444</v>
      </c>
      <c r="B62" s="1579" t="s">
        <v>64</v>
      </c>
      <c r="C62" s="1580">
        <f>SUM(C63:C69)</f>
        <v>1740</v>
      </c>
      <c r="D62" s="1581">
        <f t="shared" ref="D62:J62" si="7">SUM(D63:D69)</f>
        <v>1314</v>
      </c>
      <c r="E62" s="1582">
        <f t="shared" si="7"/>
        <v>429</v>
      </c>
      <c r="F62" s="1581">
        <f t="shared" si="7"/>
        <v>525</v>
      </c>
      <c r="G62" s="1727">
        <f t="shared" si="7"/>
        <v>612</v>
      </c>
      <c r="H62" s="1582">
        <f t="shared" si="7"/>
        <v>594</v>
      </c>
      <c r="I62" s="1580">
        <f t="shared" si="7"/>
        <v>675</v>
      </c>
      <c r="J62" s="1580">
        <f t="shared" si="7"/>
        <v>186</v>
      </c>
    </row>
    <row r="63" spans="1:10">
      <c r="A63" s="1896" t="s">
        <v>444</v>
      </c>
      <c r="B63" s="1583" t="s">
        <v>65</v>
      </c>
      <c r="C63" s="1584">
        <v>183</v>
      </c>
      <c r="D63" s="1585">
        <v>81</v>
      </c>
      <c r="E63" s="1586">
        <v>102</v>
      </c>
      <c r="F63" s="1719">
        <v>48</v>
      </c>
      <c r="G63" s="1720">
        <v>66</v>
      </c>
      <c r="H63" s="1589">
        <v>69</v>
      </c>
      <c r="I63" s="1850">
        <v>66</v>
      </c>
      <c r="J63" s="1847">
        <v>21</v>
      </c>
    </row>
    <row r="64" spans="1:10">
      <c r="A64" s="1896" t="s">
        <v>444</v>
      </c>
      <c r="B64" s="1583" t="s">
        <v>66</v>
      </c>
      <c r="C64" s="1584">
        <v>87</v>
      </c>
      <c r="D64" s="1585">
        <v>33</v>
      </c>
      <c r="E64" s="1586">
        <v>54</v>
      </c>
      <c r="F64" s="1719">
        <v>15</v>
      </c>
      <c r="G64" s="1720">
        <v>36</v>
      </c>
      <c r="H64" s="1589">
        <v>33</v>
      </c>
      <c r="I64" s="1850">
        <v>39</v>
      </c>
      <c r="J64" s="1847">
        <v>12</v>
      </c>
    </row>
    <row r="65" spans="1:10">
      <c r="A65" s="1896" t="s">
        <v>444</v>
      </c>
      <c r="B65" s="1583" t="s">
        <v>67</v>
      </c>
      <c r="C65" s="1584">
        <v>69</v>
      </c>
      <c r="D65" s="1585">
        <v>48</v>
      </c>
      <c r="E65" s="1586">
        <v>21</v>
      </c>
      <c r="F65" s="1719">
        <v>21</v>
      </c>
      <c r="G65" s="1720">
        <v>30</v>
      </c>
      <c r="H65" s="1589">
        <v>15</v>
      </c>
      <c r="I65" s="1850">
        <v>36</v>
      </c>
      <c r="J65" s="1847">
        <v>9</v>
      </c>
    </row>
    <row r="66" spans="1:10">
      <c r="A66" s="1896" t="s">
        <v>444</v>
      </c>
      <c r="B66" s="1583" t="s">
        <v>68</v>
      </c>
      <c r="C66" s="1584">
        <v>33</v>
      </c>
      <c r="D66" s="1585">
        <v>27</v>
      </c>
      <c r="E66" s="1586">
        <v>6</v>
      </c>
      <c r="F66" s="1719">
        <v>12</v>
      </c>
      <c r="G66" s="1720">
        <v>12</v>
      </c>
      <c r="H66" s="1589">
        <v>9</v>
      </c>
      <c r="I66" s="1850">
        <v>21</v>
      </c>
      <c r="J66" s="1584">
        <v>0</v>
      </c>
    </row>
    <row r="67" spans="1:10">
      <c r="A67" s="1896" t="s">
        <v>444</v>
      </c>
      <c r="B67" s="1583" t="s">
        <v>69</v>
      </c>
      <c r="C67" s="1584">
        <v>1269</v>
      </c>
      <c r="D67" s="1585">
        <v>1077</v>
      </c>
      <c r="E67" s="1586">
        <v>195</v>
      </c>
      <c r="F67" s="1719">
        <v>402</v>
      </c>
      <c r="G67" s="1720">
        <v>429</v>
      </c>
      <c r="H67" s="1589">
        <v>438</v>
      </c>
      <c r="I67" s="1850">
        <v>471</v>
      </c>
      <c r="J67" s="1847">
        <v>135</v>
      </c>
    </row>
    <row r="68" spans="1:10">
      <c r="A68" s="1896" t="s">
        <v>444</v>
      </c>
      <c r="B68" s="1583" t="s">
        <v>70</v>
      </c>
      <c r="C68" s="1584">
        <v>57</v>
      </c>
      <c r="D68" s="1585">
        <v>36</v>
      </c>
      <c r="E68" s="1586">
        <v>21</v>
      </c>
      <c r="F68" s="1719">
        <v>18</v>
      </c>
      <c r="G68" s="1720">
        <v>18</v>
      </c>
      <c r="H68" s="1589">
        <v>18</v>
      </c>
      <c r="I68" s="1855">
        <v>21</v>
      </c>
      <c r="J68" s="1847">
        <v>3</v>
      </c>
    </row>
    <row r="69" spans="1:10">
      <c r="A69" s="1896" t="s">
        <v>444</v>
      </c>
      <c r="B69" s="1591" t="s">
        <v>71</v>
      </c>
      <c r="C69" s="1584">
        <v>42</v>
      </c>
      <c r="D69" s="1585">
        <v>12</v>
      </c>
      <c r="E69" s="1586">
        <v>30</v>
      </c>
      <c r="F69" s="1719">
        <v>9</v>
      </c>
      <c r="G69" s="1720">
        <v>21</v>
      </c>
      <c r="H69" s="1589">
        <v>12</v>
      </c>
      <c r="I69" s="1855">
        <v>21</v>
      </c>
      <c r="J69" s="1847">
        <v>6</v>
      </c>
    </row>
    <row r="70" spans="1:10">
      <c r="A70" s="1564" t="s">
        <v>445</v>
      </c>
      <c r="B70" s="1594" t="s">
        <v>64</v>
      </c>
      <c r="C70" s="1580">
        <f>SUM(C71:C77)</f>
        <v>1821</v>
      </c>
      <c r="D70" s="1581">
        <f t="shared" ref="D70" si="8">SUM(D71:D77)</f>
        <v>1323</v>
      </c>
      <c r="E70" s="1582">
        <f t="shared" ref="E70" si="9">SUM(E71:E77)</f>
        <v>498</v>
      </c>
      <c r="F70" s="1581">
        <f t="shared" ref="F70" si="10">SUM(F71:F77)</f>
        <v>531</v>
      </c>
      <c r="G70" s="1727">
        <f t="shared" ref="G70" si="11">SUM(G71:G77)</f>
        <v>582</v>
      </c>
      <c r="H70" s="1582">
        <f t="shared" ref="H70" si="12">SUM(H71:H77)</f>
        <v>708</v>
      </c>
      <c r="I70" s="1580">
        <f t="shared" ref="I70" si="13">SUM(I71:I77)</f>
        <v>651</v>
      </c>
      <c r="J70" s="1580">
        <f t="shared" ref="J70" si="14">SUM(J71:J77)</f>
        <v>207</v>
      </c>
    </row>
    <row r="71" spans="1:10">
      <c r="A71" s="1896" t="s">
        <v>445</v>
      </c>
      <c r="B71" s="1583" t="s">
        <v>65</v>
      </c>
      <c r="C71" s="1584">
        <v>315</v>
      </c>
      <c r="D71" s="1585">
        <v>141</v>
      </c>
      <c r="E71" s="1586">
        <v>174</v>
      </c>
      <c r="F71" s="1719">
        <v>99</v>
      </c>
      <c r="G71" s="1720">
        <v>102</v>
      </c>
      <c r="H71" s="1589">
        <v>117</v>
      </c>
      <c r="I71" s="1850">
        <v>120</v>
      </c>
      <c r="J71" s="1847">
        <v>33</v>
      </c>
    </row>
    <row r="72" spans="1:10">
      <c r="A72" s="1896" t="s">
        <v>445</v>
      </c>
      <c r="B72" s="1583" t="s">
        <v>66</v>
      </c>
      <c r="C72" s="1584">
        <v>81</v>
      </c>
      <c r="D72" s="1585">
        <v>36</v>
      </c>
      <c r="E72" s="1586">
        <v>45</v>
      </c>
      <c r="F72" s="1719">
        <v>24</v>
      </c>
      <c r="G72" s="1720">
        <v>30</v>
      </c>
      <c r="H72" s="1589">
        <v>27</v>
      </c>
      <c r="I72" s="1850">
        <v>45</v>
      </c>
      <c r="J72" s="1847">
        <v>9</v>
      </c>
    </row>
    <row r="73" spans="1:10">
      <c r="A73" s="1896" t="s">
        <v>445</v>
      </c>
      <c r="B73" s="1583" t="s">
        <v>67</v>
      </c>
      <c r="C73" s="1584">
        <v>78</v>
      </c>
      <c r="D73" s="1585">
        <v>45</v>
      </c>
      <c r="E73" s="1586">
        <v>33</v>
      </c>
      <c r="F73" s="1719">
        <v>21</v>
      </c>
      <c r="G73" s="1720">
        <v>30</v>
      </c>
      <c r="H73" s="1589">
        <v>27</v>
      </c>
      <c r="I73" s="1850">
        <v>30</v>
      </c>
      <c r="J73" s="1847">
        <v>9</v>
      </c>
    </row>
    <row r="74" spans="1:10">
      <c r="A74" s="1896" t="s">
        <v>445</v>
      </c>
      <c r="B74" s="1583" t="s">
        <v>68</v>
      </c>
      <c r="C74" s="1584">
        <v>12</v>
      </c>
      <c r="D74" s="1585">
        <v>9</v>
      </c>
      <c r="E74" s="1586">
        <v>3</v>
      </c>
      <c r="F74" s="1719">
        <v>3</v>
      </c>
      <c r="G74" s="1720">
        <v>3</v>
      </c>
      <c r="H74" s="1589">
        <v>6</v>
      </c>
      <c r="I74" s="1850">
        <v>6</v>
      </c>
      <c r="J74" s="1584">
        <v>0</v>
      </c>
    </row>
    <row r="75" spans="1:10">
      <c r="A75" s="1896" t="s">
        <v>445</v>
      </c>
      <c r="B75" s="1583" t="s">
        <v>69</v>
      </c>
      <c r="C75" s="1584">
        <v>1272</v>
      </c>
      <c r="D75" s="1585">
        <v>1071</v>
      </c>
      <c r="E75" s="1586">
        <v>201</v>
      </c>
      <c r="F75" s="1719">
        <v>366</v>
      </c>
      <c r="G75" s="1720">
        <v>399</v>
      </c>
      <c r="H75" s="1589">
        <v>507</v>
      </c>
      <c r="I75" s="1850">
        <v>420</v>
      </c>
      <c r="J75" s="1847">
        <v>153</v>
      </c>
    </row>
    <row r="76" spans="1:10">
      <c r="A76" s="1896" t="s">
        <v>445</v>
      </c>
      <c r="B76" s="1583" t="s">
        <v>70</v>
      </c>
      <c r="C76" s="1584">
        <v>24</v>
      </c>
      <c r="D76" s="1585">
        <v>12</v>
      </c>
      <c r="E76" s="1586">
        <v>12</v>
      </c>
      <c r="F76" s="1719">
        <v>6</v>
      </c>
      <c r="G76" s="1720">
        <v>6</v>
      </c>
      <c r="H76" s="1589">
        <v>12</v>
      </c>
      <c r="I76" s="1855">
        <v>9</v>
      </c>
      <c r="J76" s="1584">
        <v>0</v>
      </c>
    </row>
    <row r="77" spans="1:10">
      <c r="A77" s="1897" t="s">
        <v>445</v>
      </c>
      <c r="B77" s="1836" t="s">
        <v>71</v>
      </c>
      <c r="C77" s="1837">
        <v>39</v>
      </c>
      <c r="D77" s="1838">
        <v>9</v>
      </c>
      <c r="E77" s="1774">
        <v>30</v>
      </c>
      <c r="F77" s="1839">
        <v>12</v>
      </c>
      <c r="G77" s="1840">
        <v>12</v>
      </c>
      <c r="H77" s="1776">
        <v>12</v>
      </c>
      <c r="I77" s="1857">
        <v>21</v>
      </c>
      <c r="J77" s="1856">
        <v>3</v>
      </c>
    </row>
    <row r="78" spans="1:10">
      <c r="A78" s="1564" t="s">
        <v>446</v>
      </c>
      <c r="B78" s="1579" t="s">
        <v>64</v>
      </c>
      <c r="C78" s="1580">
        <f>SUM(C79:C85)</f>
        <v>132</v>
      </c>
      <c r="D78" s="1581">
        <f t="shared" ref="D78" si="15">SUM(D79:D85)</f>
        <v>108</v>
      </c>
      <c r="E78" s="1582">
        <f t="shared" ref="E78" si="16">SUM(E79:E85)</f>
        <v>21</v>
      </c>
      <c r="F78" s="1581">
        <f t="shared" ref="F78" si="17">SUM(F79:F85)</f>
        <v>42</v>
      </c>
      <c r="G78" s="1727">
        <f t="shared" ref="G78" si="18">SUM(G79:G85)</f>
        <v>42</v>
      </c>
      <c r="H78" s="1582">
        <f t="shared" ref="H78" si="19">SUM(H79:H85)</f>
        <v>48</v>
      </c>
      <c r="I78" s="1580">
        <f t="shared" ref="I78" si="20">SUM(I79:I85)</f>
        <v>45</v>
      </c>
      <c r="J78" s="1580">
        <f t="shared" ref="J78" si="21">SUM(J79:J85)</f>
        <v>18</v>
      </c>
    </row>
    <row r="79" spans="1:10">
      <c r="A79" s="1896" t="s">
        <v>446</v>
      </c>
      <c r="B79" s="1583" t="s">
        <v>65</v>
      </c>
      <c r="C79" s="1584">
        <v>15</v>
      </c>
      <c r="D79" s="1585">
        <v>9</v>
      </c>
      <c r="E79" s="1586">
        <v>6</v>
      </c>
      <c r="F79" s="1719">
        <v>6</v>
      </c>
      <c r="G79" s="1720">
        <v>3</v>
      </c>
      <c r="H79" s="1589">
        <v>6</v>
      </c>
      <c r="I79" s="1587">
        <v>6</v>
      </c>
      <c r="J79" s="1584">
        <v>3</v>
      </c>
    </row>
    <row r="80" spans="1:10">
      <c r="A80" s="1896" t="s">
        <v>446</v>
      </c>
      <c r="B80" s="1583" t="s">
        <v>66</v>
      </c>
      <c r="C80" s="1584">
        <v>0</v>
      </c>
      <c r="D80" s="1585">
        <v>0</v>
      </c>
      <c r="E80" s="1586">
        <v>0</v>
      </c>
      <c r="F80" s="1719">
        <v>0</v>
      </c>
      <c r="G80" s="1720">
        <v>0</v>
      </c>
      <c r="H80" s="1589">
        <v>0</v>
      </c>
      <c r="I80" s="1589">
        <v>0</v>
      </c>
      <c r="J80" s="1584">
        <v>0</v>
      </c>
    </row>
    <row r="81" spans="1:10">
      <c r="A81" s="1896" t="s">
        <v>446</v>
      </c>
      <c r="B81" s="1583" t="s">
        <v>67</v>
      </c>
      <c r="C81" s="1584">
        <v>3</v>
      </c>
      <c r="D81" s="1585">
        <v>3</v>
      </c>
      <c r="E81" s="1586">
        <v>0</v>
      </c>
      <c r="F81" s="1719">
        <v>0</v>
      </c>
      <c r="G81" s="1720">
        <v>3</v>
      </c>
      <c r="H81" s="1589">
        <v>0</v>
      </c>
      <c r="I81" s="1589">
        <v>0</v>
      </c>
      <c r="J81" s="1584">
        <v>0</v>
      </c>
    </row>
    <row r="82" spans="1:10">
      <c r="A82" s="1896" t="s">
        <v>446</v>
      </c>
      <c r="B82" s="1583" t="s">
        <v>68</v>
      </c>
      <c r="C82" s="1584">
        <v>0</v>
      </c>
      <c r="D82" s="1585">
        <v>0</v>
      </c>
      <c r="E82" s="1586">
        <v>0</v>
      </c>
      <c r="F82" s="1719">
        <v>0</v>
      </c>
      <c r="G82" s="1720">
        <v>0</v>
      </c>
      <c r="H82" s="1589">
        <v>0</v>
      </c>
      <c r="I82" s="1589">
        <v>0</v>
      </c>
      <c r="J82" s="1584">
        <v>0</v>
      </c>
    </row>
    <row r="83" spans="1:10">
      <c r="A83" s="1896" t="s">
        <v>446</v>
      </c>
      <c r="B83" s="1583" t="s">
        <v>69</v>
      </c>
      <c r="C83" s="1584">
        <v>111</v>
      </c>
      <c r="D83" s="1585">
        <v>93</v>
      </c>
      <c r="E83" s="1586">
        <v>15</v>
      </c>
      <c r="F83" s="1719">
        <v>36</v>
      </c>
      <c r="G83" s="1720">
        <v>33</v>
      </c>
      <c r="H83" s="1589">
        <v>42</v>
      </c>
      <c r="I83" s="1587">
        <v>39</v>
      </c>
      <c r="J83" s="1584">
        <v>15</v>
      </c>
    </row>
    <row r="84" spans="1:10">
      <c r="A84" s="1896" t="s">
        <v>446</v>
      </c>
      <c r="B84" s="1583" t="s">
        <v>70</v>
      </c>
      <c r="C84" s="1584">
        <v>3</v>
      </c>
      <c r="D84" s="1585">
        <v>3</v>
      </c>
      <c r="E84" s="1586">
        <v>0</v>
      </c>
      <c r="F84" s="1719">
        <v>0</v>
      </c>
      <c r="G84" s="1720">
        <v>3</v>
      </c>
      <c r="H84" s="1589">
        <v>0</v>
      </c>
      <c r="I84" s="1589">
        <v>0</v>
      </c>
      <c r="J84" s="1584">
        <v>0</v>
      </c>
    </row>
    <row r="85" spans="1:10">
      <c r="A85" s="1896" t="s">
        <v>446</v>
      </c>
      <c r="B85" s="1591" t="s">
        <v>71</v>
      </c>
      <c r="C85" s="1584">
        <v>0</v>
      </c>
      <c r="D85" s="1585">
        <v>0</v>
      </c>
      <c r="E85" s="1586">
        <v>0</v>
      </c>
      <c r="F85" s="1719">
        <v>0</v>
      </c>
      <c r="G85" s="1720">
        <v>0</v>
      </c>
      <c r="H85" s="1589">
        <v>0</v>
      </c>
      <c r="I85" s="1589">
        <v>0</v>
      </c>
      <c r="J85" s="1584">
        <v>0</v>
      </c>
    </row>
    <row r="86" spans="1:10">
      <c r="A86" s="1564" t="s">
        <v>447</v>
      </c>
      <c r="B86" s="1579" t="s">
        <v>64</v>
      </c>
      <c r="C86" s="1580">
        <f>SUM(C87:C93)</f>
        <v>465</v>
      </c>
      <c r="D86" s="1581">
        <f t="shared" ref="D86" si="22">SUM(D87:D93)</f>
        <v>321</v>
      </c>
      <c r="E86" s="1582">
        <f t="shared" ref="E86" si="23">SUM(E87:E93)</f>
        <v>144</v>
      </c>
      <c r="F86" s="1581">
        <f t="shared" ref="F86" si="24">SUM(F87:F93)</f>
        <v>159</v>
      </c>
      <c r="G86" s="1727">
        <f t="shared" ref="G86" si="25">SUM(G87:G93)</f>
        <v>162</v>
      </c>
      <c r="H86" s="1582">
        <f t="shared" ref="H86" si="26">SUM(H87:H93)</f>
        <v>147</v>
      </c>
      <c r="I86" s="1580">
        <f t="shared" ref="I86" si="27">SUM(I87:I93)</f>
        <v>198</v>
      </c>
      <c r="J86" s="1580">
        <f t="shared" ref="J86" si="28">SUM(J87:J93)</f>
        <v>63</v>
      </c>
    </row>
    <row r="87" spans="1:10">
      <c r="A87" s="1896" t="s">
        <v>447</v>
      </c>
      <c r="B87" s="1583" t="s">
        <v>65</v>
      </c>
      <c r="C87" s="1584">
        <v>36</v>
      </c>
      <c r="D87" s="1585">
        <v>12</v>
      </c>
      <c r="E87" s="1586">
        <v>24</v>
      </c>
      <c r="F87" s="1719">
        <v>9</v>
      </c>
      <c r="G87" s="1720">
        <v>15</v>
      </c>
      <c r="H87" s="1589">
        <v>12</v>
      </c>
      <c r="I87" s="1587">
        <v>12</v>
      </c>
      <c r="J87" s="1584">
        <v>3</v>
      </c>
    </row>
    <row r="88" spans="1:10">
      <c r="A88" s="1896" t="s">
        <v>447</v>
      </c>
      <c r="B88" s="1583" t="s">
        <v>66</v>
      </c>
      <c r="C88" s="1584">
        <v>3</v>
      </c>
      <c r="D88" s="1585">
        <v>3</v>
      </c>
      <c r="E88" s="1586">
        <v>3</v>
      </c>
      <c r="F88" s="1719">
        <v>3</v>
      </c>
      <c r="G88" s="1720">
        <v>3</v>
      </c>
      <c r="H88" s="1589">
        <v>0</v>
      </c>
      <c r="I88" s="1587">
        <v>3</v>
      </c>
      <c r="J88" s="1584">
        <v>0</v>
      </c>
    </row>
    <row r="89" spans="1:10">
      <c r="A89" s="1896" t="s">
        <v>447</v>
      </c>
      <c r="B89" s="1583" t="s">
        <v>67</v>
      </c>
      <c r="C89" s="1584">
        <v>18</v>
      </c>
      <c r="D89" s="1585">
        <v>6</v>
      </c>
      <c r="E89" s="1586">
        <v>9</v>
      </c>
      <c r="F89" s="1719">
        <v>6</v>
      </c>
      <c r="G89" s="1720">
        <v>6</v>
      </c>
      <c r="H89" s="1589">
        <v>6</v>
      </c>
      <c r="I89" s="1587">
        <v>9</v>
      </c>
      <c r="J89" s="1584">
        <v>3</v>
      </c>
    </row>
    <row r="90" spans="1:10">
      <c r="A90" s="1896" t="s">
        <v>447</v>
      </c>
      <c r="B90" s="1583" t="s">
        <v>68</v>
      </c>
      <c r="C90" s="1584">
        <v>0</v>
      </c>
      <c r="D90" s="1585">
        <v>0</v>
      </c>
      <c r="E90" s="1586">
        <v>0</v>
      </c>
      <c r="F90" s="1719">
        <v>0</v>
      </c>
      <c r="G90" s="1720">
        <v>0</v>
      </c>
      <c r="H90" s="1589">
        <v>0</v>
      </c>
      <c r="I90" s="1589">
        <v>0</v>
      </c>
      <c r="J90" s="1584">
        <v>0</v>
      </c>
    </row>
    <row r="91" spans="1:10">
      <c r="A91" s="1896" t="s">
        <v>447</v>
      </c>
      <c r="B91" s="1583" t="s">
        <v>69</v>
      </c>
      <c r="C91" s="1584">
        <v>387</v>
      </c>
      <c r="D91" s="1585">
        <v>294</v>
      </c>
      <c r="E91" s="1586">
        <v>93</v>
      </c>
      <c r="F91" s="1719">
        <v>132</v>
      </c>
      <c r="G91" s="1720">
        <v>132</v>
      </c>
      <c r="H91" s="1589">
        <v>123</v>
      </c>
      <c r="I91" s="1587">
        <v>165</v>
      </c>
      <c r="J91" s="1584">
        <v>54</v>
      </c>
    </row>
    <row r="92" spans="1:10">
      <c r="A92" s="1896" t="s">
        <v>447</v>
      </c>
      <c r="B92" s="1583" t="s">
        <v>70</v>
      </c>
      <c r="C92" s="1584">
        <v>12</v>
      </c>
      <c r="D92" s="1585">
        <v>6</v>
      </c>
      <c r="E92" s="1586">
        <v>6</v>
      </c>
      <c r="F92" s="1719">
        <v>6</v>
      </c>
      <c r="G92" s="1720">
        <v>3</v>
      </c>
      <c r="H92" s="1589">
        <v>3</v>
      </c>
      <c r="I92" s="1590">
        <v>6</v>
      </c>
      <c r="J92" s="1584">
        <v>3</v>
      </c>
    </row>
    <row r="93" spans="1:10">
      <c r="A93" s="1896" t="s">
        <v>447</v>
      </c>
      <c r="B93" s="1591" t="s">
        <v>71</v>
      </c>
      <c r="C93" s="1584">
        <v>9</v>
      </c>
      <c r="D93" s="1585">
        <v>0</v>
      </c>
      <c r="E93" s="1586">
        <v>9</v>
      </c>
      <c r="F93" s="1719">
        <v>3</v>
      </c>
      <c r="G93" s="1720">
        <v>3</v>
      </c>
      <c r="H93" s="1589">
        <v>3</v>
      </c>
      <c r="I93" s="1590">
        <v>3</v>
      </c>
      <c r="J93" s="1584">
        <v>0</v>
      </c>
    </row>
    <row r="94" spans="1:10">
      <c r="A94" s="1564" t="s">
        <v>448</v>
      </c>
      <c r="B94" s="1579" t="s">
        <v>64</v>
      </c>
      <c r="C94" s="1580">
        <f>SUM(C95:C101)</f>
        <v>246</v>
      </c>
      <c r="D94" s="1581">
        <f t="shared" ref="D94:J94" si="29">SUM(D95:D101)</f>
        <v>192</v>
      </c>
      <c r="E94" s="1582">
        <f t="shared" si="29"/>
        <v>57</v>
      </c>
      <c r="F94" s="1581">
        <f t="shared" si="29"/>
        <v>81</v>
      </c>
      <c r="G94" s="1727">
        <f t="shared" si="29"/>
        <v>81</v>
      </c>
      <c r="H94" s="1582">
        <f t="shared" si="29"/>
        <v>87</v>
      </c>
      <c r="I94" s="1580">
        <f t="shared" si="29"/>
        <v>99</v>
      </c>
      <c r="J94" s="1580">
        <f t="shared" si="29"/>
        <v>33</v>
      </c>
    </row>
    <row r="95" spans="1:10">
      <c r="A95" s="1896" t="s">
        <v>448</v>
      </c>
      <c r="B95" s="1583" t="s">
        <v>65</v>
      </c>
      <c r="C95" s="1584">
        <v>27</v>
      </c>
      <c r="D95" s="1585">
        <v>12</v>
      </c>
      <c r="E95" s="1586">
        <v>15</v>
      </c>
      <c r="F95" s="1719">
        <v>12</v>
      </c>
      <c r="G95" s="1720">
        <v>9</v>
      </c>
      <c r="H95" s="1589">
        <v>9</v>
      </c>
      <c r="I95" s="1587">
        <v>12</v>
      </c>
      <c r="J95" s="1584">
        <v>3</v>
      </c>
    </row>
    <row r="96" spans="1:10">
      <c r="A96" s="1896" t="s">
        <v>448</v>
      </c>
      <c r="B96" s="1583" t="s">
        <v>66</v>
      </c>
      <c r="C96" s="1584">
        <v>6</v>
      </c>
      <c r="D96" s="1585">
        <v>3</v>
      </c>
      <c r="E96" s="1586">
        <v>6</v>
      </c>
      <c r="F96" s="1719">
        <v>0</v>
      </c>
      <c r="G96" s="1720">
        <v>3</v>
      </c>
      <c r="H96" s="1589">
        <v>3</v>
      </c>
      <c r="I96" s="1587">
        <v>3</v>
      </c>
      <c r="J96" s="1584">
        <v>3</v>
      </c>
    </row>
    <row r="97" spans="1:10">
      <c r="A97" s="1896" t="s">
        <v>448</v>
      </c>
      <c r="B97" s="1583" t="s">
        <v>67</v>
      </c>
      <c r="C97" s="1584">
        <v>27</v>
      </c>
      <c r="D97" s="1585">
        <v>21</v>
      </c>
      <c r="E97" s="1586">
        <v>6</v>
      </c>
      <c r="F97" s="1719">
        <v>9</v>
      </c>
      <c r="G97" s="1720">
        <v>9</v>
      </c>
      <c r="H97" s="1589">
        <v>9</v>
      </c>
      <c r="I97" s="1587">
        <v>12</v>
      </c>
      <c r="J97" s="1584">
        <v>6</v>
      </c>
    </row>
    <row r="98" spans="1:10">
      <c r="A98" s="1896" t="s">
        <v>448</v>
      </c>
      <c r="B98" s="1583" t="s">
        <v>68</v>
      </c>
      <c r="C98" s="1584">
        <v>3</v>
      </c>
      <c r="D98" s="1585">
        <v>3</v>
      </c>
      <c r="E98" s="1586">
        <v>0</v>
      </c>
      <c r="F98" s="1719">
        <v>0</v>
      </c>
      <c r="G98" s="1720">
        <v>0</v>
      </c>
      <c r="H98" s="1589">
        <v>0</v>
      </c>
      <c r="I98" s="1589">
        <v>0</v>
      </c>
      <c r="J98" s="1584"/>
    </row>
    <row r="99" spans="1:10">
      <c r="A99" s="1896" t="s">
        <v>448</v>
      </c>
      <c r="B99" s="1583" t="s">
        <v>69</v>
      </c>
      <c r="C99" s="1584">
        <v>180</v>
      </c>
      <c r="D99" s="1585">
        <v>153</v>
      </c>
      <c r="E99" s="1586">
        <v>27</v>
      </c>
      <c r="F99" s="1719">
        <v>60</v>
      </c>
      <c r="G99" s="1720">
        <v>57</v>
      </c>
      <c r="H99" s="1589">
        <v>66</v>
      </c>
      <c r="I99" s="1587">
        <v>72</v>
      </c>
      <c r="J99" s="1584">
        <v>21</v>
      </c>
    </row>
    <row r="100" spans="1:10">
      <c r="A100" s="1896" t="s">
        <v>448</v>
      </c>
      <c r="B100" s="1583" t="s">
        <v>70</v>
      </c>
      <c r="C100" s="1584">
        <v>3</v>
      </c>
      <c r="D100" s="1585">
        <v>0</v>
      </c>
      <c r="E100" s="1586">
        <v>3</v>
      </c>
      <c r="F100" s="1719">
        <v>0</v>
      </c>
      <c r="G100" s="1720">
        <v>3</v>
      </c>
      <c r="H100" s="1589">
        <v>0</v>
      </c>
      <c r="I100" s="1589">
        <v>0</v>
      </c>
      <c r="J100" s="1584"/>
    </row>
    <row r="101" spans="1:10">
      <c r="A101" s="1896" t="s">
        <v>448</v>
      </c>
      <c r="B101" s="1591" t="s">
        <v>71</v>
      </c>
      <c r="C101" s="1584">
        <v>0</v>
      </c>
      <c r="D101" s="1585">
        <v>0</v>
      </c>
      <c r="E101" s="1586">
        <v>0</v>
      </c>
      <c r="F101" s="1719">
        <v>0</v>
      </c>
      <c r="G101" s="1720">
        <v>0</v>
      </c>
      <c r="H101" s="1589">
        <v>0</v>
      </c>
      <c r="I101" s="1584">
        <v>0</v>
      </c>
      <c r="J101" s="1584">
        <v>0</v>
      </c>
    </row>
    <row r="102" spans="1:10">
      <c r="A102" s="1564" t="s">
        <v>449</v>
      </c>
      <c r="B102" s="1594" t="s">
        <v>64</v>
      </c>
      <c r="C102" s="1580">
        <f>SUM(C103:C109)</f>
        <v>162</v>
      </c>
      <c r="D102" s="1581">
        <f t="shared" ref="D102" si="30">SUM(D103:D109)</f>
        <v>129</v>
      </c>
      <c r="E102" s="1582">
        <f t="shared" ref="E102" si="31">SUM(E103:E109)</f>
        <v>36</v>
      </c>
      <c r="F102" s="1581">
        <f t="shared" ref="F102" si="32">SUM(F103:F109)</f>
        <v>51</v>
      </c>
      <c r="G102" s="1727">
        <f t="shared" ref="G102" si="33">SUM(G103:G109)</f>
        <v>57</v>
      </c>
      <c r="H102" s="1582">
        <f t="shared" ref="H102" si="34">SUM(H103:H109)</f>
        <v>51</v>
      </c>
      <c r="I102" s="1580">
        <f t="shared" ref="I102" si="35">SUM(I103:I109)</f>
        <v>69</v>
      </c>
      <c r="J102" s="1580">
        <f t="shared" ref="J102" si="36">SUM(J103:J109)</f>
        <v>18</v>
      </c>
    </row>
    <row r="103" spans="1:10">
      <c r="A103" s="1896" t="s">
        <v>449</v>
      </c>
      <c r="B103" s="1583" t="s">
        <v>65</v>
      </c>
      <c r="C103" s="1584">
        <v>24</v>
      </c>
      <c r="D103" s="1585">
        <v>9</v>
      </c>
      <c r="E103" s="1586">
        <v>15</v>
      </c>
      <c r="F103" s="1719">
        <v>6</v>
      </c>
      <c r="G103" s="1720">
        <v>12</v>
      </c>
      <c r="H103" s="1589">
        <v>6</v>
      </c>
      <c r="I103" s="1587">
        <v>9</v>
      </c>
      <c r="J103" s="1584">
        <v>3</v>
      </c>
    </row>
    <row r="104" spans="1:10">
      <c r="A104" s="1896" t="s">
        <v>449</v>
      </c>
      <c r="B104" s="1583" t="s">
        <v>66</v>
      </c>
      <c r="C104" s="1584">
        <v>6</v>
      </c>
      <c r="D104" s="1585">
        <v>3</v>
      </c>
      <c r="E104" s="1586">
        <v>3</v>
      </c>
      <c r="F104" s="1719">
        <v>0</v>
      </c>
      <c r="G104" s="1720">
        <v>3</v>
      </c>
      <c r="H104" s="1589">
        <v>3</v>
      </c>
      <c r="I104" s="1587">
        <v>3</v>
      </c>
      <c r="J104" s="1584"/>
    </row>
    <row r="105" spans="1:10">
      <c r="A105" s="1896" t="s">
        <v>449</v>
      </c>
      <c r="B105" s="1583" t="s">
        <v>67</v>
      </c>
      <c r="C105" s="1584">
        <v>6</v>
      </c>
      <c r="D105" s="1585">
        <v>3</v>
      </c>
      <c r="E105" s="1586">
        <v>3</v>
      </c>
      <c r="F105" s="1719">
        <v>0</v>
      </c>
      <c r="G105" s="1720">
        <v>3</v>
      </c>
      <c r="H105" s="1589">
        <v>3</v>
      </c>
      <c r="I105" s="1587">
        <v>3</v>
      </c>
      <c r="J105" s="1584"/>
    </row>
    <row r="106" spans="1:10">
      <c r="A106" s="1896" t="s">
        <v>449</v>
      </c>
      <c r="B106" s="1583" t="s">
        <v>68</v>
      </c>
      <c r="C106" s="1584">
        <v>3</v>
      </c>
      <c r="D106" s="1585">
        <v>3</v>
      </c>
      <c r="E106" s="1586">
        <v>0</v>
      </c>
      <c r="F106" s="1719">
        <v>0</v>
      </c>
      <c r="G106" s="1720">
        <v>0</v>
      </c>
      <c r="H106" s="1589">
        <v>0</v>
      </c>
      <c r="I106" s="1589">
        <v>0</v>
      </c>
      <c r="J106" s="1584">
        <v>0</v>
      </c>
    </row>
    <row r="107" spans="1:10">
      <c r="A107" s="1896" t="s">
        <v>449</v>
      </c>
      <c r="B107" s="1583" t="s">
        <v>69</v>
      </c>
      <c r="C107" s="1584">
        <v>123</v>
      </c>
      <c r="D107" s="1585">
        <v>111</v>
      </c>
      <c r="E107" s="1586">
        <v>15</v>
      </c>
      <c r="F107" s="1719">
        <v>45</v>
      </c>
      <c r="G107" s="1720">
        <v>39</v>
      </c>
      <c r="H107" s="1589">
        <v>39</v>
      </c>
      <c r="I107" s="1587">
        <v>54</v>
      </c>
      <c r="J107" s="1584">
        <v>15</v>
      </c>
    </row>
    <row r="108" spans="1:10">
      <c r="A108" s="1896" t="s">
        <v>449</v>
      </c>
      <c r="B108" s="1583" t="s">
        <v>70</v>
      </c>
      <c r="C108" s="1584">
        <v>0</v>
      </c>
      <c r="D108" s="1585">
        <v>0</v>
      </c>
      <c r="E108" s="1586">
        <v>0</v>
      </c>
      <c r="F108" s="1719">
        <v>0</v>
      </c>
      <c r="G108" s="1720">
        <v>0</v>
      </c>
      <c r="H108" s="1589">
        <v>0</v>
      </c>
      <c r="I108" s="1589">
        <v>0</v>
      </c>
      <c r="J108" s="1584">
        <v>0</v>
      </c>
    </row>
    <row r="109" spans="1:10">
      <c r="A109" s="1896" t="s">
        <v>449</v>
      </c>
      <c r="B109" s="1591" t="s">
        <v>71</v>
      </c>
      <c r="C109" s="1584">
        <v>0</v>
      </c>
      <c r="D109" s="1585">
        <v>0</v>
      </c>
      <c r="E109" s="1586">
        <v>0</v>
      </c>
      <c r="F109" s="1719">
        <v>0</v>
      </c>
      <c r="G109" s="1720">
        <v>0</v>
      </c>
      <c r="H109" s="1589">
        <v>0</v>
      </c>
      <c r="I109" s="1590">
        <v>0</v>
      </c>
      <c r="J109" s="1584">
        <v>0</v>
      </c>
    </row>
    <row r="110" spans="1:10">
      <c r="A110" s="1564" t="s">
        <v>450</v>
      </c>
      <c r="B110" s="1579" t="s">
        <v>64</v>
      </c>
      <c r="C110" s="1580">
        <f>SUM(C111:C117)</f>
        <v>492</v>
      </c>
      <c r="D110" s="1581">
        <f t="shared" ref="D110:J110" si="37">SUM(D111:D117)</f>
        <v>327</v>
      </c>
      <c r="E110" s="1582">
        <f t="shared" si="37"/>
        <v>162</v>
      </c>
      <c r="F110" s="1581">
        <f t="shared" si="37"/>
        <v>132</v>
      </c>
      <c r="G110" s="1727">
        <f t="shared" si="37"/>
        <v>192</v>
      </c>
      <c r="H110" s="1582">
        <f t="shared" si="37"/>
        <v>171</v>
      </c>
      <c r="I110" s="1580">
        <f t="shared" si="37"/>
        <v>168</v>
      </c>
      <c r="J110" s="1580">
        <f t="shared" si="37"/>
        <v>57</v>
      </c>
    </row>
    <row r="111" spans="1:10">
      <c r="A111" s="1896" t="s">
        <v>450</v>
      </c>
      <c r="B111" s="1583" t="s">
        <v>65</v>
      </c>
      <c r="C111" s="1584">
        <v>54</v>
      </c>
      <c r="D111" s="1585">
        <v>21</v>
      </c>
      <c r="E111" s="1586">
        <v>36</v>
      </c>
      <c r="F111" s="1719">
        <v>18</v>
      </c>
      <c r="G111" s="1720">
        <v>21</v>
      </c>
      <c r="H111" s="1589">
        <v>15</v>
      </c>
      <c r="I111" s="1587">
        <v>21</v>
      </c>
      <c r="J111" s="1584">
        <v>9</v>
      </c>
    </row>
    <row r="112" spans="1:10">
      <c r="A112" s="1896" t="s">
        <v>450</v>
      </c>
      <c r="B112" s="1583" t="s">
        <v>66</v>
      </c>
      <c r="C112" s="1584">
        <v>18</v>
      </c>
      <c r="D112" s="1585">
        <v>3</v>
      </c>
      <c r="E112" s="1586">
        <v>12</v>
      </c>
      <c r="F112" s="1719">
        <v>0</v>
      </c>
      <c r="G112" s="1720">
        <v>12</v>
      </c>
      <c r="H112" s="1589">
        <v>6</v>
      </c>
      <c r="I112" s="1587">
        <v>12</v>
      </c>
      <c r="J112" s="1584">
        <v>3</v>
      </c>
    </row>
    <row r="113" spans="1:10">
      <c r="A113" s="1896" t="s">
        <v>450</v>
      </c>
      <c r="B113" s="1583" t="s">
        <v>67</v>
      </c>
      <c r="C113" s="1584">
        <v>24</v>
      </c>
      <c r="D113" s="1585">
        <v>12</v>
      </c>
      <c r="E113" s="1586">
        <v>9</v>
      </c>
      <c r="F113" s="1719">
        <v>9</v>
      </c>
      <c r="G113" s="1720">
        <v>9</v>
      </c>
      <c r="H113" s="1589">
        <v>6</v>
      </c>
      <c r="I113" s="1587">
        <v>9</v>
      </c>
      <c r="J113" s="1584">
        <v>3</v>
      </c>
    </row>
    <row r="114" spans="1:10">
      <c r="A114" s="1896" t="s">
        <v>450</v>
      </c>
      <c r="B114" s="1583" t="s">
        <v>68</v>
      </c>
      <c r="C114" s="1584">
        <v>6</v>
      </c>
      <c r="D114" s="1585">
        <v>3</v>
      </c>
      <c r="E114" s="1586">
        <v>6</v>
      </c>
      <c r="F114" s="1719">
        <v>3</v>
      </c>
      <c r="G114" s="1720">
        <v>3</v>
      </c>
      <c r="H114" s="1589">
        <v>3</v>
      </c>
      <c r="I114" s="1587">
        <v>3</v>
      </c>
      <c r="J114" s="1584"/>
    </row>
    <row r="115" spans="1:10">
      <c r="A115" s="1896" t="s">
        <v>450</v>
      </c>
      <c r="B115" s="1583" t="s">
        <v>69</v>
      </c>
      <c r="C115" s="1584">
        <v>363</v>
      </c>
      <c r="D115" s="1585">
        <v>279</v>
      </c>
      <c r="E115" s="1586">
        <v>81</v>
      </c>
      <c r="F115" s="1719">
        <v>96</v>
      </c>
      <c r="G115" s="1720">
        <v>135</v>
      </c>
      <c r="H115" s="1589">
        <v>129</v>
      </c>
      <c r="I115" s="1587">
        <v>114</v>
      </c>
      <c r="J115" s="1584">
        <v>39</v>
      </c>
    </row>
    <row r="116" spans="1:10">
      <c r="A116" s="1896" t="s">
        <v>450</v>
      </c>
      <c r="B116" s="1583" t="s">
        <v>70</v>
      </c>
      <c r="C116" s="1584">
        <v>27</v>
      </c>
      <c r="D116" s="1585">
        <v>9</v>
      </c>
      <c r="E116" s="1586">
        <v>18</v>
      </c>
      <c r="F116" s="1719">
        <v>6</v>
      </c>
      <c r="G116" s="1720">
        <v>12</v>
      </c>
      <c r="H116" s="1589">
        <v>12</v>
      </c>
      <c r="I116" s="1590">
        <v>9</v>
      </c>
      <c r="J116" s="1584">
        <v>3</v>
      </c>
    </row>
    <row r="117" spans="1:10">
      <c r="A117" s="1897" t="s">
        <v>450</v>
      </c>
      <c r="B117" s="1836" t="s">
        <v>71</v>
      </c>
      <c r="C117" s="1837">
        <v>0</v>
      </c>
      <c r="D117" s="1838">
        <v>0</v>
      </c>
      <c r="E117" s="1774">
        <v>0</v>
      </c>
      <c r="F117" s="1839">
        <v>0</v>
      </c>
      <c r="G117" s="1840">
        <v>0</v>
      </c>
      <c r="H117" s="1776">
        <v>0</v>
      </c>
      <c r="I117" s="1837">
        <v>0</v>
      </c>
      <c r="J117" s="1837">
        <v>0</v>
      </c>
    </row>
    <row r="118" spans="1:10">
      <c r="A118" s="1564" t="s">
        <v>451</v>
      </c>
      <c r="B118" s="1579" t="s">
        <v>64</v>
      </c>
      <c r="C118" s="1580">
        <f>SUM(C119:C125)</f>
        <v>165</v>
      </c>
      <c r="D118" s="1581">
        <f t="shared" ref="D118" si="38">SUM(D119:D125)</f>
        <v>126</v>
      </c>
      <c r="E118" s="1582">
        <f t="shared" ref="E118" si="39">SUM(E119:E125)</f>
        <v>39</v>
      </c>
      <c r="F118" s="1581">
        <f t="shared" ref="F118" si="40">SUM(F119:F125)</f>
        <v>66</v>
      </c>
      <c r="G118" s="1727">
        <f t="shared" ref="G118" si="41">SUM(G119:G125)</f>
        <v>48</v>
      </c>
      <c r="H118" s="1582">
        <f t="shared" ref="H118" si="42">SUM(H119:H125)</f>
        <v>48</v>
      </c>
      <c r="I118" s="1580">
        <f t="shared" ref="I118" si="43">SUM(I119:I125)</f>
        <v>72</v>
      </c>
      <c r="J118" s="1580">
        <f t="shared" ref="J118" si="44">SUM(J119:J125)</f>
        <v>18</v>
      </c>
    </row>
    <row r="119" spans="1:10">
      <c r="A119" s="1896" t="s">
        <v>451</v>
      </c>
      <c r="B119" s="1583" t="s">
        <v>65</v>
      </c>
      <c r="C119" s="1584">
        <v>21</v>
      </c>
      <c r="D119" s="1585">
        <v>9</v>
      </c>
      <c r="E119" s="1586">
        <v>12</v>
      </c>
      <c r="F119" s="1719">
        <v>9</v>
      </c>
      <c r="G119" s="1720">
        <v>6</v>
      </c>
      <c r="H119" s="1589">
        <v>6</v>
      </c>
      <c r="I119" s="1587">
        <v>9</v>
      </c>
      <c r="J119" s="1584">
        <v>3</v>
      </c>
    </row>
    <row r="120" spans="1:10">
      <c r="A120" s="1896" t="s">
        <v>451</v>
      </c>
      <c r="B120" s="1583" t="s">
        <v>66</v>
      </c>
      <c r="C120" s="1584">
        <v>0</v>
      </c>
      <c r="D120" s="1585">
        <v>0</v>
      </c>
      <c r="E120" s="1586">
        <v>0</v>
      </c>
      <c r="F120" s="1719">
        <v>0</v>
      </c>
      <c r="G120" s="1720">
        <v>0</v>
      </c>
      <c r="H120" s="1589">
        <v>0</v>
      </c>
      <c r="I120" s="1589">
        <v>0</v>
      </c>
      <c r="J120" s="1584">
        <v>0</v>
      </c>
    </row>
    <row r="121" spans="1:10">
      <c r="A121" s="1896" t="s">
        <v>451</v>
      </c>
      <c r="B121" s="1583" t="s">
        <v>67</v>
      </c>
      <c r="C121" s="1584">
        <v>6</v>
      </c>
      <c r="D121" s="1585">
        <v>3</v>
      </c>
      <c r="E121" s="1586">
        <v>3</v>
      </c>
      <c r="F121" s="1719">
        <v>3</v>
      </c>
      <c r="G121" s="1720">
        <v>0</v>
      </c>
      <c r="H121" s="1589">
        <v>3</v>
      </c>
      <c r="I121" s="1589">
        <v>3</v>
      </c>
      <c r="J121" s="1584"/>
    </row>
    <row r="122" spans="1:10">
      <c r="A122" s="1896" t="s">
        <v>451</v>
      </c>
      <c r="B122" s="1583" t="s">
        <v>68</v>
      </c>
      <c r="C122" s="1584">
        <v>0</v>
      </c>
      <c r="D122" s="1585">
        <v>0</v>
      </c>
      <c r="E122" s="1586">
        <v>0</v>
      </c>
      <c r="F122" s="1719">
        <v>0</v>
      </c>
      <c r="G122" s="1720">
        <v>0</v>
      </c>
      <c r="H122" s="1589">
        <v>0</v>
      </c>
      <c r="I122" s="1589">
        <v>0</v>
      </c>
      <c r="J122" s="1584">
        <v>0</v>
      </c>
    </row>
    <row r="123" spans="1:10">
      <c r="A123" s="1896" t="s">
        <v>451</v>
      </c>
      <c r="B123" s="1583" t="s">
        <v>69</v>
      </c>
      <c r="C123" s="1584">
        <v>132</v>
      </c>
      <c r="D123" s="1585">
        <v>114</v>
      </c>
      <c r="E123" s="1586">
        <v>18</v>
      </c>
      <c r="F123" s="1719">
        <v>51</v>
      </c>
      <c r="G123" s="1720">
        <v>42</v>
      </c>
      <c r="H123" s="1589">
        <v>39</v>
      </c>
      <c r="I123" s="1587">
        <v>57</v>
      </c>
      <c r="J123" s="1584">
        <v>15</v>
      </c>
    </row>
    <row r="124" spans="1:10">
      <c r="A124" s="1896" t="s">
        <v>451</v>
      </c>
      <c r="B124" s="1583" t="s">
        <v>70</v>
      </c>
      <c r="C124" s="1584">
        <v>3</v>
      </c>
      <c r="D124" s="1585">
        <v>0</v>
      </c>
      <c r="E124" s="1586">
        <v>3</v>
      </c>
      <c r="F124" s="1719">
        <v>3</v>
      </c>
      <c r="G124" s="1720">
        <v>0</v>
      </c>
      <c r="H124" s="1589">
        <v>0</v>
      </c>
      <c r="I124" s="1589">
        <v>3</v>
      </c>
      <c r="J124" s="1584">
        <v>0</v>
      </c>
    </row>
    <row r="125" spans="1:10">
      <c r="A125" s="1896" t="s">
        <v>451</v>
      </c>
      <c r="B125" s="1591" t="s">
        <v>71</v>
      </c>
      <c r="C125" s="1584">
        <v>3</v>
      </c>
      <c r="D125" s="1585">
        <v>0</v>
      </c>
      <c r="E125" s="1586">
        <v>3</v>
      </c>
      <c r="F125" s="1719">
        <v>0</v>
      </c>
      <c r="G125" s="1720">
        <v>0</v>
      </c>
      <c r="H125" s="1589">
        <v>0</v>
      </c>
      <c r="I125" s="1589">
        <v>0</v>
      </c>
      <c r="J125" s="1584"/>
    </row>
    <row r="126" spans="1:10">
      <c r="A126" s="1564" t="s">
        <v>452</v>
      </c>
      <c r="B126" s="1579" t="s">
        <v>64</v>
      </c>
      <c r="C126" s="1580">
        <f>SUM(C127:C133)</f>
        <v>213</v>
      </c>
      <c r="D126" s="1581">
        <f t="shared" ref="D126:J126" si="45">SUM(D127:D133)</f>
        <v>159</v>
      </c>
      <c r="E126" s="1582">
        <f t="shared" si="45"/>
        <v>45</v>
      </c>
      <c r="F126" s="1581">
        <f t="shared" si="45"/>
        <v>60</v>
      </c>
      <c r="G126" s="1727">
        <f t="shared" si="45"/>
        <v>69</v>
      </c>
      <c r="H126" s="1582">
        <f t="shared" si="45"/>
        <v>84</v>
      </c>
      <c r="I126" s="1580">
        <f t="shared" si="45"/>
        <v>69</v>
      </c>
      <c r="J126" s="1580">
        <f t="shared" si="45"/>
        <v>30</v>
      </c>
    </row>
    <row r="127" spans="1:10">
      <c r="A127" s="1896" t="s">
        <v>452</v>
      </c>
      <c r="B127" s="1583" t="s">
        <v>65</v>
      </c>
      <c r="C127" s="1584">
        <v>33</v>
      </c>
      <c r="D127" s="1585">
        <v>18</v>
      </c>
      <c r="E127" s="1586">
        <v>15</v>
      </c>
      <c r="F127" s="1719">
        <v>12</v>
      </c>
      <c r="G127" s="1720">
        <v>6</v>
      </c>
      <c r="H127" s="1589">
        <v>15</v>
      </c>
      <c r="I127" s="1587">
        <v>15</v>
      </c>
      <c r="J127" s="1584">
        <v>3</v>
      </c>
    </row>
    <row r="128" spans="1:10">
      <c r="A128" s="1896" t="s">
        <v>452</v>
      </c>
      <c r="B128" s="1583" t="s">
        <v>66</v>
      </c>
      <c r="C128" s="1584">
        <v>6</v>
      </c>
      <c r="D128" s="1585">
        <v>0</v>
      </c>
      <c r="E128" s="1586">
        <v>3</v>
      </c>
      <c r="F128" s="1719">
        <v>0</v>
      </c>
      <c r="G128" s="1720">
        <v>3</v>
      </c>
      <c r="H128" s="1589">
        <v>3</v>
      </c>
      <c r="I128" s="1589">
        <v>0</v>
      </c>
      <c r="J128" s="1584"/>
    </row>
    <row r="129" spans="1:22">
      <c r="A129" s="1896" t="s">
        <v>452</v>
      </c>
      <c r="B129" s="1583" t="s">
        <v>67</v>
      </c>
      <c r="C129" s="1584">
        <v>9</v>
      </c>
      <c r="D129" s="1585">
        <v>6</v>
      </c>
      <c r="E129" s="1586">
        <v>0</v>
      </c>
      <c r="F129" s="1719">
        <v>3</v>
      </c>
      <c r="G129" s="1720">
        <v>0</v>
      </c>
      <c r="H129" s="1589">
        <v>6</v>
      </c>
      <c r="I129" s="1587">
        <v>3</v>
      </c>
      <c r="J129" s="1584">
        <v>3</v>
      </c>
    </row>
    <row r="130" spans="1:22">
      <c r="A130" s="1896" t="s">
        <v>452</v>
      </c>
      <c r="B130" s="1583" t="s">
        <v>68</v>
      </c>
      <c r="C130" s="1584"/>
      <c r="D130" s="1585"/>
      <c r="E130" s="1586"/>
      <c r="F130" s="1719"/>
      <c r="G130" s="1720"/>
      <c r="H130" s="1589"/>
      <c r="I130" s="1587">
        <v>0</v>
      </c>
      <c r="J130" s="1584">
        <v>0</v>
      </c>
    </row>
    <row r="131" spans="1:22">
      <c r="A131" s="1896" t="s">
        <v>452</v>
      </c>
      <c r="B131" s="1583" t="s">
        <v>69</v>
      </c>
      <c r="C131" s="1584">
        <v>159</v>
      </c>
      <c r="D131" s="1585">
        <v>132</v>
      </c>
      <c r="E131" s="1586">
        <v>27</v>
      </c>
      <c r="F131" s="1719">
        <v>42</v>
      </c>
      <c r="G131" s="1720">
        <v>57</v>
      </c>
      <c r="H131" s="1589">
        <v>60</v>
      </c>
      <c r="I131" s="1587">
        <v>48</v>
      </c>
      <c r="J131" s="1584">
        <v>24</v>
      </c>
    </row>
    <row r="132" spans="1:22">
      <c r="A132" s="1896" t="s">
        <v>452</v>
      </c>
      <c r="B132" s="1583" t="s">
        <v>70</v>
      </c>
      <c r="C132" s="1584">
        <v>0</v>
      </c>
      <c r="D132" s="1585">
        <v>0</v>
      </c>
      <c r="E132" s="1586">
        <v>0</v>
      </c>
      <c r="F132" s="1719">
        <v>0</v>
      </c>
      <c r="G132" s="1720">
        <v>0</v>
      </c>
      <c r="H132" s="1589">
        <v>0</v>
      </c>
      <c r="I132" s="1589">
        <v>0</v>
      </c>
      <c r="J132" s="1584"/>
    </row>
    <row r="133" spans="1:22">
      <c r="A133" s="1896" t="s">
        <v>452</v>
      </c>
      <c r="B133" s="1591" t="s">
        <v>71</v>
      </c>
      <c r="C133" s="1584">
        <v>6</v>
      </c>
      <c r="D133" s="1585">
        <v>3</v>
      </c>
      <c r="E133" s="1586">
        <v>0</v>
      </c>
      <c r="F133" s="1719">
        <v>3</v>
      </c>
      <c r="G133" s="1720">
        <v>3</v>
      </c>
      <c r="H133" s="1589">
        <v>0</v>
      </c>
      <c r="I133" s="1590">
        <v>3</v>
      </c>
      <c r="J133" s="1584"/>
    </row>
    <row r="134" spans="1:22">
      <c r="A134" s="1949" t="s">
        <v>418</v>
      </c>
      <c r="B134" s="1579" t="s">
        <v>64</v>
      </c>
      <c r="C134" s="1580">
        <v>12237</v>
      </c>
      <c r="D134" s="1581">
        <f t="shared" ref="D134:E134" si="46">SUM(D135:D142)</f>
        <v>9528</v>
      </c>
      <c r="E134" s="1582">
        <f t="shared" si="46"/>
        <v>2709</v>
      </c>
      <c r="F134" s="1581">
        <v>3759</v>
      </c>
      <c r="G134" s="1727">
        <v>4149</v>
      </c>
      <c r="H134" s="1582">
        <v>4326</v>
      </c>
      <c r="I134" s="1580">
        <v>4515</v>
      </c>
      <c r="J134" s="1580">
        <v>1578</v>
      </c>
    </row>
    <row r="135" spans="1:22">
      <c r="A135" s="1950" t="s">
        <v>418</v>
      </c>
      <c r="B135" s="1583" t="s">
        <v>65</v>
      </c>
      <c r="C135" s="1847">
        <v>1254</v>
      </c>
      <c r="D135" s="1848">
        <v>564</v>
      </c>
      <c r="E135" s="1849">
        <v>690</v>
      </c>
      <c r="F135" s="1853">
        <v>369</v>
      </c>
      <c r="G135" s="1854">
        <v>450</v>
      </c>
      <c r="H135" s="1852">
        <v>438</v>
      </c>
      <c r="I135" s="1850">
        <v>468</v>
      </c>
      <c r="J135" s="1847">
        <v>156</v>
      </c>
    </row>
    <row r="136" spans="1:22">
      <c r="A136" s="1950" t="s">
        <v>418</v>
      </c>
      <c r="B136" s="1583" t="s">
        <v>66</v>
      </c>
      <c r="C136" s="1847">
        <v>339</v>
      </c>
      <c r="D136" s="1848">
        <v>165</v>
      </c>
      <c r="E136" s="1849">
        <v>174</v>
      </c>
      <c r="F136" s="1853">
        <v>60</v>
      </c>
      <c r="G136" s="1854">
        <v>147</v>
      </c>
      <c r="H136" s="1852">
        <v>132</v>
      </c>
      <c r="I136" s="1850">
        <v>150</v>
      </c>
      <c r="J136" s="1847">
        <v>54</v>
      </c>
    </row>
    <row r="137" spans="1:22">
      <c r="A137" s="1950" t="s">
        <v>418</v>
      </c>
      <c r="B137" s="1583" t="s">
        <v>67</v>
      </c>
      <c r="C137" s="1847">
        <v>543</v>
      </c>
      <c r="D137" s="1848">
        <v>357</v>
      </c>
      <c r="E137" s="1849">
        <v>186</v>
      </c>
      <c r="F137" s="1853">
        <v>159</v>
      </c>
      <c r="G137" s="1854">
        <v>195</v>
      </c>
      <c r="H137" s="1852">
        <v>189</v>
      </c>
      <c r="I137" s="1850">
        <v>219</v>
      </c>
      <c r="J137" s="1847">
        <v>81</v>
      </c>
    </row>
    <row r="138" spans="1:22">
      <c r="A138" s="1950" t="s">
        <v>418</v>
      </c>
      <c r="B138" s="1583" t="s">
        <v>68</v>
      </c>
      <c r="C138" s="1847">
        <v>117</v>
      </c>
      <c r="D138" s="1848">
        <v>96</v>
      </c>
      <c r="E138" s="1849">
        <v>24</v>
      </c>
      <c r="F138" s="1853">
        <v>36</v>
      </c>
      <c r="G138" s="1854">
        <v>39</v>
      </c>
      <c r="H138" s="1852">
        <v>45</v>
      </c>
      <c r="I138" s="1850">
        <v>57</v>
      </c>
      <c r="J138" s="1847">
        <v>15</v>
      </c>
    </row>
    <row r="139" spans="1:22">
      <c r="A139" s="1950" t="s">
        <v>418</v>
      </c>
      <c r="B139" s="1583" t="s">
        <v>69</v>
      </c>
      <c r="C139" s="1847">
        <v>9381</v>
      </c>
      <c r="D139" s="1848">
        <v>8040</v>
      </c>
      <c r="E139" s="1849">
        <v>1341</v>
      </c>
      <c r="F139" s="1853">
        <v>2961</v>
      </c>
      <c r="G139" s="1854">
        <v>3081</v>
      </c>
      <c r="H139" s="1852">
        <v>3339</v>
      </c>
      <c r="I139" s="1850">
        <v>3375</v>
      </c>
      <c r="J139" s="1847">
        <v>1197</v>
      </c>
    </row>
    <row r="140" spans="1:22">
      <c r="A140" s="1950" t="s">
        <v>418</v>
      </c>
      <c r="B140" s="1583" t="s">
        <v>70</v>
      </c>
      <c r="C140" s="1847">
        <v>411</v>
      </c>
      <c r="D140" s="1848">
        <v>249</v>
      </c>
      <c r="E140" s="1849">
        <v>162</v>
      </c>
      <c r="F140" s="1853">
        <v>126</v>
      </c>
      <c r="G140" s="1854">
        <v>156</v>
      </c>
      <c r="H140" s="1852">
        <v>132</v>
      </c>
      <c r="I140" s="1855">
        <v>153</v>
      </c>
      <c r="J140" s="1847">
        <v>48</v>
      </c>
    </row>
    <row r="141" spans="1:22">
      <c r="A141" s="1950" t="s">
        <v>418</v>
      </c>
      <c r="B141" s="1591" t="s">
        <v>71</v>
      </c>
      <c r="C141" s="1847">
        <v>189</v>
      </c>
      <c r="D141" s="1848">
        <v>57</v>
      </c>
      <c r="E141" s="1849">
        <v>132</v>
      </c>
      <c r="F141" s="1853">
        <v>54</v>
      </c>
      <c r="G141" s="1854">
        <v>84</v>
      </c>
      <c r="H141" s="1852">
        <v>54</v>
      </c>
      <c r="I141" s="1855">
        <v>90</v>
      </c>
      <c r="J141" s="1847">
        <v>24</v>
      </c>
    </row>
    <row r="142" spans="1:22">
      <c r="A142" s="1950" t="s">
        <v>418</v>
      </c>
      <c r="B142" s="1591" t="s">
        <v>356</v>
      </c>
      <c r="C142" s="1584">
        <v>0</v>
      </c>
      <c r="D142" s="1585">
        <v>0</v>
      </c>
      <c r="E142" s="1586">
        <v>0</v>
      </c>
      <c r="F142" s="1719">
        <v>0</v>
      </c>
      <c r="G142" s="1720">
        <v>0</v>
      </c>
      <c r="H142" s="1589">
        <v>0</v>
      </c>
      <c r="I142" s="1590">
        <v>0</v>
      </c>
      <c r="J142" s="1584">
        <v>0</v>
      </c>
    </row>
    <row r="143" spans="1:22" s="1571" customFormat="1">
      <c r="A143" s="1402" t="s">
        <v>498</v>
      </c>
      <c r="B143" s="1575"/>
      <c r="J143" s="1574"/>
      <c r="K143" s="1574"/>
      <c r="L143" s="1398"/>
      <c r="M143" s="1398"/>
      <c r="N143" s="1398"/>
      <c r="O143" s="1398"/>
      <c r="P143" s="1398"/>
      <c r="Q143" s="1398"/>
      <c r="R143" s="1398"/>
      <c r="S143" s="1398"/>
      <c r="T143" s="1398"/>
      <c r="U143" s="1398"/>
      <c r="V143" s="1398"/>
    </row>
    <row r="144" spans="1:22" s="1571" customFormat="1">
      <c r="A144" s="1402" t="s">
        <v>542</v>
      </c>
      <c r="B144" s="1575"/>
      <c r="J144" s="1574"/>
      <c r="K144" s="1574"/>
      <c r="L144" s="1398"/>
      <c r="M144" s="1398"/>
      <c r="N144" s="1398"/>
      <c r="O144" s="1398"/>
      <c r="P144" s="1398"/>
      <c r="Q144" s="1398"/>
      <c r="R144" s="1398"/>
      <c r="S144" s="1398"/>
      <c r="T144" s="1398"/>
      <c r="U144" s="1398"/>
      <c r="V144" s="1398"/>
    </row>
    <row r="145" spans="1:22" s="1571" customFormat="1">
      <c r="A145" s="1575"/>
      <c r="B145" s="1575"/>
      <c r="J145" s="1574"/>
      <c r="K145" s="1574"/>
      <c r="L145" s="1398"/>
      <c r="M145" s="1398"/>
      <c r="N145" s="1398"/>
      <c r="O145" s="1398"/>
      <c r="P145" s="1398"/>
      <c r="Q145" s="1398"/>
      <c r="R145" s="1398"/>
      <c r="S145" s="1398"/>
      <c r="T145" s="1398"/>
      <c r="U145" s="1398"/>
      <c r="V145" s="1398"/>
    </row>
    <row r="146" spans="1:22" s="1571" customFormat="1">
      <c r="A146" s="1575"/>
      <c r="B146" s="1575"/>
      <c r="J146" s="1574"/>
      <c r="K146" s="1574"/>
      <c r="L146" s="1398"/>
      <c r="M146" s="1398"/>
      <c r="N146" s="1398"/>
      <c r="O146" s="1398"/>
      <c r="P146" s="1398"/>
      <c r="Q146" s="1398"/>
      <c r="R146" s="1398"/>
      <c r="S146" s="1398"/>
      <c r="T146" s="1398"/>
      <c r="U146" s="1398"/>
      <c r="V146" s="1398"/>
    </row>
    <row r="147" spans="1:22" s="1571" customFormat="1">
      <c r="A147" s="1575"/>
      <c r="B147" s="1575"/>
      <c r="J147" s="1574"/>
      <c r="K147" s="1574"/>
      <c r="L147" s="1398"/>
      <c r="M147" s="1398"/>
      <c r="N147" s="1398"/>
      <c r="O147" s="1398"/>
      <c r="P147" s="1398"/>
      <c r="Q147" s="1398"/>
      <c r="R147" s="1398"/>
      <c r="S147" s="1398"/>
      <c r="T147" s="1398"/>
      <c r="U147" s="1398"/>
      <c r="V147" s="1398"/>
    </row>
    <row r="148" spans="1:22" s="1571" customFormat="1">
      <c r="A148" s="1575"/>
      <c r="B148" s="1575"/>
      <c r="J148" s="1574"/>
      <c r="K148" s="1574"/>
      <c r="L148" s="1398"/>
      <c r="M148" s="1398"/>
      <c r="N148" s="1398"/>
      <c r="O148" s="1398"/>
      <c r="P148" s="1398"/>
      <c r="Q148" s="1398"/>
      <c r="R148" s="1398"/>
      <c r="S148" s="1398"/>
      <c r="T148" s="1398"/>
      <c r="U148" s="1398"/>
      <c r="V148" s="1398"/>
    </row>
    <row r="149" spans="1:22" s="1571" customFormat="1">
      <c r="A149" s="1575"/>
      <c r="B149" s="1575"/>
      <c r="J149" s="1574"/>
      <c r="K149" s="1574"/>
      <c r="L149" s="1398"/>
      <c r="M149" s="1398"/>
      <c r="N149" s="1398"/>
      <c r="O149" s="1398"/>
      <c r="P149" s="1398"/>
      <c r="Q149" s="1398"/>
      <c r="R149" s="1398"/>
      <c r="S149" s="1398"/>
      <c r="T149" s="1398"/>
      <c r="U149" s="1398"/>
      <c r="V149" s="1398"/>
    </row>
    <row r="150" spans="1:22" s="1571" customFormat="1">
      <c r="A150" s="1575"/>
      <c r="B150" s="1575"/>
      <c r="J150" s="1574"/>
      <c r="K150" s="1574"/>
      <c r="L150" s="1398"/>
      <c r="M150" s="1398"/>
      <c r="N150" s="1398"/>
      <c r="O150" s="1398"/>
      <c r="P150" s="1398"/>
      <c r="Q150" s="1398"/>
      <c r="R150" s="1398"/>
      <c r="S150" s="1398"/>
      <c r="T150" s="1398"/>
      <c r="U150" s="1398"/>
      <c r="V150" s="1398"/>
    </row>
    <row r="151" spans="1:22" s="1571" customFormat="1">
      <c r="A151" s="1575"/>
      <c r="B151" s="1575"/>
      <c r="J151" s="1574"/>
      <c r="K151" s="1574"/>
      <c r="L151" s="1398"/>
      <c r="M151" s="1398"/>
      <c r="N151" s="1398"/>
      <c r="O151" s="1398"/>
      <c r="P151" s="1398"/>
      <c r="Q151" s="1398"/>
      <c r="R151" s="1398"/>
      <c r="S151" s="1398"/>
      <c r="T151" s="1398"/>
      <c r="U151" s="1398"/>
      <c r="V151" s="1398"/>
    </row>
    <row r="152" spans="1:22" s="1571" customFormat="1">
      <c r="A152" s="1575"/>
      <c r="B152" s="1575"/>
      <c r="J152" s="1574"/>
      <c r="K152" s="1574"/>
      <c r="L152" s="1398"/>
      <c r="M152" s="1398"/>
      <c r="N152" s="1398"/>
      <c r="O152" s="1398"/>
      <c r="P152" s="1398"/>
      <c r="Q152" s="1398"/>
      <c r="R152" s="1398"/>
      <c r="S152" s="1398"/>
      <c r="T152" s="1398"/>
      <c r="U152" s="1398"/>
      <c r="V152" s="1398"/>
    </row>
    <row r="153" spans="1:22" s="1571" customFormat="1">
      <c r="A153" s="1575"/>
      <c r="B153" s="1575"/>
      <c r="J153" s="1574"/>
      <c r="K153" s="1574"/>
      <c r="L153" s="1398"/>
      <c r="M153" s="1398"/>
      <c r="N153" s="1398"/>
      <c r="O153" s="1398"/>
      <c r="P153" s="1398"/>
      <c r="Q153" s="1398"/>
      <c r="R153" s="1398"/>
      <c r="S153" s="1398"/>
      <c r="T153" s="1398"/>
      <c r="U153" s="1398"/>
      <c r="V153" s="1398"/>
    </row>
    <row r="154" spans="1:22" s="1571" customFormat="1">
      <c r="A154" s="1575"/>
      <c r="B154" s="1575"/>
      <c r="J154" s="1574"/>
      <c r="K154" s="1574"/>
      <c r="L154" s="1398"/>
      <c r="M154" s="1398"/>
      <c r="N154" s="1398"/>
      <c r="O154" s="1398"/>
      <c r="P154" s="1398"/>
      <c r="Q154" s="1398"/>
      <c r="R154" s="1398"/>
      <c r="S154" s="1398"/>
      <c r="T154" s="1398"/>
      <c r="U154" s="1398"/>
      <c r="V154" s="1398"/>
    </row>
    <row r="155" spans="1:22" s="1571" customFormat="1">
      <c r="A155" s="1575"/>
      <c r="B155" s="1575"/>
      <c r="J155" s="1574"/>
      <c r="K155" s="1574"/>
      <c r="L155" s="1398"/>
      <c r="M155" s="1398"/>
      <c r="N155" s="1398"/>
      <c r="O155" s="1398"/>
      <c r="P155" s="1398"/>
      <c r="Q155" s="1398"/>
      <c r="R155" s="1398"/>
      <c r="S155" s="1398"/>
      <c r="T155" s="1398"/>
      <c r="U155" s="1398"/>
      <c r="V155" s="1398"/>
    </row>
    <row r="156" spans="1:22" s="1571" customFormat="1">
      <c r="A156" s="1575"/>
      <c r="B156" s="1575"/>
      <c r="J156" s="1574"/>
      <c r="K156" s="1574"/>
      <c r="L156" s="1398"/>
      <c r="M156" s="1398"/>
      <c r="N156" s="1398"/>
      <c r="O156" s="1398"/>
      <c r="P156" s="1398"/>
      <c r="Q156" s="1398"/>
      <c r="R156" s="1398"/>
      <c r="S156" s="1398"/>
      <c r="T156" s="1398"/>
      <c r="U156" s="1398"/>
      <c r="V156" s="1398"/>
    </row>
    <row r="157" spans="1:22" s="1571" customFormat="1">
      <c r="A157" s="1575"/>
      <c r="B157" s="1575"/>
      <c r="J157" s="1574"/>
      <c r="K157" s="1574"/>
      <c r="L157" s="1398"/>
      <c r="M157" s="1398"/>
      <c r="N157" s="1398"/>
      <c r="O157" s="1398"/>
      <c r="P157" s="1398"/>
      <c r="Q157" s="1398"/>
      <c r="R157" s="1398"/>
      <c r="S157" s="1398"/>
      <c r="T157" s="1398"/>
      <c r="U157" s="1398"/>
      <c r="V157" s="1398"/>
    </row>
    <row r="158" spans="1:22" s="1571" customFormat="1">
      <c r="A158" s="1575"/>
      <c r="B158" s="1575"/>
      <c r="J158" s="1574"/>
      <c r="K158" s="1574"/>
      <c r="L158" s="1398"/>
      <c r="M158" s="1398"/>
      <c r="N158" s="1398"/>
      <c r="O158" s="1398"/>
      <c r="P158" s="1398"/>
      <c r="Q158" s="1398"/>
      <c r="R158" s="1398"/>
      <c r="S158" s="1398"/>
      <c r="T158" s="1398"/>
      <c r="U158" s="1398"/>
      <c r="V158" s="1398"/>
    </row>
    <row r="159" spans="1:22" s="1571" customFormat="1">
      <c r="A159" s="1575"/>
      <c r="B159" s="1575"/>
      <c r="J159" s="1574"/>
      <c r="K159" s="1574"/>
      <c r="L159" s="1398"/>
      <c r="M159" s="1398"/>
      <c r="N159" s="1398"/>
      <c r="O159" s="1398"/>
      <c r="P159" s="1398"/>
      <c r="Q159" s="1398"/>
      <c r="R159" s="1398"/>
      <c r="S159" s="1398"/>
      <c r="T159" s="1398"/>
      <c r="U159" s="1398"/>
      <c r="V159" s="1398"/>
    </row>
    <row r="160" spans="1:22" s="1571" customFormat="1">
      <c r="A160" s="1575"/>
      <c r="B160" s="1575"/>
      <c r="J160" s="1574"/>
      <c r="K160" s="1574"/>
      <c r="L160" s="1398"/>
      <c r="M160" s="1398"/>
      <c r="N160" s="1398"/>
      <c r="O160" s="1398"/>
      <c r="P160" s="1398"/>
      <c r="Q160" s="1398"/>
      <c r="R160" s="1398"/>
      <c r="S160" s="1398"/>
      <c r="T160" s="1398"/>
      <c r="U160" s="1398"/>
      <c r="V160" s="1398"/>
    </row>
    <row r="161" spans="1:22" s="1571" customFormat="1">
      <c r="A161" s="1575"/>
      <c r="B161" s="1575"/>
      <c r="J161" s="1574"/>
      <c r="K161" s="1574"/>
      <c r="L161" s="1398"/>
      <c r="M161" s="1398"/>
      <c r="N161" s="1398"/>
      <c r="O161" s="1398"/>
      <c r="P161" s="1398"/>
      <c r="Q161" s="1398"/>
      <c r="R161" s="1398"/>
      <c r="S161" s="1398"/>
      <c r="T161" s="1398"/>
      <c r="U161" s="1398"/>
      <c r="V161" s="1398"/>
    </row>
    <row r="162" spans="1:22" s="1571" customFormat="1">
      <c r="A162" s="1575"/>
      <c r="B162" s="1575"/>
      <c r="J162" s="1574"/>
      <c r="K162" s="1574"/>
      <c r="L162" s="1398"/>
      <c r="M162" s="1398"/>
      <c r="N162" s="1398"/>
      <c r="O162" s="1398"/>
      <c r="P162" s="1398"/>
      <c r="Q162" s="1398"/>
      <c r="R162" s="1398"/>
      <c r="S162" s="1398"/>
      <c r="T162" s="1398"/>
      <c r="U162" s="1398"/>
      <c r="V162" s="1398"/>
    </row>
    <row r="163" spans="1:22" s="1571" customFormat="1">
      <c r="A163" s="1575"/>
      <c r="B163" s="1575"/>
      <c r="J163" s="1574"/>
      <c r="K163" s="1574"/>
      <c r="L163" s="1398"/>
      <c r="M163" s="1398"/>
      <c r="N163" s="1398"/>
      <c r="O163" s="1398"/>
      <c r="P163" s="1398"/>
      <c r="Q163" s="1398"/>
      <c r="R163" s="1398"/>
      <c r="S163" s="1398"/>
      <c r="T163" s="1398"/>
      <c r="U163" s="1398"/>
      <c r="V163" s="1398"/>
    </row>
    <row r="164" spans="1:22" s="1571" customFormat="1">
      <c r="A164" s="1575"/>
      <c r="B164" s="1575"/>
      <c r="J164" s="1574"/>
      <c r="K164" s="1574"/>
      <c r="L164" s="1398"/>
      <c r="M164" s="1398"/>
      <c r="N164" s="1398"/>
      <c r="O164" s="1398"/>
      <c r="P164" s="1398"/>
      <c r="Q164" s="1398"/>
      <c r="R164" s="1398"/>
      <c r="S164" s="1398"/>
      <c r="T164" s="1398"/>
      <c r="U164" s="1398"/>
      <c r="V164" s="1398"/>
    </row>
    <row r="165" spans="1:22" s="1571" customFormat="1">
      <c r="A165" s="1575"/>
      <c r="B165" s="1575"/>
      <c r="J165" s="1574"/>
      <c r="K165" s="1574"/>
      <c r="L165" s="1398"/>
      <c r="M165" s="1398"/>
      <c r="N165" s="1398"/>
      <c r="O165" s="1398"/>
      <c r="P165" s="1398"/>
      <c r="Q165" s="1398"/>
      <c r="R165" s="1398"/>
      <c r="S165" s="1398"/>
      <c r="T165" s="1398"/>
      <c r="U165" s="1398"/>
      <c r="V165" s="1398"/>
    </row>
    <row r="166" spans="1:22" s="1571" customFormat="1">
      <c r="A166" s="1575"/>
      <c r="B166" s="1575"/>
      <c r="J166" s="1574"/>
      <c r="K166" s="1574"/>
      <c r="L166" s="1398"/>
      <c r="M166" s="1398"/>
      <c r="N166" s="1398"/>
      <c r="O166" s="1398"/>
      <c r="P166" s="1398"/>
      <c r="Q166" s="1398"/>
      <c r="R166" s="1398"/>
      <c r="S166" s="1398"/>
      <c r="T166" s="1398"/>
      <c r="U166" s="1398"/>
      <c r="V166" s="1398"/>
    </row>
    <row r="167" spans="1:22" s="1571" customFormat="1">
      <c r="A167" s="1575"/>
      <c r="B167" s="1575"/>
      <c r="J167" s="1574"/>
      <c r="K167" s="1574"/>
      <c r="L167" s="1398"/>
      <c r="M167" s="1398"/>
      <c r="N167" s="1398"/>
      <c r="O167" s="1398"/>
      <c r="P167" s="1398"/>
      <c r="Q167" s="1398"/>
      <c r="R167" s="1398"/>
      <c r="S167" s="1398"/>
      <c r="T167" s="1398"/>
      <c r="U167" s="1398"/>
      <c r="V167" s="1398"/>
    </row>
    <row r="168" spans="1:22" s="1571" customFormat="1">
      <c r="A168" s="1575"/>
      <c r="B168" s="1575"/>
      <c r="J168" s="1574"/>
      <c r="K168" s="1574"/>
      <c r="L168" s="1398"/>
      <c r="M168" s="1398"/>
      <c r="N168" s="1398"/>
      <c r="O168" s="1398"/>
      <c r="P168" s="1398"/>
      <c r="Q168" s="1398"/>
      <c r="R168" s="1398"/>
      <c r="S168" s="1398"/>
      <c r="T168" s="1398"/>
      <c r="U168" s="1398"/>
      <c r="V168" s="1398"/>
    </row>
    <row r="169" spans="1:22" s="1571" customFormat="1">
      <c r="A169" s="1575"/>
      <c r="B169" s="1575"/>
      <c r="J169" s="1574"/>
      <c r="K169" s="1574"/>
      <c r="L169" s="1398"/>
      <c r="M169" s="1398"/>
      <c r="N169" s="1398"/>
      <c r="O169" s="1398"/>
      <c r="P169" s="1398"/>
      <c r="Q169" s="1398"/>
      <c r="R169" s="1398"/>
      <c r="S169" s="1398"/>
      <c r="T169" s="1398"/>
      <c r="U169" s="1398"/>
      <c r="V169" s="1398"/>
    </row>
    <row r="170" spans="1:22" s="1571" customFormat="1">
      <c r="A170" s="1575"/>
      <c r="B170" s="1575"/>
      <c r="J170" s="1574"/>
      <c r="K170" s="1574"/>
      <c r="L170" s="1398"/>
      <c r="M170" s="1398"/>
      <c r="N170" s="1398"/>
      <c r="O170" s="1398"/>
      <c r="P170" s="1398"/>
      <c r="Q170" s="1398"/>
      <c r="R170" s="1398"/>
      <c r="S170" s="1398"/>
      <c r="T170" s="1398"/>
      <c r="U170" s="1398"/>
      <c r="V170" s="1398"/>
    </row>
    <row r="171" spans="1:22" s="1571" customFormat="1">
      <c r="A171" s="1575"/>
      <c r="B171" s="1575"/>
      <c r="J171" s="1574"/>
      <c r="K171" s="1574"/>
      <c r="L171" s="1398"/>
      <c r="M171" s="1398"/>
      <c r="N171" s="1398"/>
      <c r="O171" s="1398"/>
      <c r="P171" s="1398"/>
      <c r="Q171" s="1398"/>
      <c r="R171" s="1398"/>
      <c r="S171" s="1398"/>
      <c r="T171" s="1398"/>
      <c r="U171" s="1398"/>
      <c r="V171" s="1398"/>
    </row>
    <row r="172" spans="1:22" s="1571" customFormat="1">
      <c r="A172" s="1575"/>
      <c r="B172" s="1575"/>
      <c r="J172" s="1574"/>
      <c r="K172" s="1574"/>
      <c r="L172" s="1398"/>
      <c r="M172" s="1398"/>
      <c r="N172" s="1398"/>
      <c r="O172" s="1398"/>
      <c r="P172" s="1398"/>
      <c r="Q172" s="1398"/>
      <c r="R172" s="1398"/>
      <c r="S172" s="1398"/>
      <c r="T172" s="1398"/>
      <c r="U172" s="1398"/>
      <c r="V172" s="1398"/>
    </row>
    <row r="173" spans="1:22" s="1571" customFormat="1">
      <c r="A173" s="1575"/>
      <c r="B173" s="1575"/>
      <c r="J173" s="1574"/>
      <c r="K173" s="1574"/>
      <c r="L173" s="1398"/>
      <c r="M173" s="1398"/>
      <c r="N173" s="1398"/>
      <c r="O173" s="1398"/>
      <c r="P173" s="1398"/>
      <c r="Q173" s="1398"/>
      <c r="R173" s="1398"/>
      <c r="S173" s="1398"/>
      <c r="T173" s="1398"/>
      <c r="U173" s="1398"/>
      <c r="V173" s="1398"/>
    </row>
    <row r="174" spans="1:22" s="1571" customFormat="1">
      <c r="A174" s="1575"/>
      <c r="B174" s="1575"/>
      <c r="J174" s="1574"/>
      <c r="K174" s="1574"/>
      <c r="L174" s="1398"/>
      <c r="M174" s="1398"/>
      <c r="N174" s="1398"/>
      <c r="O174" s="1398"/>
      <c r="P174" s="1398"/>
      <c r="Q174" s="1398"/>
      <c r="R174" s="1398"/>
      <c r="S174" s="1398"/>
      <c r="T174" s="1398"/>
      <c r="U174" s="1398"/>
      <c r="V174" s="1398"/>
    </row>
    <row r="175" spans="1:22" s="1571" customFormat="1">
      <c r="A175" s="1575"/>
      <c r="B175" s="1575"/>
      <c r="J175" s="1574"/>
      <c r="K175" s="1574"/>
      <c r="L175" s="1398"/>
      <c r="M175" s="1398"/>
      <c r="N175" s="1398"/>
      <c r="O175" s="1398"/>
      <c r="P175" s="1398"/>
      <c r="Q175" s="1398"/>
      <c r="R175" s="1398"/>
      <c r="S175" s="1398"/>
      <c r="T175" s="1398"/>
      <c r="U175" s="1398"/>
      <c r="V175" s="1398"/>
    </row>
    <row r="176" spans="1:22" s="1571" customFormat="1">
      <c r="A176" s="1575"/>
      <c r="B176" s="1575"/>
      <c r="J176" s="1574"/>
      <c r="K176" s="1574"/>
      <c r="L176" s="1398"/>
      <c r="M176" s="1398"/>
      <c r="N176" s="1398"/>
      <c r="O176" s="1398"/>
      <c r="P176" s="1398"/>
      <c r="Q176" s="1398"/>
      <c r="R176" s="1398"/>
      <c r="S176" s="1398"/>
      <c r="T176" s="1398"/>
      <c r="U176" s="1398"/>
      <c r="V176" s="1398"/>
    </row>
    <row r="177" spans="1:22" s="1571" customFormat="1">
      <c r="A177" s="1575"/>
      <c r="B177" s="1575"/>
      <c r="J177" s="1574"/>
      <c r="K177" s="1574"/>
      <c r="L177" s="1398"/>
      <c r="M177" s="1398"/>
      <c r="N177" s="1398"/>
      <c r="O177" s="1398"/>
      <c r="P177" s="1398"/>
      <c r="Q177" s="1398"/>
      <c r="R177" s="1398"/>
      <c r="S177" s="1398"/>
      <c r="T177" s="1398"/>
      <c r="U177" s="1398"/>
      <c r="V177" s="1398"/>
    </row>
    <row r="178" spans="1:22" s="1571" customFormat="1">
      <c r="A178" s="1575"/>
      <c r="B178" s="1575"/>
      <c r="J178" s="1574"/>
      <c r="K178" s="1574"/>
      <c r="L178" s="1398"/>
      <c r="M178" s="1398"/>
      <c r="N178" s="1398"/>
      <c r="O178" s="1398"/>
      <c r="P178" s="1398"/>
      <c r="Q178" s="1398"/>
      <c r="R178" s="1398"/>
      <c r="S178" s="1398"/>
      <c r="T178" s="1398"/>
      <c r="U178" s="1398"/>
      <c r="V178" s="1398"/>
    </row>
    <row r="179" spans="1:22" s="1571" customFormat="1">
      <c r="A179" s="1575"/>
      <c r="B179" s="1575"/>
      <c r="J179" s="1574"/>
      <c r="K179" s="1574"/>
      <c r="L179" s="1398"/>
      <c r="M179" s="1398"/>
      <c r="N179" s="1398"/>
      <c r="O179" s="1398"/>
      <c r="P179" s="1398"/>
      <c r="Q179" s="1398"/>
      <c r="R179" s="1398"/>
      <c r="S179" s="1398"/>
      <c r="T179" s="1398"/>
      <c r="U179" s="1398"/>
      <c r="V179" s="1398"/>
    </row>
    <row r="180" spans="1:22" s="1571" customFormat="1">
      <c r="A180" s="1575"/>
      <c r="B180" s="1575"/>
      <c r="J180" s="1574"/>
      <c r="K180" s="1574"/>
      <c r="L180" s="1398"/>
      <c r="M180" s="1398"/>
      <c r="N180" s="1398"/>
      <c r="O180" s="1398"/>
      <c r="P180" s="1398"/>
      <c r="Q180" s="1398"/>
      <c r="R180" s="1398"/>
      <c r="S180" s="1398"/>
      <c r="T180" s="1398"/>
      <c r="U180" s="1398"/>
      <c r="V180" s="1398"/>
    </row>
    <row r="181" spans="1:22" s="1571" customFormat="1">
      <c r="A181" s="1575"/>
      <c r="B181" s="1575"/>
      <c r="J181" s="1574"/>
      <c r="K181" s="1574"/>
      <c r="L181" s="1398"/>
      <c r="M181" s="1398"/>
      <c r="N181" s="1398"/>
      <c r="O181" s="1398"/>
      <c r="P181" s="1398"/>
      <c r="Q181" s="1398"/>
      <c r="R181" s="1398"/>
      <c r="S181" s="1398"/>
      <c r="T181" s="1398"/>
      <c r="U181" s="1398"/>
      <c r="V181" s="1398"/>
    </row>
    <row r="182" spans="1:22" s="1571" customFormat="1">
      <c r="A182" s="1575"/>
      <c r="B182" s="1575"/>
      <c r="J182" s="1574"/>
      <c r="K182" s="1574"/>
      <c r="L182" s="1398"/>
      <c r="M182" s="1398"/>
      <c r="N182" s="1398"/>
      <c r="O182" s="1398"/>
      <c r="P182" s="1398"/>
      <c r="Q182" s="1398"/>
      <c r="R182" s="1398"/>
      <c r="S182" s="1398"/>
      <c r="T182" s="1398"/>
      <c r="U182" s="1398"/>
      <c r="V182" s="1398"/>
    </row>
    <row r="183" spans="1:22" s="1571" customFormat="1">
      <c r="A183" s="1575"/>
      <c r="B183" s="1575"/>
      <c r="J183" s="1574"/>
      <c r="K183" s="1574"/>
      <c r="L183" s="1398"/>
      <c r="M183" s="1398"/>
      <c r="N183" s="1398"/>
      <c r="O183" s="1398"/>
      <c r="P183" s="1398"/>
      <c r="Q183" s="1398"/>
      <c r="R183" s="1398"/>
      <c r="S183" s="1398"/>
      <c r="T183" s="1398"/>
      <c r="U183" s="1398"/>
      <c r="V183" s="1398"/>
    </row>
    <row r="184" spans="1:22" s="1571" customFormat="1">
      <c r="A184" s="1575"/>
      <c r="B184" s="1575"/>
      <c r="J184" s="1574"/>
      <c r="K184" s="1574"/>
      <c r="L184" s="1398"/>
      <c r="M184" s="1398"/>
      <c r="N184" s="1398"/>
      <c r="O184" s="1398"/>
      <c r="P184" s="1398"/>
      <c r="Q184" s="1398"/>
      <c r="R184" s="1398"/>
      <c r="S184" s="1398"/>
      <c r="T184" s="1398"/>
      <c r="U184" s="1398"/>
      <c r="V184" s="1398"/>
    </row>
    <row r="185" spans="1:22" s="1571" customFormat="1">
      <c r="A185" s="1575"/>
      <c r="B185" s="1575"/>
      <c r="J185" s="1574"/>
      <c r="K185" s="1574"/>
      <c r="L185" s="1398"/>
      <c r="M185" s="1398"/>
      <c r="N185" s="1398"/>
      <c r="O185" s="1398"/>
      <c r="P185" s="1398"/>
      <c r="Q185" s="1398"/>
      <c r="R185" s="1398"/>
      <c r="S185" s="1398"/>
      <c r="T185" s="1398"/>
      <c r="U185" s="1398"/>
      <c r="V185" s="1398"/>
    </row>
    <row r="186" spans="1:22" s="1571" customFormat="1">
      <c r="A186" s="1575"/>
      <c r="B186" s="1575"/>
      <c r="J186" s="1574"/>
      <c r="K186" s="1574"/>
      <c r="L186" s="1398"/>
      <c r="M186" s="1398"/>
      <c r="N186" s="1398"/>
      <c r="O186" s="1398"/>
      <c r="P186" s="1398"/>
      <c r="Q186" s="1398"/>
      <c r="R186" s="1398"/>
      <c r="S186" s="1398"/>
      <c r="T186" s="1398"/>
      <c r="U186" s="1398"/>
      <c r="V186" s="1398"/>
    </row>
    <row r="187" spans="1:22" s="1571" customFormat="1">
      <c r="A187" s="1575"/>
      <c r="B187" s="1575"/>
      <c r="J187" s="1574"/>
      <c r="K187" s="1574"/>
      <c r="L187" s="1398"/>
      <c r="M187" s="1398"/>
      <c r="N187" s="1398"/>
      <c r="O187" s="1398"/>
      <c r="P187" s="1398"/>
      <c r="Q187" s="1398"/>
      <c r="R187" s="1398"/>
      <c r="S187" s="1398"/>
      <c r="T187" s="1398"/>
      <c r="U187" s="1398"/>
      <c r="V187" s="1398"/>
    </row>
    <row r="188" spans="1:22" s="1571" customFormat="1">
      <c r="A188" s="1575"/>
      <c r="B188" s="1575"/>
      <c r="J188" s="1574"/>
      <c r="K188" s="1574"/>
      <c r="L188" s="1398"/>
      <c r="M188" s="1398"/>
      <c r="N188" s="1398"/>
      <c r="O188" s="1398"/>
      <c r="P188" s="1398"/>
      <c r="Q188" s="1398"/>
      <c r="R188" s="1398"/>
      <c r="S188" s="1398"/>
      <c r="T188" s="1398"/>
      <c r="U188" s="1398"/>
      <c r="V188" s="1398"/>
    </row>
    <row r="189" spans="1:22" s="1571" customFormat="1">
      <c r="A189" s="1575"/>
      <c r="B189" s="1575"/>
      <c r="J189" s="1574"/>
      <c r="K189" s="1574"/>
      <c r="L189" s="1398"/>
      <c r="M189" s="1398"/>
      <c r="N189" s="1398"/>
      <c r="O189" s="1398"/>
      <c r="P189" s="1398"/>
      <c r="Q189" s="1398"/>
      <c r="R189" s="1398"/>
      <c r="S189" s="1398"/>
      <c r="T189" s="1398"/>
      <c r="U189" s="1398"/>
      <c r="V189" s="1398"/>
    </row>
    <row r="190" spans="1:22" s="1571" customFormat="1">
      <c r="A190" s="1575"/>
      <c r="B190" s="1575"/>
      <c r="J190" s="1574"/>
      <c r="K190" s="1574"/>
      <c r="L190" s="1398"/>
      <c r="M190" s="1398"/>
      <c r="N190" s="1398"/>
      <c r="O190" s="1398"/>
      <c r="P190" s="1398"/>
      <c r="Q190" s="1398"/>
      <c r="R190" s="1398"/>
      <c r="S190" s="1398"/>
      <c r="T190" s="1398"/>
      <c r="U190" s="1398"/>
      <c r="V190" s="1398"/>
    </row>
    <row r="191" spans="1:22" s="1571" customFormat="1">
      <c r="A191" s="1575"/>
      <c r="B191" s="1575"/>
      <c r="J191" s="1574"/>
      <c r="K191" s="1574"/>
      <c r="L191" s="1398"/>
      <c r="M191" s="1398"/>
      <c r="N191" s="1398"/>
      <c r="O191" s="1398"/>
      <c r="P191" s="1398"/>
      <c r="Q191" s="1398"/>
      <c r="R191" s="1398"/>
      <c r="S191" s="1398"/>
      <c r="T191" s="1398"/>
      <c r="U191" s="1398"/>
      <c r="V191" s="1398"/>
    </row>
    <row r="192" spans="1:22" s="1571" customFormat="1">
      <c r="A192" s="1575"/>
      <c r="B192" s="1575"/>
      <c r="J192" s="1574"/>
      <c r="K192" s="1574"/>
      <c r="L192" s="1398"/>
      <c r="M192" s="1398"/>
      <c r="N192" s="1398"/>
      <c r="O192" s="1398"/>
      <c r="P192" s="1398"/>
      <c r="Q192" s="1398"/>
      <c r="R192" s="1398"/>
      <c r="S192" s="1398"/>
      <c r="T192" s="1398"/>
      <c r="U192" s="1398"/>
      <c r="V192" s="1398"/>
    </row>
    <row r="193" spans="1:22" s="1571" customFormat="1">
      <c r="A193" s="1575"/>
      <c r="B193" s="1575"/>
      <c r="J193" s="1574"/>
      <c r="K193" s="1574"/>
      <c r="L193" s="1398"/>
      <c r="M193" s="1398"/>
      <c r="N193" s="1398"/>
      <c r="O193" s="1398"/>
      <c r="P193" s="1398"/>
      <c r="Q193" s="1398"/>
      <c r="R193" s="1398"/>
      <c r="S193" s="1398"/>
      <c r="T193" s="1398"/>
      <c r="U193" s="1398"/>
      <c r="V193" s="1398"/>
    </row>
    <row r="194" spans="1:22" s="1571" customFormat="1">
      <c r="A194" s="1575"/>
      <c r="B194" s="1575"/>
      <c r="J194" s="1574"/>
      <c r="K194" s="1574"/>
      <c r="L194" s="1398"/>
      <c r="M194" s="1398"/>
      <c r="N194" s="1398"/>
      <c r="O194" s="1398"/>
      <c r="P194" s="1398"/>
      <c r="Q194" s="1398"/>
      <c r="R194" s="1398"/>
      <c r="S194" s="1398"/>
      <c r="T194" s="1398"/>
      <c r="U194" s="1398"/>
      <c r="V194" s="1398"/>
    </row>
    <row r="195" spans="1:22" s="1571" customFormat="1">
      <c r="A195" s="1575"/>
      <c r="B195" s="1575"/>
      <c r="J195" s="1574"/>
      <c r="K195" s="1574"/>
      <c r="L195" s="1398"/>
      <c r="M195" s="1398"/>
      <c r="N195" s="1398"/>
      <c r="O195" s="1398"/>
      <c r="P195" s="1398"/>
      <c r="Q195" s="1398"/>
      <c r="R195" s="1398"/>
      <c r="S195" s="1398"/>
      <c r="T195" s="1398"/>
      <c r="U195" s="1398"/>
      <c r="V195" s="1398"/>
    </row>
    <row r="196" spans="1:22" s="1571" customFormat="1">
      <c r="A196" s="1575"/>
      <c r="B196" s="1575"/>
      <c r="J196" s="1574"/>
      <c r="K196" s="1574"/>
      <c r="L196" s="1398"/>
      <c r="M196" s="1398"/>
      <c r="N196" s="1398"/>
      <c r="O196" s="1398"/>
      <c r="P196" s="1398"/>
      <c r="Q196" s="1398"/>
      <c r="R196" s="1398"/>
      <c r="S196" s="1398"/>
      <c r="T196" s="1398"/>
      <c r="U196" s="1398"/>
      <c r="V196" s="1398"/>
    </row>
    <row r="197" spans="1:22" s="1571" customFormat="1">
      <c r="A197" s="1575"/>
      <c r="B197" s="1575"/>
      <c r="J197" s="1574"/>
      <c r="K197" s="1574"/>
      <c r="L197" s="1398"/>
      <c r="M197" s="1398"/>
      <c r="N197" s="1398"/>
      <c r="O197" s="1398"/>
      <c r="P197" s="1398"/>
      <c r="Q197" s="1398"/>
      <c r="R197" s="1398"/>
      <c r="S197" s="1398"/>
      <c r="T197" s="1398"/>
      <c r="U197" s="1398"/>
      <c r="V197" s="1398"/>
    </row>
    <row r="198" spans="1:22" s="1571" customFormat="1">
      <c r="A198" s="1575"/>
      <c r="B198" s="1575"/>
      <c r="J198" s="1574"/>
      <c r="K198" s="1574"/>
      <c r="L198" s="1398"/>
      <c r="M198" s="1398"/>
      <c r="N198" s="1398"/>
      <c r="O198" s="1398"/>
      <c r="P198" s="1398"/>
      <c r="Q198" s="1398"/>
      <c r="R198" s="1398"/>
      <c r="S198" s="1398"/>
      <c r="T198" s="1398"/>
      <c r="U198" s="1398"/>
      <c r="V198" s="1398"/>
    </row>
    <row r="199" spans="1:22" s="1571" customFormat="1">
      <c r="A199" s="1575"/>
      <c r="B199" s="1575"/>
      <c r="J199" s="1574"/>
      <c r="K199" s="1574"/>
      <c r="L199" s="1398"/>
      <c r="M199" s="1398"/>
      <c r="N199" s="1398"/>
      <c r="O199" s="1398"/>
      <c r="P199" s="1398"/>
      <c r="Q199" s="1398"/>
      <c r="R199" s="1398"/>
      <c r="S199" s="1398"/>
      <c r="T199" s="1398"/>
      <c r="U199" s="1398"/>
      <c r="V199" s="1398"/>
    </row>
    <row r="200" spans="1:22" s="1571" customFormat="1">
      <c r="A200" s="1575"/>
      <c r="B200" s="1575"/>
      <c r="J200" s="1574"/>
      <c r="K200" s="1574"/>
      <c r="L200" s="1398"/>
      <c r="M200" s="1398"/>
      <c r="N200" s="1398"/>
      <c r="O200" s="1398"/>
      <c r="P200" s="1398"/>
      <c r="Q200" s="1398"/>
      <c r="R200" s="1398"/>
      <c r="S200" s="1398"/>
      <c r="T200" s="1398"/>
      <c r="U200" s="1398"/>
      <c r="V200" s="1398"/>
    </row>
    <row r="201" spans="1:22" s="1571" customFormat="1">
      <c r="A201" s="1575"/>
      <c r="B201" s="1575"/>
      <c r="J201" s="1574"/>
      <c r="K201" s="1574"/>
      <c r="L201" s="1398"/>
      <c r="M201" s="1398"/>
      <c r="N201" s="1398"/>
      <c r="O201" s="1398"/>
      <c r="P201" s="1398"/>
      <c r="Q201" s="1398"/>
      <c r="R201" s="1398"/>
      <c r="S201" s="1398"/>
      <c r="T201" s="1398"/>
      <c r="U201" s="1398"/>
      <c r="V201" s="1398"/>
    </row>
    <row r="202" spans="1:22" s="1571" customFormat="1">
      <c r="A202" s="1575"/>
      <c r="B202" s="1575"/>
      <c r="J202" s="1574"/>
      <c r="K202" s="1574"/>
      <c r="L202" s="1398"/>
      <c r="M202" s="1398"/>
      <c r="N202" s="1398"/>
      <c r="O202" s="1398"/>
      <c r="P202" s="1398"/>
      <c r="Q202" s="1398"/>
      <c r="R202" s="1398"/>
      <c r="S202" s="1398"/>
      <c r="T202" s="1398"/>
      <c r="U202" s="1398"/>
      <c r="V202" s="1398"/>
    </row>
    <row r="203" spans="1:22" s="1571" customFormat="1">
      <c r="A203" s="1575"/>
      <c r="B203" s="1575"/>
      <c r="J203" s="1574"/>
      <c r="K203" s="1574"/>
      <c r="L203" s="1398"/>
      <c r="M203" s="1398"/>
      <c r="N203" s="1398"/>
      <c r="O203" s="1398"/>
      <c r="P203" s="1398"/>
      <c r="Q203" s="1398"/>
      <c r="R203" s="1398"/>
      <c r="S203" s="1398"/>
      <c r="T203" s="1398"/>
      <c r="U203" s="1398"/>
      <c r="V203" s="1398"/>
    </row>
    <row r="204" spans="1:22" s="1571" customFormat="1">
      <c r="A204" s="1575"/>
      <c r="B204" s="1575"/>
      <c r="J204" s="1574"/>
      <c r="K204" s="1574"/>
      <c r="L204" s="1398"/>
      <c r="M204" s="1398"/>
      <c r="N204" s="1398"/>
      <c r="O204" s="1398"/>
      <c r="P204" s="1398"/>
      <c r="Q204" s="1398"/>
      <c r="R204" s="1398"/>
      <c r="S204" s="1398"/>
      <c r="T204" s="1398"/>
      <c r="U204" s="1398"/>
      <c r="V204" s="1398"/>
    </row>
    <row r="205" spans="1:22" s="1571" customFormat="1">
      <c r="A205" s="1575"/>
      <c r="B205" s="1575"/>
      <c r="J205" s="1574"/>
      <c r="K205" s="1574"/>
      <c r="L205" s="1398"/>
      <c r="M205" s="1398"/>
      <c r="N205" s="1398"/>
      <c r="O205" s="1398"/>
      <c r="P205" s="1398"/>
      <c r="Q205" s="1398"/>
      <c r="R205" s="1398"/>
      <c r="S205" s="1398"/>
      <c r="T205" s="1398"/>
      <c r="U205" s="1398"/>
      <c r="V205" s="1398"/>
    </row>
    <row r="206" spans="1:22" s="1571" customFormat="1">
      <c r="A206" s="1575"/>
      <c r="B206" s="1575"/>
      <c r="J206" s="1574"/>
      <c r="K206" s="1574"/>
      <c r="L206" s="1398"/>
      <c r="M206" s="1398"/>
      <c r="N206" s="1398"/>
      <c r="O206" s="1398"/>
      <c r="P206" s="1398"/>
      <c r="Q206" s="1398"/>
      <c r="R206" s="1398"/>
      <c r="S206" s="1398"/>
      <c r="T206" s="1398"/>
      <c r="U206" s="1398"/>
      <c r="V206" s="1398"/>
    </row>
    <row r="207" spans="1:22" s="1571" customFormat="1">
      <c r="A207" s="1575"/>
      <c r="B207" s="1575"/>
      <c r="J207" s="1574"/>
      <c r="K207" s="1574"/>
      <c r="L207" s="1398"/>
      <c r="M207" s="1398"/>
      <c r="N207" s="1398"/>
      <c r="O207" s="1398"/>
      <c r="P207" s="1398"/>
      <c r="Q207" s="1398"/>
      <c r="R207" s="1398"/>
      <c r="S207" s="1398"/>
      <c r="T207" s="1398"/>
      <c r="U207" s="1398"/>
      <c r="V207" s="1398"/>
    </row>
    <row r="208" spans="1:22" s="1571" customFormat="1">
      <c r="A208" s="1575"/>
      <c r="B208" s="1575"/>
      <c r="J208" s="1574"/>
      <c r="K208" s="1574"/>
      <c r="L208" s="1398"/>
      <c r="M208" s="1398"/>
      <c r="N208" s="1398"/>
      <c r="O208" s="1398"/>
      <c r="P208" s="1398"/>
      <c r="Q208" s="1398"/>
      <c r="R208" s="1398"/>
      <c r="S208" s="1398"/>
      <c r="T208" s="1398"/>
      <c r="U208" s="1398"/>
      <c r="V208" s="1398"/>
    </row>
    <row r="209" spans="1:22" s="1571" customFormat="1">
      <c r="A209" s="1575"/>
      <c r="B209" s="1575"/>
      <c r="J209" s="1574"/>
      <c r="K209" s="1574"/>
      <c r="L209" s="1398"/>
      <c r="M209" s="1398"/>
      <c r="N209" s="1398"/>
      <c r="O209" s="1398"/>
      <c r="P209" s="1398"/>
      <c r="Q209" s="1398"/>
      <c r="R209" s="1398"/>
      <c r="S209" s="1398"/>
      <c r="T209" s="1398"/>
      <c r="U209" s="1398"/>
      <c r="V209" s="1398"/>
    </row>
    <row r="210" spans="1:22" s="1571" customFormat="1">
      <c r="A210" s="1575"/>
      <c r="B210" s="1575"/>
      <c r="J210" s="1574"/>
      <c r="K210" s="1574"/>
      <c r="L210" s="1398"/>
      <c r="M210" s="1398"/>
      <c r="N210" s="1398"/>
      <c r="O210" s="1398"/>
      <c r="P210" s="1398"/>
      <c r="Q210" s="1398"/>
      <c r="R210" s="1398"/>
      <c r="S210" s="1398"/>
      <c r="T210" s="1398"/>
      <c r="U210" s="1398"/>
      <c r="V210" s="1398"/>
    </row>
    <row r="211" spans="1:22" s="1571" customFormat="1">
      <c r="A211" s="1575"/>
      <c r="B211" s="1575"/>
      <c r="J211" s="1574"/>
      <c r="K211" s="1574"/>
      <c r="L211" s="1398"/>
      <c r="M211" s="1398"/>
      <c r="N211" s="1398"/>
      <c r="O211" s="1398"/>
      <c r="P211" s="1398"/>
      <c r="Q211" s="1398"/>
      <c r="R211" s="1398"/>
      <c r="S211" s="1398"/>
      <c r="T211" s="1398"/>
      <c r="U211" s="1398"/>
      <c r="V211" s="1398"/>
    </row>
    <row r="212" spans="1:22" s="1571" customFormat="1">
      <c r="A212" s="1575"/>
      <c r="B212" s="1575"/>
      <c r="J212" s="1574"/>
      <c r="K212" s="1574"/>
      <c r="L212" s="1398"/>
      <c r="M212" s="1398"/>
      <c r="N212" s="1398"/>
      <c r="O212" s="1398"/>
      <c r="P212" s="1398"/>
      <c r="Q212" s="1398"/>
      <c r="R212" s="1398"/>
      <c r="S212" s="1398"/>
      <c r="T212" s="1398"/>
      <c r="U212" s="1398"/>
      <c r="V212" s="1398"/>
    </row>
    <row r="213" spans="1:22" s="1571" customFormat="1">
      <c r="A213" s="1575"/>
      <c r="B213" s="1575"/>
      <c r="J213" s="1574"/>
      <c r="K213" s="1574"/>
      <c r="L213" s="1398"/>
      <c r="M213" s="1398"/>
      <c r="N213" s="1398"/>
      <c r="O213" s="1398"/>
      <c r="P213" s="1398"/>
      <c r="Q213" s="1398"/>
      <c r="R213" s="1398"/>
      <c r="S213" s="1398"/>
      <c r="T213" s="1398"/>
      <c r="U213" s="1398"/>
      <c r="V213" s="1398"/>
    </row>
    <row r="214" spans="1:22" s="1571" customFormat="1">
      <c r="A214" s="1575"/>
      <c r="B214" s="1575"/>
      <c r="J214" s="1574"/>
      <c r="K214" s="1574"/>
      <c r="L214" s="1398"/>
      <c r="M214" s="1398"/>
      <c r="N214" s="1398"/>
      <c r="O214" s="1398"/>
      <c r="P214" s="1398"/>
      <c r="Q214" s="1398"/>
      <c r="R214" s="1398"/>
      <c r="S214" s="1398"/>
      <c r="T214" s="1398"/>
      <c r="U214" s="1398"/>
      <c r="V214" s="1398"/>
    </row>
    <row r="215" spans="1:22" s="1571" customFormat="1">
      <c r="A215" s="1575"/>
      <c r="B215" s="1575"/>
      <c r="J215" s="1574"/>
      <c r="K215" s="1574"/>
      <c r="L215" s="1398"/>
      <c r="M215" s="1398"/>
      <c r="N215" s="1398"/>
      <c r="O215" s="1398"/>
      <c r="P215" s="1398"/>
      <c r="Q215" s="1398"/>
      <c r="R215" s="1398"/>
      <c r="S215" s="1398"/>
      <c r="T215" s="1398"/>
      <c r="U215" s="1398"/>
      <c r="V215" s="1398"/>
    </row>
    <row r="216" spans="1:22" s="1571" customFormat="1">
      <c r="A216" s="1575"/>
      <c r="B216" s="1575"/>
      <c r="J216" s="1574"/>
      <c r="K216" s="1574"/>
      <c r="L216" s="1398"/>
      <c r="M216" s="1398"/>
      <c r="N216" s="1398"/>
      <c r="O216" s="1398"/>
      <c r="P216" s="1398"/>
      <c r="Q216" s="1398"/>
      <c r="R216" s="1398"/>
      <c r="S216" s="1398"/>
      <c r="T216" s="1398"/>
      <c r="U216" s="1398"/>
      <c r="V216" s="1398"/>
    </row>
    <row r="217" spans="1:22" s="1571" customFormat="1">
      <c r="A217" s="1575"/>
      <c r="B217" s="1575"/>
      <c r="J217" s="1574"/>
      <c r="K217" s="1574"/>
      <c r="L217" s="1398"/>
      <c r="M217" s="1398"/>
      <c r="N217" s="1398"/>
      <c r="O217" s="1398"/>
      <c r="P217" s="1398"/>
      <c r="Q217" s="1398"/>
      <c r="R217" s="1398"/>
      <c r="S217" s="1398"/>
      <c r="T217" s="1398"/>
      <c r="U217" s="1398"/>
      <c r="V217" s="1398"/>
    </row>
    <row r="218" spans="1:22" s="1571" customFormat="1">
      <c r="A218" s="1575"/>
      <c r="B218" s="1575"/>
      <c r="J218" s="1574"/>
      <c r="K218" s="1574"/>
      <c r="L218" s="1398"/>
      <c r="M218" s="1398"/>
      <c r="N218" s="1398"/>
      <c r="O218" s="1398"/>
      <c r="P218" s="1398"/>
      <c r="Q218" s="1398"/>
      <c r="R218" s="1398"/>
      <c r="S218" s="1398"/>
      <c r="T218" s="1398"/>
      <c r="U218" s="1398"/>
      <c r="V218" s="1398"/>
    </row>
    <row r="219" spans="1:22" s="1571" customFormat="1">
      <c r="A219" s="1575"/>
      <c r="B219" s="1575"/>
      <c r="J219" s="1574"/>
      <c r="K219" s="1574"/>
      <c r="L219" s="1398"/>
      <c r="M219" s="1398"/>
      <c r="N219" s="1398"/>
      <c r="O219" s="1398"/>
      <c r="P219" s="1398"/>
      <c r="Q219" s="1398"/>
      <c r="R219" s="1398"/>
      <c r="S219" s="1398"/>
      <c r="T219" s="1398"/>
      <c r="U219" s="1398"/>
      <c r="V219" s="1398"/>
    </row>
    <row r="220" spans="1:22" s="1571" customFormat="1">
      <c r="A220" s="1575"/>
      <c r="B220" s="1575"/>
      <c r="J220" s="1574"/>
      <c r="K220" s="1574"/>
      <c r="L220" s="1398"/>
      <c r="M220" s="1398"/>
      <c r="N220" s="1398"/>
      <c r="O220" s="1398"/>
      <c r="P220" s="1398"/>
      <c r="Q220" s="1398"/>
      <c r="R220" s="1398"/>
      <c r="S220" s="1398"/>
      <c r="T220" s="1398"/>
      <c r="U220" s="1398"/>
      <c r="V220" s="1398"/>
    </row>
    <row r="221" spans="1:22" s="1571" customFormat="1">
      <c r="A221" s="1575"/>
      <c r="B221" s="1575"/>
      <c r="J221" s="1574"/>
      <c r="K221" s="1574"/>
      <c r="L221" s="1398"/>
      <c r="M221" s="1398"/>
      <c r="N221" s="1398"/>
      <c r="O221" s="1398"/>
      <c r="P221" s="1398"/>
      <c r="Q221" s="1398"/>
      <c r="R221" s="1398"/>
      <c r="S221" s="1398"/>
      <c r="T221" s="1398"/>
      <c r="U221" s="1398"/>
      <c r="V221" s="1398"/>
    </row>
    <row r="222" spans="1:22" s="1571" customFormat="1">
      <c r="A222" s="1575"/>
      <c r="B222" s="1575"/>
      <c r="J222" s="1574"/>
      <c r="K222" s="1574"/>
      <c r="L222" s="1398"/>
      <c r="M222" s="1398"/>
      <c r="N222" s="1398"/>
      <c r="O222" s="1398"/>
      <c r="P222" s="1398"/>
      <c r="Q222" s="1398"/>
      <c r="R222" s="1398"/>
      <c r="S222" s="1398"/>
      <c r="T222" s="1398"/>
      <c r="U222" s="1398"/>
      <c r="V222" s="1398"/>
    </row>
    <row r="223" spans="1:22" s="1571" customFormat="1">
      <c r="A223" s="1575"/>
      <c r="B223" s="1575"/>
      <c r="J223" s="1574"/>
      <c r="K223" s="1574"/>
      <c r="L223" s="1398"/>
      <c r="M223" s="1398"/>
      <c r="N223" s="1398"/>
      <c r="O223" s="1398"/>
      <c r="P223" s="1398"/>
      <c r="Q223" s="1398"/>
      <c r="R223" s="1398"/>
      <c r="S223" s="1398"/>
      <c r="T223" s="1398"/>
      <c r="U223" s="1398"/>
      <c r="V223" s="1398"/>
    </row>
    <row r="224" spans="1:22" s="1571" customFormat="1">
      <c r="A224" s="1575"/>
      <c r="B224" s="1575"/>
      <c r="J224" s="1574"/>
      <c r="K224" s="1574"/>
      <c r="L224" s="1398"/>
      <c r="M224" s="1398"/>
      <c r="N224" s="1398"/>
      <c r="O224" s="1398"/>
      <c r="P224" s="1398"/>
      <c r="Q224" s="1398"/>
      <c r="R224" s="1398"/>
      <c r="S224" s="1398"/>
      <c r="T224" s="1398"/>
      <c r="U224" s="1398"/>
      <c r="V224" s="1398"/>
    </row>
    <row r="225" spans="1:22" s="1571" customFormat="1">
      <c r="A225" s="1575"/>
      <c r="B225" s="1575"/>
      <c r="J225" s="1574"/>
      <c r="K225" s="1574"/>
      <c r="L225" s="1398"/>
      <c r="M225" s="1398"/>
      <c r="N225" s="1398"/>
      <c r="O225" s="1398"/>
      <c r="P225" s="1398"/>
      <c r="Q225" s="1398"/>
      <c r="R225" s="1398"/>
      <c r="S225" s="1398"/>
      <c r="T225" s="1398"/>
      <c r="U225" s="1398"/>
      <c r="V225" s="1398"/>
    </row>
    <row r="226" spans="1:22" s="1571" customFormat="1">
      <c r="A226" s="1575"/>
      <c r="B226" s="1575"/>
      <c r="J226" s="1574"/>
      <c r="K226" s="1574"/>
      <c r="L226" s="1398"/>
      <c r="M226" s="1398"/>
      <c r="N226" s="1398"/>
      <c r="O226" s="1398"/>
      <c r="P226" s="1398"/>
      <c r="Q226" s="1398"/>
      <c r="R226" s="1398"/>
      <c r="S226" s="1398"/>
      <c r="T226" s="1398"/>
      <c r="U226" s="1398"/>
      <c r="V226" s="1398"/>
    </row>
    <row r="227" spans="1:22" s="1571" customFormat="1">
      <c r="A227" s="1575"/>
      <c r="B227" s="1575"/>
      <c r="J227" s="1574"/>
      <c r="K227" s="1574"/>
      <c r="L227" s="1398"/>
      <c r="M227" s="1398"/>
      <c r="N227" s="1398"/>
      <c r="O227" s="1398"/>
      <c r="P227" s="1398"/>
      <c r="Q227" s="1398"/>
      <c r="R227" s="1398"/>
      <c r="S227" s="1398"/>
      <c r="T227" s="1398"/>
      <c r="U227" s="1398"/>
      <c r="V227" s="1398"/>
    </row>
    <row r="228" spans="1:22" s="1571" customFormat="1">
      <c r="A228" s="1575"/>
      <c r="B228" s="1575"/>
      <c r="J228" s="1574"/>
      <c r="K228" s="1574"/>
      <c r="L228" s="1398"/>
      <c r="M228" s="1398"/>
      <c r="N228" s="1398"/>
      <c r="O228" s="1398"/>
      <c r="P228" s="1398"/>
      <c r="Q228" s="1398"/>
      <c r="R228" s="1398"/>
      <c r="S228" s="1398"/>
      <c r="T228" s="1398"/>
      <c r="U228" s="1398"/>
      <c r="V228" s="1398"/>
    </row>
    <row r="229" spans="1:22" s="1571" customFormat="1">
      <c r="A229" s="1575"/>
      <c r="B229" s="1575"/>
      <c r="J229" s="1574"/>
      <c r="K229" s="1574"/>
      <c r="L229" s="1398"/>
      <c r="M229" s="1398"/>
      <c r="N229" s="1398"/>
      <c r="O229" s="1398"/>
      <c r="P229" s="1398"/>
      <c r="Q229" s="1398"/>
      <c r="R229" s="1398"/>
      <c r="S229" s="1398"/>
      <c r="T229" s="1398"/>
      <c r="U229" s="1398"/>
      <c r="V229" s="1398"/>
    </row>
    <row r="230" spans="1:22" s="1571" customFormat="1">
      <c r="A230" s="1575"/>
      <c r="B230" s="1575"/>
      <c r="J230" s="1574"/>
      <c r="K230" s="1574"/>
      <c r="L230" s="1398"/>
      <c r="M230" s="1398"/>
      <c r="N230" s="1398"/>
      <c r="O230" s="1398"/>
      <c r="P230" s="1398"/>
      <c r="Q230" s="1398"/>
      <c r="R230" s="1398"/>
      <c r="S230" s="1398"/>
      <c r="T230" s="1398"/>
      <c r="U230" s="1398"/>
      <c r="V230" s="1398"/>
    </row>
    <row r="231" spans="1:22" s="1571" customFormat="1">
      <c r="A231" s="1575"/>
      <c r="B231" s="1575"/>
      <c r="J231" s="1574"/>
      <c r="K231" s="1574"/>
      <c r="L231" s="1398"/>
      <c r="M231" s="1398"/>
      <c r="N231" s="1398"/>
      <c r="O231" s="1398"/>
      <c r="P231" s="1398"/>
      <c r="Q231" s="1398"/>
      <c r="R231" s="1398"/>
      <c r="S231" s="1398"/>
      <c r="T231" s="1398"/>
      <c r="U231" s="1398"/>
      <c r="V231" s="1398"/>
    </row>
    <row r="232" spans="1:22" s="1571" customFormat="1">
      <c r="A232" s="1575"/>
      <c r="B232" s="1575"/>
      <c r="J232" s="1574"/>
      <c r="K232" s="1574"/>
      <c r="L232" s="1398"/>
      <c r="M232" s="1398"/>
      <c r="N232" s="1398"/>
      <c r="O232" s="1398"/>
      <c r="P232" s="1398"/>
      <c r="Q232" s="1398"/>
      <c r="R232" s="1398"/>
      <c r="S232" s="1398"/>
      <c r="T232" s="1398"/>
      <c r="U232" s="1398"/>
      <c r="V232" s="1398"/>
    </row>
    <row r="233" spans="1:22" s="1571" customFormat="1">
      <c r="A233" s="1575"/>
      <c r="B233" s="1575"/>
      <c r="J233" s="1574"/>
      <c r="K233" s="1574"/>
      <c r="L233" s="1398"/>
      <c r="M233" s="1398"/>
      <c r="N233" s="1398"/>
      <c r="O233" s="1398"/>
      <c r="P233" s="1398"/>
      <c r="Q233" s="1398"/>
      <c r="R233" s="1398"/>
      <c r="S233" s="1398"/>
      <c r="T233" s="1398"/>
      <c r="U233" s="1398"/>
      <c r="V233" s="1398"/>
    </row>
    <row r="234" spans="1:22" s="1571" customFormat="1">
      <c r="A234" s="1575"/>
      <c r="B234" s="1575"/>
      <c r="J234" s="1574"/>
      <c r="K234" s="1574"/>
      <c r="L234" s="1398"/>
      <c r="M234" s="1398"/>
      <c r="N234" s="1398"/>
      <c r="O234" s="1398"/>
      <c r="P234" s="1398"/>
      <c r="Q234" s="1398"/>
      <c r="R234" s="1398"/>
      <c r="S234" s="1398"/>
      <c r="T234" s="1398"/>
      <c r="U234" s="1398"/>
      <c r="V234" s="1398"/>
    </row>
    <row r="235" spans="1:22" s="1571" customFormat="1">
      <c r="A235" s="1575"/>
      <c r="B235" s="1575"/>
      <c r="J235" s="1574"/>
      <c r="K235" s="1574"/>
      <c r="L235" s="1398"/>
      <c r="M235" s="1398"/>
      <c r="N235" s="1398"/>
      <c r="O235" s="1398"/>
      <c r="P235" s="1398"/>
      <c r="Q235" s="1398"/>
      <c r="R235" s="1398"/>
      <c r="S235" s="1398"/>
      <c r="T235" s="1398"/>
      <c r="U235" s="1398"/>
      <c r="V235" s="1398"/>
    </row>
    <row r="236" spans="1:22" s="1571" customFormat="1">
      <c r="A236" s="1575"/>
      <c r="B236" s="1575"/>
      <c r="J236" s="1574"/>
      <c r="K236" s="1574"/>
      <c r="L236" s="1398"/>
      <c r="M236" s="1398"/>
      <c r="N236" s="1398"/>
      <c r="O236" s="1398"/>
      <c r="P236" s="1398"/>
      <c r="Q236" s="1398"/>
      <c r="R236" s="1398"/>
      <c r="S236" s="1398"/>
      <c r="T236" s="1398"/>
      <c r="U236" s="1398"/>
      <c r="V236" s="1398"/>
    </row>
    <row r="237" spans="1:22" s="1571" customFormat="1">
      <c r="A237" s="1575"/>
      <c r="B237" s="1575"/>
      <c r="J237" s="1574"/>
      <c r="K237" s="1574"/>
      <c r="L237" s="1398"/>
      <c r="M237" s="1398"/>
      <c r="N237" s="1398"/>
      <c r="O237" s="1398"/>
      <c r="P237" s="1398"/>
      <c r="Q237" s="1398"/>
      <c r="R237" s="1398"/>
      <c r="S237" s="1398"/>
      <c r="T237" s="1398"/>
      <c r="U237" s="1398"/>
      <c r="V237" s="1398"/>
    </row>
    <row r="238" spans="1:22" s="1571" customFormat="1">
      <c r="A238" s="1575"/>
      <c r="B238" s="1575"/>
      <c r="J238" s="1574"/>
      <c r="K238" s="1574"/>
      <c r="L238" s="1398"/>
      <c r="M238" s="1398"/>
      <c r="N238" s="1398"/>
      <c r="O238" s="1398"/>
      <c r="P238" s="1398"/>
      <c r="Q238" s="1398"/>
      <c r="R238" s="1398"/>
      <c r="S238" s="1398"/>
      <c r="T238" s="1398"/>
      <c r="U238" s="1398"/>
      <c r="V238" s="1398"/>
    </row>
    <row r="239" spans="1:22" s="1571" customFormat="1">
      <c r="A239" s="1575"/>
      <c r="B239" s="1575"/>
      <c r="J239" s="1574"/>
      <c r="K239" s="1574"/>
      <c r="L239" s="1398"/>
      <c r="M239" s="1398"/>
      <c r="N239" s="1398"/>
      <c r="O239" s="1398"/>
      <c r="P239" s="1398"/>
      <c r="Q239" s="1398"/>
      <c r="R239" s="1398"/>
      <c r="S239" s="1398"/>
      <c r="T239" s="1398"/>
      <c r="U239" s="1398"/>
      <c r="V239" s="1398"/>
    </row>
    <row r="240" spans="1:22" s="1571" customFormat="1">
      <c r="A240" s="1575"/>
      <c r="B240" s="1575"/>
      <c r="J240" s="1574"/>
      <c r="K240" s="1574"/>
      <c r="L240" s="1398"/>
      <c r="M240" s="1398"/>
      <c r="N240" s="1398"/>
      <c r="O240" s="1398"/>
      <c r="P240" s="1398"/>
      <c r="Q240" s="1398"/>
      <c r="R240" s="1398"/>
      <c r="S240" s="1398"/>
      <c r="T240" s="1398"/>
      <c r="U240" s="1398"/>
      <c r="V240" s="1398"/>
    </row>
    <row r="241" spans="1:22" s="1571" customFormat="1">
      <c r="A241" s="1575"/>
      <c r="B241" s="1575"/>
      <c r="J241" s="1574"/>
      <c r="K241" s="1574"/>
      <c r="L241" s="1398"/>
      <c r="M241" s="1398"/>
      <c r="N241" s="1398"/>
      <c r="O241" s="1398"/>
      <c r="P241" s="1398"/>
      <c r="Q241" s="1398"/>
      <c r="R241" s="1398"/>
      <c r="S241" s="1398"/>
      <c r="T241" s="1398"/>
      <c r="U241" s="1398"/>
      <c r="V241" s="1398"/>
    </row>
    <row r="242" spans="1:22" s="1571" customFormat="1">
      <c r="A242" s="1575"/>
      <c r="B242" s="1575"/>
      <c r="J242" s="1574"/>
      <c r="K242" s="1574"/>
      <c r="L242" s="1398"/>
      <c r="M242" s="1398"/>
      <c r="N242" s="1398"/>
      <c r="O242" s="1398"/>
      <c r="P242" s="1398"/>
      <c r="Q242" s="1398"/>
      <c r="R242" s="1398"/>
      <c r="S242" s="1398"/>
      <c r="T242" s="1398"/>
      <c r="U242" s="1398"/>
      <c r="V242" s="1398"/>
    </row>
    <row r="243" spans="1:22" s="1571" customFormat="1">
      <c r="A243" s="1575"/>
      <c r="B243" s="1575"/>
      <c r="J243" s="1574"/>
      <c r="K243" s="1574"/>
      <c r="L243" s="1398"/>
      <c r="M243" s="1398"/>
      <c r="N243" s="1398"/>
      <c r="O243" s="1398"/>
      <c r="P243" s="1398"/>
      <c r="Q243" s="1398"/>
      <c r="R243" s="1398"/>
      <c r="S243" s="1398"/>
      <c r="T243" s="1398"/>
      <c r="U243" s="1398"/>
      <c r="V243" s="1398"/>
    </row>
    <row r="244" spans="1:22" s="1571" customFormat="1">
      <c r="A244" s="1575"/>
      <c r="B244" s="1575"/>
      <c r="J244" s="1574"/>
      <c r="K244" s="1574"/>
      <c r="L244" s="1398"/>
      <c r="M244" s="1398"/>
      <c r="N244" s="1398"/>
      <c r="O244" s="1398"/>
      <c r="P244" s="1398"/>
      <c r="Q244" s="1398"/>
      <c r="R244" s="1398"/>
      <c r="S244" s="1398"/>
      <c r="T244" s="1398"/>
      <c r="U244" s="1398"/>
      <c r="V244" s="1398"/>
    </row>
    <row r="245" spans="1:22" s="1571" customFormat="1">
      <c r="A245" s="1575"/>
      <c r="B245" s="1575"/>
      <c r="J245" s="1574"/>
      <c r="K245" s="1574"/>
      <c r="L245" s="1398"/>
      <c r="M245" s="1398"/>
      <c r="N245" s="1398"/>
      <c r="O245" s="1398"/>
      <c r="P245" s="1398"/>
      <c r="Q245" s="1398"/>
      <c r="R245" s="1398"/>
      <c r="S245" s="1398"/>
      <c r="T245" s="1398"/>
      <c r="U245" s="1398"/>
      <c r="V245" s="1398"/>
    </row>
    <row r="246" spans="1:22" s="1571" customFormat="1">
      <c r="A246" s="1575"/>
      <c r="B246" s="1575"/>
      <c r="J246" s="1574"/>
      <c r="K246" s="1574"/>
      <c r="L246" s="1398"/>
      <c r="M246" s="1398"/>
      <c r="N246" s="1398"/>
      <c r="O246" s="1398"/>
      <c r="P246" s="1398"/>
      <c r="Q246" s="1398"/>
      <c r="R246" s="1398"/>
      <c r="S246" s="1398"/>
      <c r="T246" s="1398"/>
      <c r="U246" s="1398"/>
      <c r="V246" s="1398"/>
    </row>
    <row r="247" spans="1:22" s="1571" customFormat="1">
      <c r="A247" s="1575"/>
      <c r="B247" s="1575"/>
      <c r="J247" s="1574"/>
      <c r="K247" s="1574"/>
      <c r="L247" s="1398"/>
      <c r="M247" s="1398"/>
      <c r="N247" s="1398"/>
      <c r="O247" s="1398"/>
      <c r="P247" s="1398"/>
      <c r="Q247" s="1398"/>
      <c r="R247" s="1398"/>
      <c r="S247" s="1398"/>
      <c r="T247" s="1398"/>
      <c r="U247" s="1398"/>
      <c r="V247" s="1398"/>
    </row>
    <row r="248" spans="1:22" s="1571" customFormat="1">
      <c r="A248" s="1575"/>
      <c r="B248" s="1575"/>
      <c r="J248" s="1574"/>
      <c r="K248" s="1574"/>
      <c r="L248" s="1398"/>
      <c r="M248" s="1398"/>
      <c r="N248" s="1398"/>
      <c r="O248" s="1398"/>
      <c r="P248" s="1398"/>
      <c r="Q248" s="1398"/>
      <c r="R248" s="1398"/>
      <c r="S248" s="1398"/>
      <c r="T248" s="1398"/>
      <c r="U248" s="1398"/>
      <c r="V248" s="1398"/>
    </row>
    <row r="249" spans="1:22" s="1571" customFormat="1">
      <c r="A249" s="1575"/>
      <c r="B249" s="1575"/>
      <c r="J249" s="1574"/>
      <c r="K249" s="1574"/>
      <c r="L249" s="1398"/>
      <c r="M249" s="1398"/>
      <c r="N249" s="1398"/>
      <c r="O249" s="1398"/>
      <c r="P249" s="1398"/>
      <c r="Q249" s="1398"/>
      <c r="R249" s="1398"/>
      <c r="S249" s="1398"/>
      <c r="T249" s="1398"/>
      <c r="U249" s="1398"/>
      <c r="V249" s="1398"/>
    </row>
    <row r="250" spans="1:22" s="1571" customFormat="1">
      <c r="A250" s="1575"/>
      <c r="B250" s="1575"/>
      <c r="J250" s="1574"/>
      <c r="K250" s="1574"/>
      <c r="L250" s="1398"/>
      <c r="M250" s="1398"/>
      <c r="N250" s="1398"/>
      <c r="O250" s="1398"/>
      <c r="P250" s="1398"/>
      <c r="Q250" s="1398"/>
      <c r="R250" s="1398"/>
      <c r="S250" s="1398"/>
      <c r="T250" s="1398"/>
      <c r="U250" s="1398"/>
      <c r="V250" s="1398"/>
    </row>
    <row r="251" spans="1:22" s="1571" customFormat="1">
      <c r="A251" s="1575"/>
      <c r="B251" s="1575"/>
      <c r="J251" s="1574"/>
      <c r="K251" s="1574"/>
      <c r="L251" s="1398"/>
      <c r="M251" s="1398"/>
      <c r="N251" s="1398"/>
      <c r="O251" s="1398"/>
      <c r="P251" s="1398"/>
      <c r="Q251" s="1398"/>
      <c r="R251" s="1398"/>
      <c r="S251" s="1398"/>
      <c r="T251" s="1398"/>
      <c r="U251" s="1398"/>
      <c r="V251" s="1398"/>
    </row>
    <row r="252" spans="1:22" s="1571" customFormat="1">
      <c r="A252" s="1575"/>
      <c r="B252" s="1575"/>
      <c r="J252" s="1574"/>
      <c r="K252" s="1574"/>
      <c r="L252" s="1398"/>
      <c r="M252" s="1398"/>
      <c r="N252" s="1398"/>
      <c r="O252" s="1398"/>
      <c r="P252" s="1398"/>
      <c r="Q252" s="1398"/>
      <c r="R252" s="1398"/>
      <c r="S252" s="1398"/>
      <c r="T252" s="1398"/>
      <c r="U252" s="1398"/>
      <c r="V252" s="1398"/>
    </row>
    <row r="253" spans="1:22" s="1571" customFormat="1">
      <c r="A253" s="1575"/>
      <c r="B253" s="1575"/>
      <c r="J253" s="1574"/>
      <c r="K253" s="1574"/>
      <c r="L253" s="1398"/>
      <c r="M253" s="1398"/>
      <c r="N253" s="1398"/>
      <c r="O253" s="1398"/>
      <c r="P253" s="1398"/>
      <c r="Q253" s="1398"/>
      <c r="R253" s="1398"/>
      <c r="S253" s="1398"/>
      <c r="T253" s="1398"/>
      <c r="U253" s="1398"/>
      <c r="V253" s="1398"/>
    </row>
    <row r="254" spans="1:22" s="1571" customFormat="1">
      <c r="A254" s="1575"/>
      <c r="B254" s="1575"/>
      <c r="J254" s="1574"/>
      <c r="K254" s="1574"/>
      <c r="L254" s="1398"/>
      <c r="M254" s="1398"/>
      <c r="N254" s="1398"/>
      <c r="O254" s="1398"/>
      <c r="P254" s="1398"/>
      <c r="Q254" s="1398"/>
      <c r="R254" s="1398"/>
      <c r="S254" s="1398"/>
      <c r="T254" s="1398"/>
      <c r="U254" s="1398"/>
      <c r="V254" s="1398"/>
    </row>
    <row r="255" spans="1:22" s="1571" customFormat="1">
      <c r="A255" s="1575"/>
      <c r="B255" s="1575"/>
      <c r="J255" s="1574"/>
      <c r="K255" s="1574"/>
      <c r="L255" s="1398"/>
      <c r="M255" s="1398"/>
      <c r="N255" s="1398"/>
      <c r="O255" s="1398"/>
      <c r="P255" s="1398"/>
      <c r="Q255" s="1398"/>
      <c r="R255" s="1398"/>
      <c r="S255" s="1398"/>
      <c r="T255" s="1398"/>
      <c r="U255" s="1398"/>
      <c r="V255" s="1398"/>
    </row>
    <row r="256" spans="1:22" s="1571" customFormat="1">
      <c r="A256" s="1575"/>
      <c r="B256" s="1575"/>
      <c r="J256" s="1574"/>
      <c r="K256" s="1574"/>
      <c r="L256" s="1398"/>
      <c r="M256" s="1398"/>
      <c r="N256" s="1398"/>
      <c r="O256" s="1398"/>
      <c r="P256" s="1398"/>
      <c r="Q256" s="1398"/>
      <c r="R256" s="1398"/>
      <c r="S256" s="1398"/>
      <c r="T256" s="1398"/>
      <c r="U256" s="1398"/>
      <c r="V256" s="1398"/>
    </row>
    <row r="257" spans="1:22" s="1571" customFormat="1">
      <c r="A257" s="1575"/>
      <c r="B257" s="1575"/>
      <c r="J257" s="1574"/>
      <c r="K257" s="1574"/>
      <c r="L257" s="1398"/>
      <c r="M257" s="1398"/>
      <c r="N257" s="1398"/>
      <c r="O257" s="1398"/>
      <c r="P257" s="1398"/>
      <c r="Q257" s="1398"/>
      <c r="R257" s="1398"/>
      <c r="S257" s="1398"/>
      <c r="T257" s="1398"/>
      <c r="U257" s="1398"/>
      <c r="V257" s="1398"/>
    </row>
    <row r="258" spans="1:22" s="1571" customFormat="1">
      <c r="A258" s="1575"/>
      <c r="B258" s="1575"/>
      <c r="J258" s="1574"/>
      <c r="K258" s="1574"/>
      <c r="L258" s="1398"/>
      <c r="M258" s="1398"/>
      <c r="N258" s="1398"/>
      <c r="O258" s="1398"/>
      <c r="P258" s="1398"/>
      <c r="Q258" s="1398"/>
      <c r="R258" s="1398"/>
      <c r="S258" s="1398"/>
      <c r="T258" s="1398"/>
      <c r="U258" s="1398"/>
      <c r="V258" s="1398"/>
    </row>
    <row r="259" spans="1:22" s="1571" customFormat="1">
      <c r="A259" s="1575"/>
      <c r="B259" s="1575"/>
      <c r="J259" s="1574"/>
      <c r="K259" s="1574"/>
      <c r="L259" s="1398"/>
      <c r="M259" s="1398"/>
      <c r="N259" s="1398"/>
      <c r="O259" s="1398"/>
      <c r="P259" s="1398"/>
      <c r="Q259" s="1398"/>
      <c r="R259" s="1398"/>
      <c r="S259" s="1398"/>
      <c r="T259" s="1398"/>
      <c r="U259" s="1398"/>
      <c r="V259" s="1398"/>
    </row>
    <row r="260" spans="1:22" s="1571" customFormat="1">
      <c r="A260" s="1575"/>
      <c r="B260" s="1575"/>
      <c r="J260" s="1574"/>
      <c r="K260" s="1574"/>
      <c r="L260" s="1398"/>
      <c r="M260" s="1398"/>
      <c r="N260" s="1398"/>
      <c r="O260" s="1398"/>
      <c r="P260" s="1398"/>
      <c r="Q260" s="1398"/>
      <c r="R260" s="1398"/>
      <c r="S260" s="1398"/>
      <c r="T260" s="1398"/>
      <c r="U260" s="1398"/>
      <c r="V260" s="1398"/>
    </row>
    <row r="261" spans="1:22" s="1571" customFormat="1">
      <c r="A261" s="1575"/>
      <c r="B261" s="1575"/>
      <c r="J261" s="1574"/>
      <c r="K261" s="1574"/>
      <c r="L261" s="1398"/>
      <c r="M261" s="1398"/>
      <c r="N261" s="1398"/>
      <c r="O261" s="1398"/>
      <c r="P261" s="1398"/>
      <c r="Q261" s="1398"/>
      <c r="R261" s="1398"/>
      <c r="S261" s="1398"/>
      <c r="T261" s="1398"/>
      <c r="U261" s="1398"/>
      <c r="V261" s="1398"/>
    </row>
    <row r="262" spans="1:22" s="1571" customFormat="1">
      <c r="A262" s="1575"/>
      <c r="B262" s="1575"/>
      <c r="J262" s="1574"/>
      <c r="K262" s="1574"/>
      <c r="L262" s="1398"/>
      <c r="M262" s="1398"/>
      <c r="N262" s="1398"/>
      <c r="O262" s="1398"/>
      <c r="P262" s="1398"/>
      <c r="Q262" s="1398"/>
      <c r="R262" s="1398"/>
      <c r="S262" s="1398"/>
      <c r="T262" s="1398"/>
      <c r="U262" s="1398"/>
      <c r="V262" s="1398"/>
    </row>
    <row r="263" spans="1:22" s="1571" customFormat="1">
      <c r="A263" s="1575"/>
      <c r="B263" s="1575"/>
      <c r="J263" s="1574"/>
      <c r="K263" s="1574"/>
      <c r="L263" s="1398"/>
      <c r="M263" s="1398"/>
      <c r="N263" s="1398"/>
      <c r="O263" s="1398"/>
      <c r="P263" s="1398"/>
      <c r="Q263" s="1398"/>
      <c r="R263" s="1398"/>
      <c r="S263" s="1398"/>
      <c r="T263" s="1398"/>
      <c r="U263" s="1398"/>
      <c r="V263" s="1398"/>
    </row>
    <row r="264" spans="1:22" s="1571" customFormat="1">
      <c r="A264" s="1575"/>
      <c r="B264" s="1575"/>
      <c r="J264" s="1574"/>
      <c r="K264" s="1574"/>
      <c r="L264" s="1398"/>
      <c r="M264" s="1398"/>
      <c r="N264" s="1398"/>
      <c r="O264" s="1398"/>
      <c r="P264" s="1398"/>
      <c r="Q264" s="1398"/>
      <c r="R264" s="1398"/>
      <c r="S264" s="1398"/>
      <c r="T264" s="1398"/>
      <c r="U264" s="1398"/>
      <c r="V264" s="1398"/>
    </row>
    <row r="265" spans="1:22" s="1571" customFormat="1">
      <c r="A265" s="1575"/>
      <c r="B265" s="1575"/>
      <c r="J265" s="1574"/>
      <c r="K265" s="1574"/>
      <c r="L265" s="1398"/>
      <c r="M265" s="1398"/>
      <c r="N265" s="1398"/>
      <c r="O265" s="1398"/>
      <c r="P265" s="1398"/>
      <c r="Q265" s="1398"/>
      <c r="R265" s="1398"/>
      <c r="S265" s="1398"/>
      <c r="T265" s="1398"/>
      <c r="U265" s="1398"/>
      <c r="V265" s="1398"/>
    </row>
    <row r="266" spans="1:22" s="1571" customFormat="1">
      <c r="A266" s="1575"/>
      <c r="B266" s="1575"/>
      <c r="J266" s="1574"/>
      <c r="K266" s="1574"/>
      <c r="L266" s="1398"/>
      <c r="M266" s="1398"/>
      <c r="N266" s="1398"/>
      <c r="O266" s="1398"/>
      <c r="P266" s="1398"/>
      <c r="Q266" s="1398"/>
      <c r="R266" s="1398"/>
      <c r="S266" s="1398"/>
      <c r="T266" s="1398"/>
      <c r="U266" s="1398"/>
      <c r="V266" s="1398"/>
    </row>
    <row r="267" spans="1:22" s="1571" customFormat="1">
      <c r="A267" s="1575"/>
      <c r="B267" s="1575"/>
      <c r="J267" s="1574"/>
      <c r="K267" s="1574"/>
      <c r="L267" s="1398"/>
      <c r="M267" s="1398"/>
      <c r="N267" s="1398"/>
      <c r="O267" s="1398"/>
      <c r="P267" s="1398"/>
      <c r="Q267" s="1398"/>
      <c r="R267" s="1398"/>
      <c r="S267" s="1398"/>
      <c r="T267" s="1398"/>
      <c r="U267" s="1398"/>
      <c r="V267" s="1398"/>
    </row>
    <row r="268" spans="1:22" s="1571" customFormat="1">
      <c r="A268" s="1575"/>
      <c r="B268" s="1575"/>
      <c r="J268" s="1574"/>
      <c r="K268" s="1574"/>
      <c r="L268" s="1398"/>
      <c r="M268" s="1398"/>
      <c r="N268" s="1398"/>
      <c r="O268" s="1398"/>
      <c r="P268" s="1398"/>
      <c r="Q268" s="1398"/>
      <c r="R268" s="1398"/>
      <c r="S268" s="1398"/>
      <c r="T268" s="1398"/>
      <c r="U268" s="1398"/>
      <c r="V268" s="1398"/>
    </row>
    <row r="269" spans="1:22" s="1571" customFormat="1">
      <c r="A269" s="1575"/>
      <c r="B269" s="1575"/>
      <c r="J269" s="1574"/>
      <c r="K269" s="1574"/>
      <c r="L269" s="1398"/>
      <c r="M269" s="1398"/>
      <c r="N269" s="1398"/>
      <c r="O269" s="1398"/>
      <c r="P269" s="1398"/>
      <c r="Q269" s="1398"/>
      <c r="R269" s="1398"/>
      <c r="S269" s="1398"/>
      <c r="T269" s="1398"/>
      <c r="U269" s="1398"/>
      <c r="V269" s="1398"/>
    </row>
    <row r="270" spans="1:22" s="1571" customFormat="1">
      <c r="A270" s="1575"/>
      <c r="B270" s="1575"/>
      <c r="J270" s="1574"/>
      <c r="K270" s="1574"/>
      <c r="L270" s="1398"/>
      <c r="M270" s="1398"/>
      <c r="N270" s="1398"/>
      <c r="O270" s="1398"/>
      <c r="P270" s="1398"/>
      <c r="Q270" s="1398"/>
      <c r="R270" s="1398"/>
      <c r="S270" s="1398"/>
      <c r="T270" s="1398"/>
      <c r="U270" s="1398"/>
      <c r="V270" s="1398"/>
    </row>
    <row r="271" spans="1:22" s="1571" customFormat="1">
      <c r="A271" s="1575"/>
      <c r="B271" s="1575"/>
      <c r="J271" s="1574"/>
      <c r="K271" s="1574"/>
      <c r="L271" s="1398"/>
      <c r="M271" s="1398"/>
      <c r="N271" s="1398"/>
      <c r="O271" s="1398"/>
      <c r="P271" s="1398"/>
      <c r="Q271" s="1398"/>
      <c r="R271" s="1398"/>
      <c r="S271" s="1398"/>
      <c r="T271" s="1398"/>
      <c r="U271" s="1398"/>
      <c r="V271" s="1398"/>
    </row>
    <row r="272" spans="1:22" s="1571" customFormat="1">
      <c r="A272" s="1575"/>
      <c r="B272" s="1575"/>
      <c r="J272" s="1574"/>
      <c r="K272" s="1574"/>
      <c r="L272" s="1398"/>
      <c r="M272" s="1398"/>
      <c r="N272" s="1398"/>
      <c r="O272" s="1398"/>
      <c r="P272" s="1398"/>
      <c r="Q272" s="1398"/>
      <c r="R272" s="1398"/>
      <c r="S272" s="1398"/>
      <c r="T272" s="1398"/>
      <c r="U272" s="1398"/>
      <c r="V272" s="1398"/>
    </row>
    <row r="273" spans="1:22" s="1571" customFormat="1">
      <c r="A273" s="1575"/>
      <c r="B273" s="1575"/>
      <c r="J273" s="1574"/>
      <c r="K273" s="1574"/>
      <c r="L273" s="1398"/>
      <c r="M273" s="1398"/>
      <c r="N273" s="1398"/>
      <c r="O273" s="1398"/>
      <c r="P273" s="1398"/>
      <c r="Q273" s="1398"/>
      <c r="R273" s="1398"/>
      <c r="S273" s="1398"/>
      <c r="T273" s="1398"/>
      <c r="U273" s="1398"/>
      <c r="V273" s="1398"/>
    </row>
    <row r="274" spans="1:22" s="1571" customFormat="1">
      <c r="A274" s="1575"/>
      <c r="B274" s="1575"/>
      <c r="J274" s="1574"/>
      <c r="K274" s="1574"/>
      <c r="L274" s="1398"/>
      <c r="M274" s="1398"/>
      <c r="N274" s="1398"/>
      <c r="O274" s="1398"/>
      <c r="P274" s="1398"/>
      <c r="Q274" s="1398"/>
      <c r="R274" s="1398"/>
      <c r="S274" s="1398"/>
      <c r="T274" s="1398"/>
      <c r="U274" s="1398"/>
      <c r="V274" s="1398"/>
    </row>
    <row r="275" spans="1:22" s="1571" customFormat="1">
      <c r="A275" s="1575"/>
      <c r="B275" s="1575"/>
      <c r="J275" s="1574"/>
      <c r="K275" s="1574"/>
      <c r="L275" s="1398"/>
      <c r="M275" s="1398"/>
      <c r="N275" s="1398"/>
      <c r="O275" s="1398"/>
      <c r="P275" s="1398"/>
      <c r="Q275" s="1398"/>
      <c r="R275" s="1398"/>
      <c r="S275" s="1398"/>
      <c r="T275" s="1398"/>
      <c r="U275" s="1398"/>
      <c r="V275" s="1398"/>
    </row>
    <row r="276" spans="1:22" s="1571" customFormat="1">
      <c r="A276" s="1575"/>
      <c r="B276" s="1575"/>
      <c r="J276" s="1574"/>
      <c r="K276" s="1574"/>
      <c r="L276" s="1398"/>
      <c r="M276" s="1398"/>
      <c r="N276" s="1398"/>
      <c r="O276" s="1398"/>
      <c r="P276" s="1398"/>
      <c r="Q276" s="1398"/>
      <c r="R276" s="1398"/>
      <c r="S276" s="1398"/>
      <c r="T276" s="1398"/>
      <c r="U276" s="1398"/>
      <c r="V276" s="1398"/>
    </row>
    <row r="277" spans="1:22" s="1571" customFormat="1">
      <c r="A277" s="1575"/>
      <c r="B277" s="1575"/>
      <c r="J277" s="1574"/>
      <c r="K277" s="1574"/>
      <c r="L277" s="1398"/>
      <c r="M277" s="1398"/>
      <c r="N277" s="1398"/>
      <c r="O277" s="1398"/>
      <c r="P277" s="1398"/>
      <c r="Q277" s="1398"/>
      <c r="R277" s="1398"/>
      <c r="S277" s="1398"/>
      <c r="T277" s="1398"/>
      <c r="U277" s="1398"/>
      <c r="V277" s="1398"/>
    </row>
    <row r="278" spans="1:22" s="1571" customFormat="1">
      <c r="A278" s="1575"/>
      <c r="B278" s="1575"/>
      <c r="J278" s="1574"/>
      <c r="K278" s="1574"/>
      <c r="L278" s="1398"/>
      <c r="M278" s="1398"/>
      <c r="N278" s="1398"/>
      <c r="O278" s="1398"/>
      <c r="P278" s="1398"/>
      <c r="Q278" s="1398"/>
      <c r="R278" s="1398"/>
      <c r="S278" s="1398"/>
      <c r="T278" s="1398"/>
      <c r="U278" s="1398"/>
      <c r="V278" s="1398"/>
    </row>
    <row r="279" spans="1:22" s="1571" customFormat="1">
      <c r="A279" s="1575"/>
      <c r="B279" s="1575"/>
      <c r="J279" s="1574"/>
      <c r="K279" s="1574"/>
      <c r="L279" s="1398"/>
      <c r="M279" s="1398"/>
      <c r="N279" s="1398"/>
      <c r="O279" s="1398"/>
      <c r="P279" s="1398"/>
      <c r="Q279" s="1398"/>
      <c r="R279" s="1398"/>
      <c r="S279" s="1398"/>
      <c r="T279" s="1398"/>
      <c r="U279" s="1398"/>
      <c r="V279" s="1398"/>
    </row>
    <row r="280" spans="1:22" s="1571" customFormat="1">
      <c r="A280" s="1575"/>
      <c r="B280" s="1575"/>
      <c r="J280" s="1574"/>
      <c r="K280" s="1574"/>
      <c r="L280" s="1398"/>
      <c r="M280" s="1398"/>
      <c r="N280" s="1398"/>
      <c r="O280" s="1398"/>
      <c r="P280" s="1398"/>
      <c r="Q280" s="1398"/>
      <c r="R280" s="1398"/>
      <c r="S280" s="1398"/>
      <c r="T280" s="1398"/>
      <c r="U280" s="1398"/>
      <c r="V280" s="1398"/>
    </row>
    <row r="281" spans="1:22" s="1571" customFormat="1">
      <c r="A281" s="1575"/>
      <c r="B281" s="1575"/>
      <c r="J281" s="1574"/>
      <c r="K281" s="1574"/>
      <c r="L281" s="1398"/>
      <c r="M281" s="1398"/>
      <c r="N281" s="1398"/>
      <c r="O281" s="1398"/>
      <c r="P281" s="1398"/>
      <c r="Q281" s="1398"/>
      <c r="R281" s="1398"/>
      <c r="S281" s="1398"/>
      <c r="T281" s="1398"/>
      <c r="U281" s="1398"/>
      <c r="V281" s="1398"/>
    </row>
    <row r="282" spans="1:22" s="1571" customFormat="1">
      <c r="A282" s="1575"/>
      <c r="B282" s="1575"/>
      <c r="J282" s="1574"/>
      <c r="K282" s="1574"/>
      <c r="L282" s="1398"/>
      <c r="M282" s="1398"/>
      <c r="N282" s="1398"/>
      <c r="O282" s="1398"/>
      <c r="P282" s="1398"/>
      <c r="Q282" s="1398"/>
      <c r="R282" s="1398"/>
      <c r="S282" s="1398"/>
      <c r="T282" s="1398"/>
      <c r="U282" s="1398"/>
      <c r="V282" s="1398"/>
    </row>
    <row r="283" spans="1:22" s="1571" customFormat="1">
      <c r="A283" s="1575"/>
      <c r="B283" s="1575"/>
      <c r="J283" s="1574"/>
      <c r="K283" s="1574"/>
      <c r="L283" s="1398"/>
      <c r="M283" s="1398"/>
      <c r="N283" s="1398"/>
      <c r="O283" s="1398"/>
      <c r="P283" s="1398"/>
      <c r="Q283" s="1398"/>
      <c r="R283" s="1398"/>
      <c r="S283" s="1398"/>
      <c r="T283" s="1398"/>
      <c r="U283" s="1398"/>
      <c r="V283" s="1398"/>
    </row>
    <row r="284" spans="1:22" s="1571" customFormat="1">
      <c r="A284" s="1575"/>
      <c r="B284" s="1575"/>
      <c r="J284" s="1574"/>
      <c r="K284" s="1574"/>
      <c r="L284" s="1398"/>
      <c r="M284" s="1398"/>
      <c r="N284" s="1398"/>
      <c r="O284" s="1398"/>
      <c r="P284" s="1398"/>
      <c r="Q284" s="1398"/>
      <c r="R284" s="1398"/>
      <c r="S284" s="1398"/>
      <c r="T284" s="1398"/>
      <c r="U284" s="1398"/>
      <c r="V284" s="1398"/>
    </row>
    <row r="285" spans="1:22" s="1571" customFormat="1">
      <c r="A285" s="1575"/>
      <c r="B285" s="1575"/>
      <c r="J285" s="1574"/>
      <c r="K285" s="1574"/>
      <c r="L285" s="1398"/>
      <c r="M285" s="1398"/>
      <c r="N285" s="1398"/>
      <c r="O285" s="1398"/>
      <c r="P285" s="1398"/>
      <c r="Q285" s="1398"/>
      <c r="R285" s="1398"/>
      <c r="S285" s="1398"/>
      <c r="T285" s="1398"/>
      <c r="U285" s="1398"/>
      <c r="V285" s="1398"/>
    </row>
  </sheetData>
  <printOptions horizontalCentered="1"/>
  <pageMargins left="0" right="0" top="0.59055118110236227" bottom="0.31496062992125984" header="0.39370078740157483" footer="0.19685039370078741"/>
  <pageSetup paperSize="9" scale="65" fitToHeight="4" orientation="landscape" r:id="rId1"/>
  <headerFooter alignWithMargins="0">
    <oddHeader xml:space="preserve">&amp;R&amp;"Arial,Standard"&amp;8
</oddHeader>
  </headerFooter>
  <rowBreaks count="3" manualBreakCount="3">
    <brk id="36" max="9" man="1"/>
    <brk id="77" max="9" man="1"/>
    <brk id="117" max="9" man="1"/>
  </rowBreaks>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499984740745262"/>
  </sheetPr>
  <dimension ref="A2:P233"/>
  <sheetViews>
    <sheetView topLeftCell="A179" zoomScaleNormal="100" zoomScaleSheetLayoutView="100" workbookViewId="0">
      <selection activeCell="M201" sqref="M201"/>
    </sheetView>
  </sheetViews>
  <sheetFormatPr baseColWidth="10" defaultColWidth="11.42578125" defaultRowHeight="11.25"/>
  <cols>
    <col min="1" max="1" width="4.5703125" style="70" customWidth="1"/>
    <col min="2" max="2" width="18.42578125" style="70" customWidth="1"/>
    <col min="3" max="8" width="7.5703125" style="70" customWidth="1"/>
    <col min="9" max="9" width="9.140625" style="430" customWidth="1"/>
    <col min="10" max="10" width="9.5703125" style="430" customWidth="1"/>
    <col min="11" max="16" width="7.5703125" style="70" customWidth="1"/>
    <col min="17" max="16384" width="11.42578125" style="70"/>
  </cols>
  <sheetData>
    <row r="2" spans="1:16" ht="12.75">
      <c r="A2" s="2050" t="s">
        <v>215</v>
      </c>
      <c r="B2" s="2050"/>
      <c r="C2" s="2050"/>
      <c r="D2" s="41"/>
      <c r="E2" s="41"/>
      <c r="F2" s="41"/>
      <c r="G2" s="41"/>
      <c r="H2" s="41"/>
      <c r="I2" s="43" t="s">
        <v>164</v>
      </c>
      <c r="K2" s="43"/>
      <c r="L2" s="43"/>
      <c r="M2" s="41"/>
      <c r="N2" s="534"/>
    </row>
    <row r="3" spans="1:16">
      <c r="A3" s="65"/>
      <c r="B3" s="40"/>
      <c r="C3" s="41"/>
      <c r="D3" s="41"/>
      <c r="E3" s="41"/>
      <c r="F3" s="41"/>
      <c r="G3" s="41"/>
      <c r="H3" s="41"/>
      <c r="I3" s="70"/>
      <c r="J3" s="42"/>
      <c r="K3" s="41"/>
      <c r="L3" s="41"/>
      <c r="M3" s="41"/>
      <c r="N3" s="41"/>
    </row>
    <row r="4" spans="1:16" ht="15">
      <c r="A4" s="2052" t="s">
        <v>157</v>
      </c>
      <c r="B4" s="1993"/>
      <c r="C4" s="1993"/>
      <c r="D4" s="1993"/>
      <c r="E4" s="1993"/>
      <c r="F4" s="1993"/>
      <c r="G4" s="1993"/>
      <c r="H4" s="1993"/>
      <c r="I4" s="1993"/>
      <c r="J4" s="1993"/>
      <c r="K4" s="1993"/>
      <c r="L4" s="1993"/>
      <c r="M4" s="1993"/>
      <c r="N4" s="1993"/>
      <c r="O4" s="1993"/>
      <c r="P4" s="1993"/>
    </row>
    <row r="5" spans="1:16" ht="9.9499999999999993" customHeight="1" thickBot="1">
      <c r="A5" s="431"/>
      <c r="B5" s="45"/>
      <c r="C5" s="431"/>
      <c r="D5" s="431"/>
      <c r="E5" s="431"/>
      <c r="F5" s="431"/>
      <c r="G5" s="431"/>
      <c r="H5" s="431"/>
      <c r="I5" s="432"/>
      <c r="J5" s="432"/>
      <c r="K5" s="431"/>
      <c r="L5" s="431"/>
      <c r="M5" s="431"/>
      <c r="N5" s="431"/>
    </row>
    <row r="6" spans="1:16" ht="18" customHeight="1">
      <c r="A6" s="395"/>
      <c r="B6" s="433"/>
      <c r="C6" s="1962" t="s">
        <v>360</v>
      </c>
      <c r="D6" s="1963"/>
      <c r="E6" s="1963"/>
      <c r="F6" s="1963"/>
      <c r="G6" s="1963"/>
      <c r="H6" s="2051"/>
      <c r="I6" s="434" t="s">
        <v>0</v>
      </c>
      <c r="J6" s="434" t="s">
        <v>1</v>
      </c>
      <c r="K6" s="1962" t="s">
        <v>106</v>
      </c>
      <c r="L6" s="2053"/>
      <c r="M6" s="2053"/>
      <c r="N6" s="2053"/>
      <c r="O6" s="2053"/>
      <c r="P6" s="2054"/>
    </row>
    <row r="7" spans="1:16" ht="11.1" customHeight="1">
      <c r="A7" s="262"/>
      <c r="B7" s="208"/>
      <c r="C7" s="413"/>
      <c r="D7" s="413"/>
      <c r="E7" s="442"/>
      <c r="F7" s="499"/>
      <c r="G7" s="443"/>
      <c r="H7" s="443"/>
      <c r="I7" s="1216" t="s">
        <v>3</v>
      </c>
      <c r="J7" s="1216" t="s">
        <v>4</v>
      </c>
      <c r="K7" s="413"/>
      <c r="L7" s="413"/>
      <c r="M7" s="442"/>
      <c r="N7" s="1971" t="s">
        <v>300</v>
      </c>
      <c r="O7" s="1972"/>
      <c r="P7" s="1976"/>
    </row>
    <row r="8" spans="1:16" ht="11.1" customHeight="1">
      <c r="A8" s="262"/>
      <c r="B8" s="19" t="s">
        <v>8</v>
      </c>
      <c r="C8" s="519"/>
      <c r="D8" s="519"/>
      <c r="E8" s="1217"/>
      <c r="F8" s="21" t="s">
        <v>167</v>
      </c>
      <c r="G8" s="117"/>
      <c r="H8" s="117"/>
      <c r="I8" s="1216" t="s">
        <v>8</v>
      </c>
      <c r="J8" s="1216" t="s">
        <v>8</v>
      </c>
      <c r="K8" s="519"/>
      <c r="L8" s="519"/>
      <c r="M8" s="1217"/>
      <c r="N8" s="1974"/>
      <c r="O8" s="1975"/>
      <c r="P8" s="1977"/>
    </row>
    <row r="9" spans="1:16" ht="11.25" customHeight="1">
      <c r="A9" s="435" t="s">
        <v>43</v>
      </c>
      <c r="B9" s="19" t="s">
        <v>61</v>
      </c>
      <c r="C9" s="422" t="s">
        <v>19</v>
      </c>
      <c r="D9" s="15" t="s">
        <v>17</v>
      </c>
      <c r="E9" s="15" t="s">
        <v>18</v>
      </c>
      <c r="F9" s="26" t="s">
        <v>302</v>
      </c>
      <c r="G9" s="27"/>
      <c r="H9" s="27"/>
      <c r="I9" s="1216" t="s">
        <v>20</v>
      </c>
      <c r="J9" s="1216" t="s">
        <v>20</v>
      </c>
      <c r="K9" s="418"/>
      <c r="L9" s="418"/>
      <c r="M9" s="1218"/>
      <c r="N9" s="498"/>
      <c r="O9" s="297"/>
      <c r="P9" s="551"/>
    </row>
    <row r="10" spans="1:16" ht="11.1" customHeight="1">
      <c r="A10" s="262"/>
      <c r="B10" s="19" t="s">
        <v>62</v>
      </c>
      <c r="C10" s="422" t="s">
        <v>29</v>
      </c>
      <c r="D10" s="15" t="s">
        <v>28</v>
      </c>
      <c r="E10" s="15" t="s">
        <v>28</v>
      </c>
      <c r="F10" s="420"/>
      <c r="G10" s="421"/>
      <c r="H10" s="421"/>
      <c r="I10" s="1216" t="s">
        <v>33</v>
      </c>
      <c r="J10" s="1216" t="s">
        <v>33</v>
      </c>
      <c r="K10" s="1212" t="s">
        <v>19</v>
      </c>
      <c r="L10" s="15" t="s">
        <v>17</v>
      </c>
      <c r="M10" s="15" t="s">
        <v>18</v>
      </c>
      <c r="N10" s="20" t="s">
        <v>19</v>
      </c>
      <c r="O10" s="1211" t="s">
        <v>17</v>
      </c>
      <c r="P10" s="503" t="s">
        <v>18</v>
      </c>
    </row>
    <row r="11" spans="1:16" ht="11.1" customHeight="1">
      <c r="A11" s="262"/>
      <c r="B11" s="208"/>
      <c r="C11" s="1219"/>
      <c r="D11" s="418"/>
      <c r="E11" s="418"/>
      <c r="F11" s="15" t="s">
        <v>30</v>
      </c>
      <c r="G11" s="1211" t="s">
        <v>31</v>
      </c>
      <c r="H11" s="1211" t="s">
        <v>32</v>
      </c>
      <c r="I11" s="1216" t="s">
        <v>39</v>
      </c>
      <c r="J11" s="1216" t="s">
        <v>39</v>
      </c>
      <c r="K11" s="1212" t="s">
        <v>29</v>
      </c>
      <c r="L11" s="15" t="s">
        <v>28</v>
      </c>
      <c r="M11" s="15" t="s">
        <v>34</v>
      </c>
      <c r="N11" s="20" t="s">
        <v>29</v>
      </c>
      <c r="O11" s="1211" t="s">
        <v>28</v>
      </c>
      <c r="P11" s="503" t="s">
        <v>34</v>
      </c>
    </row>
    <row r="12" spans="1:16" ht="11.25" customHeight="1">
      <c r="A12" s="394"/>
      <c r="B12" s="425"/>
      <c r="C12" s="437"/>
      <c r="D12" s="438"/>
      <c r="E12" s="438"/>
      <c r="F12" s="436"/>
      <c r="G12" s="439"/>
      <c r="H12" s="439"/>
      <c r="I12" s="440"/>
      <c r="J12" s="440"/>
      <c r="K12" s="441"/>
      <c r="L12" s="438"/>
      <c r="M12" s="438"/>
      <c r="N12" s="417"/>
      <c r="O12" s="426"/>
      <c r="P12" s="518"/>
    </row>
    <row r="13" spans="1:16" s="11" customFormat="1" ht="3" customHeight="1">
      <c r="A13" s="296"/>
      <c r="B13" s="414"/>
      <c r="C13" s="442"/>
      <c r="D13" s="443"/>
      <c r="E13" s="444"/>
      <c r="F13" s="443"/>
      <c r="G13" s="443"/>
      <c r="H13" s="444"/>
      <c r="I13" s="445"/>
      <c r="J13" s="445"/>
      <c r="K13" s="442"/>
      <c r="L13" s="443"/>
      <c r="M13" s="443"/>
      <c r="N13" s="442"/>
      <c r="P13" s="545"/>
    </row>
    <row r="14" spans="1:16" ht="11.1" customHeight="1">
      <c r="A14" s="981" t="s">
        <v>169</v>
      </c>
      <c r="B14" s="989" t="s">
        <v>64</v>
      </c>
      <c r="C14" s="446">
        <f>SUM(C15:C21)</f>
        <v>483</v>
      </c>
      <c r="D14" s="983">
        <f>SUM(D15:D21)</f>
        <v>351</v>
      </c>
      <c r="E14" s="447">
        <f t="shared" ref="E14:O14" si="0">SUM(E15:E21)</f>
        <v>129</v>
      </c>
      <c r="F14" s="983">
        <f t="shared" si="0"/>
        <v>144</v>
      </c>
      <c r="G14" s="447">
        <f t="shared" si="0"/>
        <v>162</v>
      </c>
      <c r="H14" s="447">
        <f t="shared" si="0"/>
        <v>177</v>
      </c>
      <c r="I14" s="983">
        <f t="shared" si="0"/>
        <v>177</v>
      </c>
      <c r="J14" s="446">
        <f t="shared" si="0"/>
        <v>63</v>
      </c>
      <c r="K14" s="446">
        <f t="shared" si="0"/>
        <v>147</v>
      </c>
      <c r="L14" s="983">
        <f t="shared" si="0"/>
        <v>114</v>
      </c>
      <c r="M14" s="448">
        <f t="shared" si="0"/>
        <v>39</v>
      </c>
      <c r="N14" s="983">
        <f t="shared" si="0"/>
        <v>111</v>
      </c>
      <c r="O14" s="983">
        <f t="shared" si="0"/>
        <v>81</v>
      </c>
      <c r="P14" s="1193">
        <f>SUM(P15:P21)</f>
        <v>36</v>
      </c>
    </row>
    <row r="15" spans="1:16" ht="11.1" customHeight="1">
      <c r="A15" s="262"/>
      <c r="B15" s="449" t="s">
        <v>65</v>
      </c>
      <c r="C15" s="450">
        <v>72</v>
      </c>
      <c r="D15" s="451">
        <v>33</v>
      </c>
      <c r="E15" s="452">
        <v>39</v>
      </c>
      <c r="F15" s="451">
        <v>21</v>
      </c>
      <c r="G15" s="451">
        <v>24</v>
      </c>
      <c r="H15" s="451">
        <v>24</v>
      </c>
      <c r="I15" s="477">
        <v>27</v>
      </c>
      <c r="J15" s="450">
        <v>9</v>
      </c>
      <c r="K15" s="450">
        <v>21</v>
      </c>
      <c r="L15" s="451">
        <v>9</v>
      </c>
      <c r="M15" s="452">
        <v>12</v>
      </c>
      <c r="N15" s="452">
        <v>21</v>
      </c>
      <c r="O15" s="1194">
        <v>9</v>
      </c>
      <c r="P15" s="1195">
        <v>12</v>
      </c>
    </row>
    <row r="16" spans="1:16" ht="11.1" customHeight="1">
      <c r="A16" s="262"/>
      <c r="B16" s="449" t="s">
        <v>66</v>
      </c>
      <c r="C16" s="450">
        <v>15</v>
      </c>
      <c r="D16" s="451">
        <v>3</v>
      </c>
      <c r="E16" s="452">
        <v>12</v>
      </c>
      <c r="F16" s="451">
        <v>3</v>
      </c>
      <c r="G16" s="451">
        <v>9</v>
      </c>
      <c r="H16" s="451">
        <v>6</v>
      </c>
      <c r="I16" s="477">
        <v>9</v>
      </c>
      <c r="J16" s="450">
        <v>3</v>
      </c>
      <c r="K16" s="450">
        <v>3</v>
      </c>
      <c r="L16" s="451">
        <v>3</v>
      </c>
      <c r="M16" s="452">
        <v>3</v>
      </c>
      <c r="N16" s="452">
        <v>3</v>
      </c>
      <c r="O16" s="1194">
        <v>3</v>
      </c>
      <c r="P16" s="1195">
        <v>3</v>
      </c>
    </row>
    <row r="17" spans="1:16" ht="11.1" customHeight="1">
      <c r="A17" s="262"/>
      <c r="B17" s="449" t="s">
        <v>67</v>
      </c>
      <c r="C17" s="450">
        <v>81</v>
      </c>
      <c r="D17" s="451">
        <v>51</v>
      </c>
      <c r="E17" s="452">
        <v>30</v>
      </c>
      <c r="F17" s="451">
        <v>15</v>
      </c>
      <c r="G17" s="451">
        <v>27</v>
      </c>
      <c r="H17" s="451">
        <v>39</v>
      </c>
      <c r="I17" s="477">
        <v>21</v>
      </c>
      <c r="J17" s="450">
        <v>9</v>
      </c>
      <c r="K17" s="450">
        <v>27</v>
      </c>
      <c r="L17" s="451">
        <v>24</v>
      </c>
      <c r="M17" s="452">
        <v>3</v>
      </c>
      <c r="N17" s="452">
        <v>21</v>
      </c>
      <c r="O17" s="1194">
        <v>18</v>
      </c>
      <c r="P17" s="1195">
        <v>3</v>
      </c>
    </row>
    <row r="18" spans="1:16" ht="11.1" customHeight="1">
      <c r="A18" s="262"/>
      <c r="B18" s="449" t="s">
        <v>68</v>
      </c>
      <c r="C18" s="450">
        <v>3</v>
      </c>
      <c r="D18" s="451">
        <v>0</v>
      </c>
      <c r="E18" s="452">
        <v>3</v>
      </c>
      <c r="F18" s="451">
        <v>0</v>
      </c>
      <c r="G18" s="451">
        <v>3</v>
      </c>
      <c r="H18" s="451">
        <v>0</v>
      </c>
      <c r="I18" s="477">
        <v>3</v>
      </c>
      <c r="J18" s="450">
        <v>0</v>
      </c>
      <c r="K18" s="450">
        <v>0</v>
      </c>
      <c r="L18" s="473">
        <v>0</v>
      </c>
      <c r="M18" s="474">
        <v>0</v>
      </c>
      <c r="N18" s="452">
        <v>0</v>
      </c>
      <c r="O18" s="1201">
        <v>0</v>
      </c>
      <c r="P18" s="1195">
        <v>0</v>
      </c>
    </row>
    <row r="19" spans="1:16" ht="11.1" customHeight="1">
      <c r="A19" s="262"/>
      <c r="B19" s="449" t="s">
        <v>69</v>
      </c>
      <c r="C19" s="450">
        <v>276</v>
      </c>
      <c r="D19" s="451">
        <v>249</v>
      </c>
      <c r="E19" s="452">
        <v>27</v>
      </c>
      <c r="F19" s="451">
        <v>93</v>
      </c>
      <c r="G19" s="451">
        <v>87</v>
      </c>
      <c r="H19" s="451">
        <v>99</v>
      </c>
      <c r="I19" s="477">
        <v>105</v>
      </c>
      <c r="J19" s="450">
        <v>39</v>
      </c>
      <c r="K19" s="450">
        <v>84</v>
      </c>
      <c r="L19" s="451">
        <v>72</v>
      </c>
      <c r="M19" s="452">
        <v>12</v>
      </c>
      <c r="N19" s="452">
        <v>57</v>
      </c>
      <c r="O19" s="1194">
        <v>48</v>
      </c>
      <c r="P19" s="1195">
        <v>9</v>
      </c>
    </row>
    <row r="20" spans="1:16" ht="11.1" customHeight="1">
      <c r="A20" s="262"/>
      <c r="B20" s="449" t="s">
        <v>70</v>
      </c>
      <c r="C20" s="450">
        <v>33</v>
      </c>
      <c r="D20" s="451">
        <v>15</v>
      </c>
      <c r="E20" s="452">
        <v>15</v>
      </c>
      <c r="F20" s="451">
        <v>12</v>
      </c>
      <c r="G20" s="451">
        <v>9</v>
      </c>
      <c r="H20" s="451">
        <v>9</v>
      </c>
      <c r="I20" s="477">
        <v>12</v>
      </c>
      <c r="J20" s="450">
        <v>3</v>
      </c>
      <c r="K20" s="450">
        <v>12</v>
      </c>
      <c r="L20" s="451">
        <v>6</v>
      </c>
      <c r="M20" s="452">
        <v>9</v>
      </c>
      <c r="N20" s="452">
        <v>9</v>
      </c>
      <c r="O20" s="1194">
        <v>3</v>
      </c>
      <c r="P20" s="1195">
        <v>9</v>
      </c>
    </row>
    <row r="21" spans="1:16" ht="11.1" customHeight="1">
      <c r="A21" s="262"/>
      <c r="B21" s="439" t="s">
        <v>71</v>
      </c>
      <c r="C21" s="450">
        <v>3</v>
      </c>
      <c r="D21" s="451">
        <v>0</v>
      </c>
      <c r="E21" s="452">
        <v>3</v>
      </c>
      <c r="F21" s="451">
        <v>0</v>
      </c>
      <c r="G21" s="451">
        <v>3</v>
      </c>
      <c r="H21" s="451">
        <v>0</v>
      </c>
      <c r="I21" s="477">
        <v>0</v>
      </c>
      <c r="J21" s="450">
        <v>0</v>
      </c>
      <c r="K21" s="450">
        <v>0</v>
      </c>
      <c r="L21" s="473">
        <v>0</v>
      </c>
      <c r="M21" s="474">
        <v>0</v>
      </c>
      <c r="N21" s="452">
        <v>0</v>
      </c>
      <c r="O21" s="1201">
        <v>0</v>
      </c>
      <c r="P21" s="1195">
        <v>0</v>
      </c>
    </row>
    <row r="22" spans="1:16" s="11" customFormat="1" ht="3" customHeight="1">
      <c r="A22" s="262"/>
      <c r="B22" s="418"/>
      <c r="C22" s="446"/>
      <c r="D22" s="451"/>
      <c r="E22" s="452"/>
      <c r="F22" s="451"/>
      <c r="G22" s="451"/>
      <c r="H22" s="451"/>
      <c r="I22" s="477"/>
      <c r="J22" s="450"/>
      <c r="K22" s="446"/>
      <c r="L22" s="451"/>
      <c r="M22" s="452"/>
      <c r="N22" s="452"/>
      <c r="O22" s="739"/>
      <c r="P22" s="1196"/>
    </row>
    <row r="23" spans="1:16">
      <c r="A23" s="981" t="s">
        <v>170</v>
      </c>
      <c r="B23" s="989" t="s">
        <v>64</v>
      </c>
      <c r="C23" s="446">
        <f>SUM(C24:C30)</f>
        <v>273</v>
      </c>
      <c r="D23" s="983">
        <f>SUM(D24:D30)</f>
        <v>225</v>
      </c>
      <c r="E23" s="447">
        <f t="shared" ref="E23:P23" si="1">SUM(E24:E30)</f>
        <v>51</v>
      </c>
      <c r="F23" s="983">
        <f t="shared" si="1"/>
        <v>81</v>
      </c>
      <c r="G23" s="447">
        <f t="shared" si="1"/>
        <v>87</v>
      </c>
      <c r="H23" s="447">
        <f t="shared" si="1"/>
        <v>105</v>
      </c>
      <c r="I23" s="1047">
        <f>SUM(I24:I30)</f>
        <v>105</v>
      </c>
      <c r="J23" s="567">
        <f t="shared" si="1"/>
        <v>48</v>
      </c>
      <c r="K23" s="983">
        <f t="shared" si="1"/>
        <v>75</v>
      </c>
      <c r="L23" s="983">
        <f t="shared" si="1"/>
        <v>57</v>
      </c>
      <c r="M23" s="447">
        <f t="shared" si="1"/>
        <v>21</v>
      </c>
      <c r="N23" s="567">
        <f t="shared" si="1"/>
        <v>69</v>
      </c>
      <c r="O23" s="1192">
        <f>SUM(O24:O30)</f>
        <v>51</v>
      </c>
      <c r="P23" s="1193">
        <f t="shared" si="1"/>
        <v>18</v>
      </c>
    </row>
    <row r="24" spans="1:16" ht="11.1" customHeight="1">
      <c r="A24" s="262"/>
      <c r="B24" s="449" t="s">
        <v>65</v>
      </c>
      <c r="C24" s="450">
        <v>12</v>
      </c>
      <c r="D24" s="451">
        <v>6</v>
      </c>
      <c r="E24" s="452">
        <v>6</v>
      </c>
      <c r="F24" s="451">
        <v>3</v>
      </c>
      <c r="G24" s="451">
        <v>3</v>
      </c>
      <c r="H24" s="451">
        <v>6</v>
      </c>
      <c r="I24" s="477">
        <v>3</v>
      </c>
      <c r="J24" s="450">
        <v>3</v>
      </c>
      <c r="K24" s="450">
        <v>3</v>
      </c>
      <c r="L24" s="473">
        <v>3</v>
      </c>
      <c r="M24" s="474">
        <v>3</v>
      </c>
      <c r="N24" s="452">
        <v>3</v>
      </c>
      <c r="O24" s="1201">
        <v>3</v>
      </c>
      <c r="P24" s="1195">
        <v>3</v>
      </c>
    </row>
    <row r="25" spans="1:16" ht="11.1" customHeight="1">
      <c r="A25" s="262"/>
      <c r="B25" s="449" t="s">
        <v>66</v>
      </c>
      <c r="C25" s="450">
        <v>3</v>
      </c>
      <c r="D25" s="451">
        <v>3</v>
      </c>
      <c r="E25" s="452">
        <v>3</v>
      </c>
      <c r="F25" s="451">
        <v>0</v>
      </c>
      <c r="G25" s="451">
        <v>0</v>
      </c>
      <c r="H25" s="451">
        <v>3</v>
      </c>
      <c r="I25" s="477">
        <v>0</v>
      </c>
      <c r="J25" s="450">
        <v>0</v>
      </c>
      <c r="K25" s="450">
        <v>0</v>
      </c>
      <c r="L25" s="473">
        <v>0</v>
      </c>
      <c r="M25" s="474">
        <v>0</v>
      </c>
      <c r="N25" s="452">
        <v>0</v>
      </c>
      <c r="O25" s="1201">
        <v>0</v>
      </c>
      <c r="P25" s="1195">
        <v>0</v>
      </c>
    </row>
    <row r="26" spans="1:16" ht="11.1" customHeight="1">
      <c r="A26" s="262"/>
      <c r="B26" s="449" t="s">
        <v>67</v>
      </c>
      <c r="C26" s="450">
        <v>0</v>
      </c>
      <c r="D26" s="451">
        <v>0</v>
      </c>
      <c r="E26" s="452">
        <v>0</v>
      </c>
      <c r="F26" s="451">
        <v>0</v>
      </c>
      <c r="G26" s="451">
        <v>0</v>
      </c>
      <c r="H26" s="451">
        <v>0</v>
      </c>
      <c r="I26" s="477">
        <v>0</v>
      </c>
      <c r="J26" s="450">
        <v>0</v>
      </c>
      <c r="K26" s="450">
        <v>0</v>
      </c>
      <c r="L26" s="473">
        <v>0</v>
      </c>
      <c r="M26" s="474">
        <v>0</v>
      </c>
      <c r="N26" s="452">
        <v>0</v>
      </c>
      <c r="O26" s="1201">
        <v>0</v>
      </c>
      <c r="P26" s="1195">
        <v>0</v>
      </c>
    </row>
    <row r="27" spans="1:16" ht="11.1" customHeight="1">
      <c r="A27" s="262"/>
      <c r="B27" s="449" t="s">
        <v>68</v>
      </c>
      <c r="C27" s="450">
        <v>3</v>
      </c>
      <c r="D27" s="451">
        <v>3</v>
      </c>
      <c r="E27" s="452">
        <v>0</v>
      </c>
      <c r="F27" s="451">
        <v>0</v>
      </c>
      <c r="G27" s="451">
        <v>3</v>
      </c>
      <c r="H27" s="451">
        <v>0</v>
      </c>
      <c r="I27" s="477">
        <v>3</v>
      </c>
      <c r="J27" s="450">
        <v>0</v>
      </c>
      <c r="K27" s="450">
        <v>0</v>
      </c>
      <c r="L27" s="473">
        <v>0</v>
      </c>
      <c r="M27" s="474">
        <v>0</v>
      </c>
      <c r="N27" s="452">
        <v>0</v>
      </c>
      <c r="O27" s="1201">
        <v>0</v>
      </c>
      <c r="P27" s="1195">
        <v>0</v>
      </c>
    </row>
    <row r="28" spans="1:16" ht="11.1" customHeight="1">
      <c r="A28" s="262"/>
      <c r="B28" s="449" t="s">
        <v>69</v>
      </c>
      <c r="C28" s="450">
        <v>216</v>
      </c>
      <c r="D28" s="451">
        <v>195</v>
      </c>
      <c r="E28" s="452">
        <v>21</v>
      </c>
      <c r="F28" s="451">
        <v>69</v>
      </c>
      <c r="G28" s="451">
        <v>69</v>
      </c>
      <c r="H28" s="451">
        <v>78</v>
      </c>
      <c r="I28" s="477">
        <v>87</v>
      </c>
      <c r="J28" s="450">
        <v>42</v>
      </c>
      <c r="K28" s="450">
        <v>63</v>
      </c>
      <c r="L28" s="1197">
        <v>51</v>
      </c>
      <c r="M28" s="452">
        <v>12</v>
      </c>
      <c r="N28" s="452">
        <v>57</v>
      </c>
      <c r="O28" s="1194">
        <v>48</v>
      </c>
      <c r="P28" s="1195">
        <v>9</v>
      </c>
    </row>
    <row r="29" spans="1:16" ht="11.1" customHeight="1">
      <c r="A29" s="262"/>
      <c r="B29" s="449" t="s">
        <v>70</v>
      </c>
      <c r="C29" s="450">
        <v>24</v>
      </c>
      <c r="D29" s="451">
        <v>9</v>
      </c>
      <c r="E29" s="452">
        <v>15</v>
      </c>
      <c r="F29" s="451">
        <v>6</v>
      </c>
      <c r="G29" s="451">
        <v>6</v>
      </c>
      <c r="H29" s="451">
        <v>12</v>
      </c>
      <c r="I29" s="477">
        <v>6</v>
      </c>
      <c r="J29" s="450">
        <v>3</v>
      </c>
      <c r="K29" s="450">
        <v>3</v>
      </c>
      <c r="L29" s="451">
        <v>3</v>
      </c>
      <c r="M29" s="452">
        <v>3</v>
      </c>
      <c r="N29" s="452">
        <v>3</v>
      </c>
      <c r="O29" s="1194">
        <v>0</v>
      </c>
      <c r="P29" s="1195">
        <v>3</v>
      </c>
    </row>
    <row r="30" spans="1:16" ht="11.1" customHeight="1">
      <c r="A30" s="262"/>
      <c r="B30" s="439" t="s">
        <v>71</v>
      </c>
      <c r="C30" s="450">
        <v>15</v>
      </c>
      <c r="D30" s="451">
        <v>9</v>
      </c>
      <c r="E30" s="452">
        <v>6</v>
      </c>
      <c r="F30" s="451">
        <v>3</v>
      </c>
      <c r="G30" s="451">
        <v>6</v>
      </c>
      <c r="H30" s="451">
        <v>6</v>
      </c>
      <c r="I30" s="477">
        <v>6</v>
      </c>
      <c r="J30" s="450">
        <v>0</v>
      </c>
      <c r="K30" s="450">
        <v>6</v>
      </c>
      <c r="L30" s="473">
        <v>0</v>
      </c>
      <c r="M30" s="474">
        <v>3</v>
      </c>
      <c r="N30" s="452">
        <v>6</v>
      </c>
      <c r="O30" s="1201">
        <v>0</v>
      </c>
      <c r="P30" s="1195">
        <v>3</v>
      </c>
    </row>
    <row r="31" spans="1:16" s="11" customFormat="1" ht="3" customHeight="1">
      <c r="A31" s="262"/>
      <c r="B31" s="418"/>
      <c r="C31" s="446"/>
      <c r="D31" s="451"/>
      <c r="E31" s="452"/>
      <c r="F31" s="451"/>
      <c r="G31" s="451"/>
      <c r="H31" s="451"/>
      <c r="I31" s="477"/>
      <c r="J31" s="450"/>
      <c r="K31" s="446"/>
      <c r="L31" s="451"/>
      <c r="M31" s="452"/>
      <c r="N31" s="452"/>
      <c r="O31" s="739"/>
      <c r="P31" s="1198"/>
    </row>
    <row r="32" spans="1:16">
      <c r="A32" s="981" t="s">
        <v>171</v>
      </c>
      <c r="B32" s="989" t="s">
        <v>64</v>
      </c>
      <c r="C32" s="446">
        <f>SUM(C33:C39)</f>
        <v>1515</v>
      </c>
      <c r="D32" s="983">
        <f>SUM(D33:D39)</f>
        <v>1227</v>
      </c>
      <c r="E32" s="447">
        <f t="shared" ref="E32:P32" si="2">SUM(E33:E39)</f>
        <v>297</v>
      </c>
      <c r="F32" s="983">
        <f t="shared" si="2"/>
        <v>450</v>
      </c>
      <c r="G32" s="447">
        <f>SUM(G33:G39)</f>
        <v>525</v>
      </c>
      <c r="H32" s="447">
        <f t="shared" si="2"/>
        <v>546</v>
      </c>
      <c r="I32" s="1047">
        <f t="shared" si="2"/>
        <v>582</v>
      </c>
      <c r="J32" s="567">
        <f t="shared" si="2"/>
        <v>210</v>
      </c>
      <c r="K32" s="983">
        <f>SUM(K33:K39)</f>
        <v>648</v>
      </c>
      <c r="L32" s="983">
        <f t="shared" si="2"/>
        <v>525</v>
      </c>
      <c r="M32" s="447">
        <f t="shared" si="2"/>
        <v>114</v>
      </c>
      <c r="N32" s="567">
        <f>SUM(N33:N39)</f>
        <v>522</v>
      </c>
      <c r="O32" s="1192">
        <f t="shared" si="2"/>
        <v>417</v>
      </c>
      <c r="P32" s="1193">
        <f t="shared" si="2"/>
        <v>105</v>
      </c>
    </row>
    <row r="33" spans="1:16" ht="11.1" customHeight="1">
      <c r="A33" s="262"/>
      <c r="B33" s="449" t="s">
        <v>65</v>
      </c>
      <c r="C33" s="450">
        <v>147</v>
      </c>
      <c r="D33" s="451">
        <v>72</v>
      </c>
      <c r="E33" s="452">
        <v>75</v>
      </c>
      <c r="F33" s="451">
        <v>45</v>
      </c>
      <c r="G33" s="451">
        <v>63</v>
      </c>
      <c r="H33" s="451">
        <v>39</v>
      </c>
      <c r="I33" s="477">
        <v>63</v>
      </c>
      <c r="J33" s="450">
        <v>30</v>
      </c>
      <c r="K33" s="450">
        <v>72</v>
      </c>
      <c r="L33" s="451">
        <v>33</v>
      </c>
      <c r="M33" s="452">
        <v>39</v>
      </c>
      <c r="N33" s="452">
        <v>63</v>
      </c>
      <c r="O33" s="1194">
        <v>30</v>
      </c>
      <c r="P33" s="1195">
        <v>36</v>
      </c>
    </row>
    <row r="34" spans="1:16" ht="11.1" customHeight="1">
      <c r="A34" s="262"/>
      <c r="B34" s="449" t="s">
        <v>66</v>
      </c>
      <c r="C34" s="450">
        <v>42</v>
      </c>
      <c r="D34" s="451">
        <v>24</v>
      </c>
      <c r="E34" s="452">
        <v>21</v>
      </c>
      <c r="F34" s="451">
        <v>9</v>
      </c>
      <c r="G34" s="1199">
        <v>15</v>
      </c>
      <c r="H34" s="1199">
        <v>21</v>
      </c>
      <c r="I34" s="477">
        <v>21</v>
      </c>
      <c r="J34" s="450">
        <v>6</v>
      </c>
      <c r="K34" s="450">
        <v>21</v>
      </c>
      <c r="L34" s="451">
        <v>12</v>
      </c>
      <c r="M34" s="452">
        <v>9</v>
      </c>
      <c r="N34" s="452">
        <v>21</v>
      </c>
      <c r="O34" s="1194">
        <v>9</v>
      </c>
      <c r="P34" s="1195">
        <v>9</v>
      </c>
    </row>
    <row r="35" spans="1:16" ht="11.1" customHeight="1">
      <c r="A35" s="262"/>
      <c r="B35" s="449" t="s">
        <v>67</v>
      </c>
      <c r="C35" s="450">
        <v>120</v>
      </c>
      <c r="D35" s="451">
        <v>84</v>
      </c>
      <c r="E35" s="452">
        <v>39</v>
      </c>
      <c r="F35" s="451">
        <v>27</v>
      </c>
      <c r="G35" s="451">
        <v>45</v>
      </c>
      <c r="H35" s="451">
        <v>48</v>
      </c>
      <c r="I35" s="477">
        <v>39</v>
      </c>
      <c r="J35" s="450">
        <v>15</v>
      </c>
      <c r="K35" s="450">
        <v>66</v>
      </c>
      <c r="L35" s="451">
        <v>48</v>
      </c>
      <c r="M35" s="452">
        <v>18</v>
      </c>
      <c r="N35" s="452">
        <v>54</v>
      </c>
      <c r="O35" s="1194">
        <v>39</v>
      </c>
      <c r="P35" s="1195">
        <v>15</v>
      </c>
    </row>
    <row r="36" spans="1:16" ht="11.1" customHeight="1">
      <c r="A36" s="262"/>
      <c r="B36" s="449" t="s">
        <v>68</v>
      </c>
      <c r="C36" s="450">
        <v>30</v>
      </c>
      <c r="D36" s="451">
        <v>27</v>
      </c>
      <c r="E36" s="452">
        <v>6</v>
      </c>
      <c r="F36" s="451">
        <v>3</v>
      </c>
      <c r="G36" s="451">
        <v>12</v>
      </c>
      <c r="H36" s="451">
        <v>15</v>
      </c>
      <c r="I36" s="477">
        <v>9</v>
      </c>
      <c r="J36" s="450">
        <v>0</v>
      </c>
      <c r="K36" s="450">
        <v>21</v>
      </c>
      <c r="L36" s="451">
        <v>15</v>
      </c>
      <c r="M36" s="452">
        <v>3</v>
      </c>
      <c r="N36" s="452">
        <v>21</v>
      </c>
      <c r="O36" s="1194">
        <v>15</v>
      </c>
      <c r="P36" s="1195">
        <v>3</v>
      </c>
    </row>
    <row r="37" spans="1:16" ht="11.1" customHeight="1">
      <c r="A37" s="262"/>
      <c r="B37" s="449" t="s">
        <v>69</v>
      </c>
      <c r="C37" s="450">
        <v>1110</v>
      </c>
      <c r="D37" s="451">
        <v>984</v>
      </c>
      <c r="E37" s="452">
        <v>126</v>
      </c>
      <c r="F37" s="451">
        <v>354</v>
      </c>
      <c r="G37" s="451">
        <v>366</v>
      </c>
      <c r="H37" s="451">
        <v>393</v>
      </c>
      <c r="I37" s="477">
        <v>423</v>
      </c>
      <c r="J37" s="450">
        <v>150</v>
      </c>
      <c r="K37" s="450">
        <v>447</v>
      </c>
      <c r="L37" s="451">
        <v>408</v>
      </c>
      <c r="M37" s="452">
        <v>36</v>
      </c>
      <c r="N37" s="452">
        <v>345</v>
      </c>
      <c r="O37" s="1194">
        <v>315</v>
      </c>
      <c r="P37" s="1195">
        <v>33</v>
      </c>
    </row>
    <row r="38" spans="1:16" ht="11.1" customHeight="1">
      <c r="A38" s="262"/>
      <c r="B38" s="449" t="s">
        <v>70</v>
      </c>
      <c r="C38" s="450">
        <v>36</v>
      </c>
      <c r="D38" s="451">
        <v>27</v>
      </c>
      <c r="E38" s="452">
        <v>9</v>
      </c>
      <c r="F38" s="451">
        <v>9</v>
      </c>
      <c r="G38" s="451">
        <v>12</v>
      </c>
      <c r="H38" s="451">
        <v>15</v>
      </c>
      <c r="I38" s="477">
        <v>12</v>
      </c>
      <c r="J38" s="450">
        <v>6</v>
      </c>
      <c r="K38" s="450">
        <v>9</v>
      </c>
      <c r="L38" s="451">
        <v>6</v>
      </c>
      <c r="M38" s="452">
        <v>0</v>
      </c>
      <c r="N38" s="452">
        <v>6</v>
      </c>
      <c r="O38" s="1194">
        <v>6</v>
      </c>
      <c r="P38" s="1195">
        <v>0</v>
      </c>
    </row>
    <row r="39" spans="1:16" ht="11.1" customHeight="1">
      <c r="A39" s="262"/>
      <c r="B39" s="439" t="s">
        <v>71</v>
      </c>
      <c r="C39" s="450">
        <v>30</v>
      </c>
      <c r="D39" s="451">
        <v>9</v>
      </c>
      <c r="E39" s="452">
        <v>21</v>
      </c>
      <c r="F39" s="451">
        <v>3</v>
      </c>
      <c r="G39" s="451">
        <v>12</v>
      </c>
      <c r="H39" s="451">
        <v>15</v>
      </c>
      <c r="I39" s="477">
        <v>15</v>
      </c>
      <c r="J39" s="450">
        <v>3</v>
      </c>
      <c r="K39" s="450">
        <v>12</v>
      </c>
      <c r="L39" s="451">
        <v>3</v>
      </c>
      <c r="M39" s="452">
        <v>9</v>
      </c>
      <c r="N39" s="452">
        <v>12</v>
      </c>
      <c r="O39" s="1194">
        <v>3</v>
      </c>
      <c r="P39" s="1195">
        <v>9</v>
      </c>
    </row>
    <row r="40" spans="1:16" ht="3" customHeight="1">
      <c r="A40" s="262"/>
      <c r="B40" s="453"/>
      <c r="C40" s="446"/>
      <c r="D40" s="451"/>
      <c r="E40" s="452"/>
      <c r="F40" s="451"/>
      <c r="G40" s="451"/>
      <c r="H40" s="451"/>
      <c r="I40" s="477"/>
      <c r="J40" s="450"/>
      <c r="K40" s="446"/>
      <c r="L40" s="451"/>
      <c r="M40" s="452"/>
      <c r="N40" s="452"/>
      <c r="O40" s="467"/>
      <c r="P40" s="1200"/>
    </row>
    <row r="41" spans="1:16">
      <c r="A41" s="981" t="s">
        <v>172</v>
      </c>
      <c r="B41" s="989" t="s">
        <v>64</v>
      </c>
      <c r="C41" s="446">
        <f>SUM(C42:C48)</f>
        <v>93</v>
      </c>
      <c r="D41" s="983">
        <f>SUM(D42:D48)</f>
        <v>72</v>
      </c>
      <c r="E41" s="447">
        <f t="shared" ref="E41:P41" si="3">SUM(E42:E48)</f>
        <v>18</v>
      </c>
      <c r="F41" s="983">
        <f t="shared" si="3"/>
        <v>30</v>
      </c>
      <c r="G41" s="447">
        <f t="shared" si="3"/>
        <v>24</v>
      </c>
      <c r="H41" s="447">
        <f t="shared" si="3"/>
        <v>42</v>
      </c>
      <c r="I41" s="1047">
        <f t="shared" si="3"/>
        <v>30</v>
      </c>
      <c r="J41" s="450">
        <v>0</v>
      </c>
      <c r="K41" s="983">
        <f t="shared" si="3"/>
        <v>54</v>
      </c>
      <c r="L41" s="983">
        <f t="shared" si="3"/>
        <v>45</v>
      </c>
      <c r="M41" s="447">
        <f t="shared" si="3"/>
        <v>12</v>
      </c>
      <c r="N41" s="567">
        <f>SUM(N42:N48)</f>
        <v>51</v>
      </c>
      <c r="O41" s="1192">
        <f t="shared" si="3"/>
        <v>42</v>
      </c>
      <c r="P41" s="1193">
        <f t="shared" si="3"/>
        <v>9</v>
      </c>
    </row>
    <row r="42" spans="1:16" ht="11.1" customHeight="1">
      <c r="A42" s="435"/>
      <c r="B42" s="449" t="s">
        <v>65</v>
      </c>
      <c r="C42" s="450">
        <v>0</v>
      </c>
      <c r="D42" s="451">
        <v>0</v>
      </c>
      <c r="E42" s="452">
        <v>0</v>
      </c>
      <c r="F42" s="451">
        <v>0</v>
      </c>
      <c r="G42" s="451">
        <v>0</v>
      </c>
      <c r="H42" s="451">
        <v>0</v>
      </c>
      <c r="I42" s="477">
        <v>0</v>
      </c>
      <c r="J42" s="450">
        <v>0</v>
      </c>
      <c r="K42" s="450">
        <v>0</v>
      </c>
      <c r="L42" s="473">
        <v>0</v>
      </c>
      <c r="M42" s="474">
        <v>0</v>
      </c>
      <c r="N42" s="452">
        <v>0</v>
      </c>
      <c r="O42" s="1201">
        <v>0</v>
      </c>
      <c r="P42" s="1195">
        <v>0</v>
      </c>
    </row>
    <row r="43" spans="1:16" ht="11.1" customHeight="1">
      <c r="A43" s="435"/>
      <c r="B43" s="449" t="s">
        <v>66</v>
      </c>
      <c r="C43" s="450">
        <v>0</v>
      </c>
      <c r="D43" s="451">
        <v>0</v>
      </c>
      <c r="E43" s="452">
        <v>0</v>
      </c>
      <c r="F43" s="451">
        <v>0</v>
      </c>
      <c r="G43" s="451">
        <v>0</v>
      </c>
      <c r="H43" s="451">
        <v>0</v>
      </c>
      <c r="I43" s="477">
        <v>0</v>
      </c>
      <c r="J43" s="450">
        <v>0</v>
      </c>
      <c r="K43" s="450">
        <v>0</v>
      </c>
      <c r="L43" s="473">
        <v>0</v>
      </c>
      <c r="M43" s="474">
        <v>0</v>
      </c>
      <c r="N43" s="452">
        <v>0</v>
      </c>
      <c r="O43" s="1201">
        <v>0</v>
      </c>
      <c r="P43" s="1195">
        <v>0</v>
      </c>
    </row>
    <row r="44" spans="1:16" ht="11.1" customHeight="1">
      <c r="A44" s="435"/>
      <c r="B44" s="449" t="s">
        <v>67</v>
      </c>
      <c r="C44" s="450">
        <v>0</v>
      </c>
      <c r="D44" s="451">
        <v>0</v>
      </c>
      <c r="E44" s="452">
        <v>0</v>
      </c>
      <c r="F44" s="451">
        <v>0</v>
      </c>
      <c r="G44" s="451">
        <v>0</v>
      </c>
      <c r="H44" s="451">
        <v>0</v>
      </c>
      <c r="I44" s="477">
        <v>0</v>
      </c>
      <c r="J44" s="450">
        <v>0</v>
      </c>
      <c r="K44" s="450">
        <v>0</v>
      </c>
      <c r="L44" s="473">
        <v>0</v>
      </c>
      <c r="M44" s="474">
        <v>0</v>
      </c>
      <c r="N44" s="452">
        <v>0</v>
      </c>
      <c r="O44" s="1201">
        <v>0</v>
      </c>
      <c r="P44" s="1195">
        <v>0</v>
      </c>
    </row>
    <row r="45" spans="1:16" ht="11.1" customHeight="1">
      <c r="A45" s="435"/>
      <c r="B45" s="449" t="s">
        <v>68</v>
      </c>
      <c r="C45" s="450">
        <v>0</v>
      </c>
      <c r="D45" s="451">
        <v>0</v>
      </c>
      <c r="E45" s="452">
        <v>0</v>
      </c>
      <c r="F45" s="451">
        <v>0</v>
      </c>
      <c r="G45" s="451">
        <v>0</v>
      </c>
      <c r="H45" s="451">
        <v>0</v>
      </c>
      <c r="I45" s="477">
        <v>0</v>
      </c>
      <c r="J45" s="450">
        <v>0</v>
      </c>
      <c r="K45" s="450">
        <v>0</v>
      </c>
      <c r="L45" s="473">
        <v>0</v>
      </c>
      <c r="M45" s="474">
        <v>0</v>
      </c>
      <c r="N45" s="452">
        <v>0</v>
      </c>
      <c r="O45" s="1201">
        <v>0</v>
      </c>
      <c r="P45" s="1195">
        <v>0</v>
      </c>
    </row>
    <row r="46" spans="1:16" ht="11.1" customHeight="1">
      <c r="A46" s="435"/>
      <c r="B46" s="449" t="s">
        <v>69</v>
      </c>
      <c r="C46" s="450">
        <v>84</v>
      </c>
      <c r="D46" s="451">
        <v>69</v>
      </c>
      <c r="E46" s="452">
        <v>15</v>
      </c>
      <c r="F46" s="451">
        <v>24</v>
      </c>
      <c r="G46" s="451">
        <v>21</v>
      </c>
      <c r="H46" s="451">
        <v>42</v>
      </c>
      <c r="I46" s="477">
        <v>24</v>
      </c>
      <c r="J46" s="450">
        <v>0</v>
      </c>
      <c r="K46" s="450">
        <v>48</v>
      </c>
      <c r="L46" s="451">
        <v>39</v>
      </c>
      <c r="M46" s="452">
        <v>12</v>
      </c>
      <c r="N46" s="452">
        <v>45</v>
      </c>
      <c r="O46" s="1194">
        <v>36</v>
      </c>
      <c r="P46" s="1195">
        <v>9</v>
      </c>
    </row>
    <row r="47" spans="1:16" ht="11.1" customHeight="1">
      <c r="A47" s="435"/>
      <c r="B47" s="449" t="s">
        <v>70</v>
      </c>
      <c r="C47" s="450">
        <v>9</v>
      </c>
      <c r="D47" s="451">
        <v>3</v>
      </c>
      <c r="E47" s="452">
        <v>3</v>
      </c>
      <c r="F47" s="451">
        <v>6</v>
      </c>
      <c r="G47" s="451">
        <v>3</v>
      </c>
      <c r="H47" s="451">
        <v>0</v>
      </c>
      <c r="I47" s="477">
        <v>6</v>
      </c>
      <c r="J47" s="450">
        <v>0</v>
      </c>
      <c r="K47" s="450">
        <v>6</v>
      </c>
      <c r="L47" s="473">
        <v>6</v>
      </c>
      <c r="M47" s="474">
        <v>0</v>
      </c>
      <c r="N47" s="452">
        <v>6</v>
      </c>
      <c r="O47" s="1201">
        <v>6</v>
      </c>
      <c r="P47" s="1195">
        <v>0</v>
      </c>
    </row>
    <row r="48" spans="1:16" ht="11.1" customHeight="1">
      <c r="A48" s="435"/>
      <c r="B48" s="439" t="s">
        <v>71</v>
      </c>
      <c r="C48" s="450">
        <v>0</v>
      </c>
      <c r="D48" s="451">
        <v>0</v>
      </c>
      <c r="E48" s="452">
        <v>0</v>
      </c>
      <c r="F48" s="451">
        <v>0</v>
      </c>
      <c r="G48" s="451">
        <v>0</v>
      </c>
      <c r="H48" s="451">
        <v>0</v>
      </c>
      <c r="I48" s="477">
        <v>0</v>
      </c>
      <c r="J48" s="450">
        <v>0</v>
      </c>
      <c r="K48" s="450">
        <v>0</v>
      </c>
      <c r="L48" s="473">
        <v>0</v>
      </c>
      <c r="M48" s="474">
        <v>0</v>
      </c>
      <c r="N48" s="452">
        <v>0</v>
      </c>
      <c r="O48" s="1201">
        <v>0</v>
      </c>
      <c r="P48" s="1195">
        <v>0</v>
      </c>
    </row>
    <row r="49" spans="1:16" ht="5.0999999999999996" customHeight="1" thickBot="1">
      <c r="A49" s="454"/>
      <c r="B49" s="455"/>
      <c r="C49" s="456"/>
      <c r="D49" s="457"/>
      <c r="E49" s="458"/>
      <c r="F49" s="457"/>
      <c r="G49" s="457"/>
      <c r="H49" s="457"/>
      <c r="I49" s="456"/>
      <c r="J49" s="460"/>
      <c r="K49" s="456"/>
      <c r="L49" s="457"/>
      <c r="M49" s="461"/>
      <c r="N49" s="480"/>
      <c r="O49" s="481"/>
      <c r="P49" s="1202"/>
    </row>
    <row r="50" spans="1:16" ht="5.0999999999999996" customHeight="1">
      <c r="A50" s="116"/>
      <c r="B50" s="63"/>
      <c r="C50" s="451"/>
      <c r="D50" s="451"/>
      <c r="E50" s="447"/>
      <c r="F50" s="451"/>
      <c r="G50" s="451"/>
      <c r="H50" s="451"/>
      <c r="I50" s="451"/>
      <c r="J50" s="451"/>
      <c r="K50" s="451"/>
      <c r="L50" s="451"/>
      <c r="M50" s="462"/>
      <c r="N50" s="462"/>
    </row>
    <row r="51" spans="1:16" ht="12" customHeight="1">
      <c r="A51" s="63" t="s">
        <v>158</v>
      </c>
      <c r="B51" s="40"/>
      <c r="C51" s="463"/>
      <c r="D51" s="463"/>
      <c r="E51" s="463"/>
      <c r="F51" s="463"/>
      <c r="G51" s="463"/>
      <c r="H51" s="463"/>
      <c r="I51" s="464" t="s">
        <v>203</v>
      </c>
      <c r="K51" s="464"/>
      <c r="L51" s="464"/>
      <c r="M51" s="463"/>
      <c r="N51" s="463"/>
    </row>
    <row r="52" spans="1:16" ht="12" customHeight="1" thickBot="1">
      <c r="A52" s="465"/>
      <c r="B52" s="409"/>
      <c r="C52" s="466"/>
      <c r="D52" s="466"/>
      <c r="E52" s="467"/>
      <c r="F52" s="467"/>
      <c r="G52" s="467"/>
      <c r="H52" s="467"/>
      <c r="I52" s="467"/>
      <c r="J52" s="467"/>
      <c r="K52" s="467"/>
      <c r="L52" s="467"/>
      <c r="M52" s="467"/>
      <c r="N52" s="467"/>
    </row>
    <row r="53" spans="1:16" ht="18" customHeight="1">
      <c r="A53" s="395"/>
      <c r="B53" s="433"/>
      <c r="C53" s="1962" t="s">
        <v>360</v>
      </c>
      <c r="D53" s="1963"/>
      <c r="E53" s="1963"/>
      <c r="F53" s="1963"/>
      <c r="G53" s="1963"/>
      <c r="H53" s="2051"/>
      <c r="I53" s="434" t="s">
        <v>0</v>
      </c>
      <c r="J53" s="434" t="s">
        <v>1</v>
      </c>
      <c r="K53" s="1962" t="s">
        <v>106</v>
      </c>
      <c r="L53" s="2053"/>
      <c r="M53" s="2053"/>
      <c r="N53" s="2053"/>
      <c r="O53" s="2053"/>
      <c r="P53" s="2054"/>
    </row>
    <row r="54" spans="1:16" ht="11.1" customHeight="1">
      <c r="A54" s="262"/>
      <c r="B54" s="208"/>
      <c r="C54" s="413"/>
      <c r="D54" s="413"/>
      <c r="E54" s="442"/>
      <c r="F54" s="499"/>
      <c r="G54" s="443"/>
      <c r="H54" s="443"/>
      <c r="I54" s="1216" t="s">
        <v>3</v>
      </c>
      <c r="J54" s="1216" t="s">
        <v>4</v>
      </c>
      <c r="K54" s="413"/>
      <c r="L54" s="413"/>
      <c r="M54" s="442"/>
      <c r="N54" s="1971" t="s">
        <v>300</v>
      </c>
      <c r="O54" s="1972"/>
      <c r="P54" s="1976"/>
    </row>
    <row r="55" spans="1:16" ht="11.1" customHeight="1">
      <c r="A55" s="262"/>
      <c r="B55" s="19" t="s">
        <v>8</v>
      </c>
      <c r="C55" s="519"/>
      <c r="D55" s="519"/>
      <c r="E55" s="1217"/>
      <c r="F55" s="21" t="s">
        <v>167</v>
      </c>
      <c r="G55" s="117"/>
      <c r="H55" s="117"/>
      <c r="I55" s="1216" t="s">
        <v>8</v>
      </c>
      <c r="J55" s="1216" t="s">
        <v>8</v>
      </c>
      <c r="K55" s="519"/>
      <c r="L55" s="519"/>
      <c r="M55" s="1217"/>
      <c r="N55" s="1974"/>
      <c r="O55" s="1975"/>
      <c r="P55" s="1977"/>
    </row>
    <row r="56" spans="1:16" ht="11.1" customHeight="1">
      <c r="A56" s="435" t="s">
        <v>43</v>
      </c>
      <c r="B56" s="19" t="s">
        <v>61</v>
      </c>
      <c r="C56" s="422" t="s">
        <v>19</v>
      </c>
      <c r="D56" s="15" t="s">
        <v>17</v>
      </c>
      <c r="E56" s="15" t="s">
        <v>18</v>
      </c>
      <c r="F56" s="26" t="s">
        <v>302</v>
      </c>
      <c r="G56" s="27"/>
      <c r="H56" s="27"/>
      <c r="I56" s="1216" t="s">
        <v>20</v>
      </c>
      <c r="J56" s="1216" t="s">
        <v>20</v>
      </c>
      <c r="K56" s="418"/>
      <c r="L56" s="418"/>
      <c r="M56" s="1218"/>
      <c r="N56" s="498"/>
      <c r="O56" s="297"/>
      <c r="P56" s="551"/>
    </row>
    <row r="57" spans="1:16" ht="11.1" customHeight="1">
      <c r="A57" s="262"/>
      <c r="B57" s="19" t="s">
        <v>62</v>
      </c>
      <c r="C57" s="422" t="s">
        <v>29</v>
      </c>
      <c r="D57" s="15" t="s">
        <v>28</v>
      </c>
      <c r="E57" s="15" t="s">
        <v>28</v>
      </c>
      <c r="F57" s="420"/>
      <c r="G57" s="421"/>
      <c r="H57" s="421"/>
      <c r="I57" s="1216" t="s">
        <v>33</v>
      </c>
      <c r="J57" s="1216" t="s">
        <v>33</v>
      </c>
      <c r="K57" s="1212" t="s">
        <v>19</v>
      </c>
      <c r="L57" s="15" t="s">
        <v>17</v>
      </c>
      <c r="M57" s="15" t="s">
        <v>18</v>
      </c>
      <c r="N57" s="20" t="s">
        <v>19</v>
      </c>
      <c r="O57" s="1211" t="s">
        <v>17</v>
      </c>
      <c r="P57" s="503" t="s">
        <v>18</v>
      </c>
    </row>
    <row r="58" spans="1:16" ht="11.1" customHeight="1">
      <c r="A58" s="262"/>
      <c r="B58" s="208"/>
      <c r="C58" s="1219"/>
      <c r="D58" s="418"/>
      <c r="E58" s="418"/>
      <c r="F58" s="15" t="s">
        <v>30</v>
      </c>
      <c r="G58" s="1211" t="s">
        <v>31</v>
      </c>
      <c r="H58" s="1211" t="s">
        <v>32</v>
      </c>
      <c r="I58" s="1216" t="s">
        <v>39</v>
      </c>
      <c r="J58" s="1216" t="s">
        <v>39</v>
      </c>
      <c r="K58" s="1212" t="s">
        <v>29</v>
      </c>
      <c r="L58" s="15" t="s">
        <v>28</v>
      </c>
      <c r="M58" s="15" t="s">
        <v>34</v>
      </c>
      <c r="N58" s="20" t="s">
        <v>29</v>
      </c>
      <c r="O58" s="1211" t="s">
        <v>28</v>
      </c>
      <c r="P58" s="503" t="s">
        <v>34</v>
      </c>
    </row>
    <row r="59" spans="1:16" ht="11.1" customHeight="1">
      <c r="A59" s="394"/>
      <c r="B59" s="425"/>
      <c r="C59" s="437"/>
      <c r="D59" s="438"/>
      <c r="E59" s="438"/>
      <c r="F59" s="436"/>
      <c r="G59" s="439"/>
      <c r="H59" s="439"/>
      <c r="I59" s="440"/>
      <c r="J59" s="440"/>
      <c r="K59" s="441"/>
      <c r="L59" s="438"/>
      <c r="M59" s="438"/>
      <c r="N59" s="417"/>
      <c r="O59" s="426"/>
      <c r="P59" s="518"/>
    </row>
    <row r="60" spans="1:16" ht="3" customHeight="1">
      <c r="A60" s="296"/>
      <c r="B60" s="414"/>
      <c r="C60" s="468"/>
      <c r="D60" s="469"/>
      <c r="E60" s="470"/>
      <c r="F60" s="469"/>
      <c r="G60" s="469"/>
      <c r="H60" s="470"/>
      <c r="I60" s="471"/>
      <c r="J60" s="472"/>
      <c r="K60" s="468"/>
      <c r="L60" s="469"/>
      <c r="M60" s="469"/>
      <c r="N60" s="468"/>
      <c r="O60" s="82"/>
      <c r="P60" s="546"/>
    </row>
    <row r="61" spans="1:16" s="11" customFormat="1">
      <c r="A61" s="981" t="s">
        <v>182</v>
      </c>
      <c r="B61" s="989" t="s">
        <v>64</v>
      </c>
      <c r="C61" s="446">
        <f>SUM(C62:C68)</f>
        <v>3450</v>
      </c>
      <c r="D61" s="983">
        <f>SUM(D62:D68)</f>
        <v>2976</v>
      </c>
      <c r="E61" s="447">
        <f t="shared" ref="E61:P61" si="4">SUM(E62:E68)</f>
        <v>474</v>
      </c>
      <c r="F61" s="983">
        <f t="shared" si="4"/>
        <v>1119</v>
      </c>
      <c r="G61" s="447">
        <f t="shared" si="4"/>
        <v>1101</v>
      </c>
      <c r="H61" s="447">
        <f t="shared" si="4"/>
        <v>1230</v>
      </c>
      <c r="I61" s="983">
        <f t="shared" si="4"/>
        <v>1281</v>
      </c>
      <c r="J61" s="446">
        <f t="shared" si="4"/>
        <v>405</v>
      </c>
      <c r="K61" s="446">
        <f>SUM(K62:K68)</f>
        <v>1215</v>
      </c>
      <c r="L61" s="983">
        <f t="shared" si="4"/>
        <v>1038</v>
      </c>
      <c r="M61" s="448">
        <f t="shared" si="4"/>
        <v>177</v>
      </c>
      <c r="N61" s="983">
        <f t="shared" si="4"/>
        <v>963</v>
      </c>
      <c r="O61" s="983">
        <f>SUM(O62:O68)</f>
        <v>810</v>
      </c>
      <c r="P61" s="1193">
        <f t="shared" si="4"/>
        <v>153</v>
      </c>
    </row>
    <row r="62" spans="1:16" ht="11.1" customHeight="1">
      <c r="A62" s="262"/>
      <c r="B62" s="449" t="s">
        <v>65</v>
      </c>
      <c r="C62" s="450">
        <v>348</v>
      </c>
      <c r="D62" s="451">
        <v>198</v>
      </c>
      <c r="E62" s="452">
        <v>150</v>
      </c>
      <c r="F62" s="451">
        <v>102</v>
      </c>
      <c r="G62" s="451">
        <v>108</v>
      </c>
      <c r="H62" s="451">
        <v>138</v>
      </c>
      <c r="I62" s="477">
        <v>129</v>
      </c>
      <c r="J62" s="450">
        <v>45</v>
      </c>
      <c r="K62" s="450">
        <v>138</v>
      </c>
      <c r="L62" s="451">
        <v>84</v>
      </c>
      <c r="M62" s="452">
        <v>54</v>
      </c>
      <c r="N62" s="452">
        <v>123</v>
      </c>
      <c r="O62" s="1194">
        <v>72</v>
      </c>
      <c r="P62" s="1195">
        <v>51</v>
      </c>
    </row>
    <row r="63" spans="1:16" ht="11.1" customHeight="1">
      <c r="A63" s="262"/>
      <c r="B63" s="449" t="s">
        <v>66</v>
      </c>
      <c r="C63" s="450">
        <v>57</v>
      </c>
      <c r="D63" s="451">
        <v>42</v>
      </c>
      <c r="E63" s="452">
        <v>15</v>
      </c>
      <c r="F63" s="451">
        <v>9</v>
      </c>
      <c r="G63" s="451">
        <v>24</v>
      </c>
      <c r="H63" s="451">
        <v>21</v>
      </c>
      <c r="I63" s="477">
        <v>24</v>
      </c>
      <c r="J63" s="450">
        <v>6</v>
      </c>
      <c r="K63" s="450">
        <v>18</v>
      </c>
      <c r="L63" s="451">
        <v>12</v>
      </c>
      <c r="M63" s="452">
        <v>6</v>
      </c>
      <c r="N63" s="452">
        <v>18</v>
      </c>
      <c r="O63" s="1194">
        <v>9</v>
      </c>
      <c r="P63" s="1195">
        <v>6</v>
      </c>
    </row>
    <row r="64" spans="1:16" ht="11.1" customHeight="1">
      <c r="A64" s="262"/>
      <c r="B64" s="449" t="s">
        <v>67</v>
      </c>
      <c r="C64" s="450">
        <v>222</v>
      </c>
      <c r="D64" s="451">
        <v>174</v>
      </c>
      <c r="E64" s="452">
        <v>48</v>
      </c>
      <c r="F64" s="451">
        <v>66</v>
      </c>
      <c r="G64" s="451">
        <v>75</v>
      </c>
      <c r="H64" s="451">
        <v>84</v>
      </c>
      <c r="I64" s="477">
        <v>75</v>
      </c>
      <c r="J64" s="450">
        <v>21</v>
      </c>
      <c r="K64" s="450">
        <v>72</v>
      </c>
      <c r="L64" s="451">
        <v>48</v>
      </c>
      <c r="M64" s="452">
        <v>24</v>
      </c>
      <c r="N64" s="452">
        <v>63</v>
      </c>
      <c r="O64" s="1194">
        <v>42</v>
      </c>
      <c r="P64" s="1195">
        <v>21</v>
      </c>
    </row>
    <row r="65" spans="1:16" ht="11.1" customHeight="1">
      <c r="A65" s="262"/>
      <c r="B65" s="449" t="s">
        <v>68</v>
      </c>
      <c r="C65" s="450">
        <v>30</v>
      </c>
      <c r="D65" s="451">
        <v>24</v>
      </c>
      <c r="E65" s="452">
        <v>6</v>
      </c>
      <c r="F65" s="451">
        <v>9</v>
      </c>
      <c r="G65" s="451">
        <v>12</v>
      </c>
      <c r="H65" s="451">
        <v>9</v>
      </c>
      <c r="I65" s="477">
        <v>15</v>
      </c>
      <c r="J65" s="450">
        <v>0</v>
      </c>
      <c r="K65" s="450">
        <v>9</v>
      </c>
      <c r="L65" s="473">
        <v>6</v>
      </c>
      <c r="M65" s="474">
        <v>3</v>
      </c>
      <c r="N65" s="452">
        <v>9</v>
      </c>
      <c r="O65" s="1201">
        <v>6</v>
      </c>
      <c r="P65" s="1195">
        <v>3</v>
      </c>
    </row>
    <row r="66" spans="1:16" ht="11.1" customHeight="1">
      <c r="A66" s="262"/>
      <c r="B66" s="449" t="s">
        <v>69</v>
      </c>
      <c r="C66" s="450">
        <v>2556</v>
      </c>
      <c r="D66" s="451">
        <v>2361</v>
      </c>
      <c r="E66" s="452">
        <v>195</v>
      </c>
      <c r="F66" s="451">
        <v>855</v>
      </c>
      <c r="G66" s="451">
        <v>807</v>
      </c>
      <c r="H66" s="451">
        <v>894</v>
      </c>
      <c r="I66" s="477">
        <v>948</v>
      </c>
      <c r="J66" s="450">
        <v>300</v>
      </c>
      <c r="K66" s="450">
        <v>885</v>
      </c>
      <c r="L66" s="451">
        <v>816</v>
      </c>
      <c r="M66" s="452">
        <v>69</v>
      </c>
      <c r="N66" s="452">
        <v>678</v>
      </c>
      <c r="O66" s="1194">
        <v>624</v>
      </c>
      <c r="P66" s="1195">
        <v>54</v>
      </c>
    </row>
    <row r="67" spans="1:16" ht="11.1" customHeight="1">
      <c r="A67" s="262"/>
      <c r="B67" s="449" t="s">
        <v>70</v>
      </c>
      <c r="C67" s="450">
        <v>198</v>
      </c>
      <c r="D67" s="451">
        <v>153</v>
      </c>
      <c r="E67" s="452">
        <v>42</v>
      </c>
      <c r="F67" s="451">
        <v>69</v>
      </c>
      <c r="G67" s="451">
        <v>60</v>
      </c>
      <c r="H67" s="451">
        <v>69</v>
      </c>
      <c r="I67" s="477">
        <v>75</v>
      </c>
      <c r="J67" s="450">
        <v>27</v>
      </c>
      <c r="K67" s="450">
        <v>78</v>
      </c>
      <c r="L67" s="451">
        <v>66</v>
      </c>
      <c r="M67" s="452">
        <v>12</v>
      </c>
      <c r="N67" s="452">
        <v>60</v>
      </c>
      <c r="O67" s="1194">
        <v>51</v>
      </c>
      <c r="P67" s="1195">
        <v>9</v>
      </c>
    </row>
    <row r="68" spans="1:16" ht="11.1" customHeight="1">
      <c r="A68" s="262"/>
      <c r="B68" s="436" t="s">
        <v>71</v>
      </c>
      <c r="C68" s="450">
        <v>39</v>
      </c>
      <c r="D68" s="451">
        <v>24</v>
      </c>
      <c r="E68" s="452">
        <v>18</v>
      </c>
      <c r="F68" s="451">
        <v>9</v>
      </c>
      <c r="G68" s="451">
        <v>15</v>
      </c>
      <c r="H68" s="451">
        <v>15</v>
      </c>
      <c r="I68" s="477">
        <v>15</v>
      </c>
      <c r="J68" s="450">
        <v>6</v>
      </c>
      <c r="K68" s="450">
        <v>15</v>
      </c>
      <c r="L68" s="473">
        <v>6</v>
      </c>
      <c r="M68" s="474">
        <v>9</v>
      </c>
      <c r="N68" s="452">
        <v>12</v>
      </c>
      <c r="O68" s="1201">
        <v>6</v>
      </c>
      <c r="P68" s="1195">
        <v>9</v>
      </c>
    </row>
    <row r="69" spans="1:16" s="11" customFormat="1" ht="3" customHeight="1">
      <c r="A69" s="262"/>
      <c r="B69" s="418"/>
      <c r="C69" s="446"/>
      <c r="D69" s="451"/>
      <c r="E69" s="452"/>
      <c r="F69" s="451"/>
      <c r="G69" s="451"/>
      <c r="H69" s="452"/>
      <c r="I69" s="477"/>
      <c r="J69" s="450"/>
      <c r="K69" s="446"/>
      <c r="L69" s="451"/>
      <c r="M69" s="452"/>
      <c r="N69" s="452"/>
      <c r="O69" s="739"/>
      <c r="P69" s="1196"/>
    </row>
    <row r="70" spans="1:16">
      <c r="A70" s="981" t="s">
        <v>173</v>
      </c>
      <c r="B70" s="989" t="s">
        <v>64</v>
      </c>
      <c r="C70" s="446">
        <f t="shared" ref="C70:H70" si="5">SUM(C71:C78)</f>
        <v>849</v>
      </c>
      <c r="D70" s="983">
        <f t="shared" si="5"/>
        <v>684</v>
      </c>
      <c r="E70" s="447">
        <f t="shared" si="5"/>
        <v>162</v>
      </c>
      <c r="F70" s="983">
        <f t="shared" si="5"/>
        <v>252</v>
      </c>
      <c r="G70" s="447">
        <f t="shared" si="5"/>
        <v>273</v>
      </c>
      <c r="H70" s="447">
        <f t="shared" si="5"/>
        <v>321</v>
      </c>
      <c r="I70" s="1047">
        <f t="shared" ref="I70:P70" si="6">SUM(I71:I78)</f>
        <v>315</v>
      </c>
      <c r="J70" s="567">
        <f t="shared" si="6"/>
        <v>108</v>
      </c>
      <c r="K70" s="983">
        <f t="shared" si="6"/>
        <v>246</v>
      </c>
      <c r="L70" s="983">
        <f t="shared" si="6"/>
        <v>177</v>
      </c>
      <c r="M70" s="447">
        <f t="shared" si="6"/>
        <v>72</v>
      </c>
      <c r="N70" s="567">
        <f t="shared" si="6"/>
        <v>210</v>
      </c>
      <c r="O70" s="1192">
        <f t="shared" si="6"/>
        <v>147</v>
      </c>
      <c r="P70" s="1193">
        <f t="shared" si="6"/>
        <v>69</v>
      </c>
    </row>
    <row r="71" spans="1:16" ht="11.1" customHeight="1">
      <c r="A71" s="262"/>
      <c r="B71" s="449" t="s">
        <v>65</v>
      </c>
      <c r="C71" s="450">
        <v>156</v>
      </c>
      <c r="D71" s="473">
        <v>81</v>
      </c>
      <c r="E71" s="474">
        <v>75</v>
      </c>
      <c r="F71" s="473">
        <v>36</v>
      </c>
      <c r="G71" s="473">
        <v>51</v>
      </c>
      <c r="H71" s="473">
        <v>66</v>
      </c>
      <c r="I71" s="477">
        <v>51</v>
      </c>
      <c r="J71" s="450">
        <v>15</v>
      </c>
      <c r="K71" s="450">
        <v>66</v>
      </c>
      <c r="L71" s="473">
        <v>27</v>
      </c>
      <c r="M71" s="474">
        <v>39</v>
      </c>
      <c r="N71" s="452">
        <v>60</v>
      </c>
      <c r="O71" s="1201">
        <v>24</v>
      </c>
      <c r="P71" s="1195">
        <v>39</v>
      </c>
    </row>
    <row r="72" spans="1:16" ht="11.1" customHeight="1">
      <c r="A72" s="262"/>
      <c r="B72" s="449" t="s">
        <v>66</v>
      </c>
      <c r="C72" s="450">
        <v>24</v>
      </c>
      <c r="D72" s="473">
        <v>18</v>
      </c>
      <c r="E72" s="474">
        <v>6</v>
      </c>
      <c r="F72" s="473">
        <v>9</v>
      </c>
      <c r="G72" s="473">
        <v>12</v>
      </c>
      <c r="H72" s="473">
        <v>3</v>
      </c>
      <c r="I72" s="477">
        <v>15</v>
      </c>
      <c r="J72" s="450">
        <v>0</v>
      </c>
      <c r="K72" s="450">
        <v>3</v>
      </c>
      <c r="L72" s="473">
        <v>3</v>
      </c>
      <c r="M72" s="474">
        <v>0</v>
      </c>
      <c r="N72" s="452">
        <v>3</v>
      </c>
      <c r="O72" s="1201">
        <v>3</v>
      </c>
      <c r="P72" s="1195">
        <v>0</v>
      </c>
    </row>
    <row r="73" spans="1:16" ht="11.1" customHeight="1">
      <c r="A73" s="262"/>
      <c r="B73" s="449" t="s">
        <v>67</v>
      </c>
      <c r="C73" s="450">
        <v>30</v>
      </c>
      <c r="D73" s="473">
        <v>21</v>
      </c>
      <c r="E73" s="474">
        <v>9</v>
      </c>
      <c r="F73" s="473">
        <v>12</v>
      </c>
      <c r="G73" s="473">
        <v>9</v>
      </c>
      <c r="H73" s="473">
        <v>9</v>
      </c>
      <c r="I73" s="477">
        <v>15</v>
      </c>
      <c r="J73" s="450">
        <v>6</v>
      </c>
      <c r="K73" s="450">
        <v>9</v>
      </c>
      <c r="L73" s="473">
        <v>9</v>
      </c>
      <c r="M73" s="474">
        <v>0</v>
      </c>
      <c r="N73" s="452">
        <v>6</v>
      </c>
      <c r="O73" s="1201">
        <v>6</v>
      </c>
      <c r="P73" s="1195">
        <v>0</v>
      </c>
    </row>
    <row r="74" spans="1:16" ht="11.1" customHeight="1">
      <c r="A74" s="262"/>
      <c r="B74" s="449" t="s">
        <v>68</v>
      </c>
      <c r="C74" s="450">
        <v>3</v>
      </c>
      <c r="D74" s="1022">
        <v>0</v>
      </c>
      <c r="E74" s="452">
        <v>0</v>
      </c>
      <c r="F74" s="477">
        <v>0</v>
      </c>
      <c r="G74" s="451">
        <v>0</v>
      </c>
      <c r="H74" s="473">
        <v>3</v>
      </c>
      <c r="I74" s="477">
        <v>0</v>
      </c>
      <c r="J74" s="450">
        <v>3</v>
      </c>
      <c r="K74" s="450">
        <v>3</v>
      </c>
      <c r="L74" s="473">
        <v>3</v>
      </c>
      <c r="M74" s="474">
        <v>0</v>
      </c>
      <c r="N74" s="452">
        <v>3</v>
      </c>
      <c r="O74" s="1201">
        <v>3</v>
      </c>
      <c r="P74" s="1195">
        <v>0</v>
      </c>
    </row>
    <row r="75" spans="1:16" ht="11.1" customHeight="1">
      <c r="A75" s="262"/>
      <c r="B75" s="449" t="s">
        <v>69</v>
      </c>
      <c r="C75" s="450">
        <v>591</v>
      </c>
      <c r="D75" s="473">
        <v>534</v>
      </c>
      <c r="E75" s="474">
        <v>57</v>
      </c>
      <c r="F75" s="473">
        <v>177</v>
      </c>
      <c r="G75" s="473">
        <v>192</v>
      </c>
      <c r="H75" s="473">
        <v>222</v>
      </c>
      <c r="I75" s="477">
        <v>213</v>
      </c>
      <c r="J75" s="450">
        <v>72</v>
      </c>
      <c r="K75" s="450">
        <v>156</v>
      </c>
      <c r="L75" s="1197">
        <v>129</v>
      </c>
      <c r="M75" s="452">
        <v>27</v>
      </c>
      <c r="N75" s="452">
        <v>132</v>
      </c>
      <c r="O75" s="1194">
        <v>108</v>
      </c>
      <c r="P75" s="1195">
        <v>24</v>
      </c>
    </row>
    <row r="76" spans="1:16" ht="11.1" customHeight="1">
      <c r="A76" s="262"/>
      <c r="B76" s="449" t="s">
        <v>70</v>
      </c>
      <c r="C76" s="450">
        <v>24</v>
      </c>
      <c r="D76" s="473">
        <v>18</v>
      </c>
      <c r="E76" s="474">
        <v>6</v>
      </c>
      <c r="F76" s="473">
        <v>9</v>
      </c>
      <c r="G76" s="473">
        <v>6</v>
      </c>
      <c r="H76" s="473">
        <v>9</v>
      </c>
      <c r="I76" s="477">
        <v>12</v>
      </c>
      <c r="J76" s="450">
        <v>6</v>
      </c>
      <c r="K76" s="450">
        <v>9</v>
      </c>
      <c r="L76" s="451">
        <v>6</v>
      </c>
      <c r="M76" s="452">
        <v>6</v>
      </c>
      <c r="N76" s="452">
        <v>6</v>
      </c>
      <c r="O76" s="1194">
        <v>3</v>
      </c>
      <c r="P76" s="1195">
        <v>6</v>
      </c>
    </row>
    <row r="77" spans="1:16" ht="11.1" customHeight="1">
      <c r="A77" s="262"/>
      <c r="B77" s="449" t="s">
        <v>71</v>
      </c>
      <c r="C77" s="450">
        <v>0</v>
      </c>
      <c r="D77" s="451">
        <v>0</v>
      </c>
      <c r="E77" s="474">
        <v>0</v>
      </c>
      <c r="F77" s="451">
        <v>0</v>
      </c>
      <c r="G77" s="451">
        <v>0</v>
      </c>
      <c r="H77" s="452">
        <v>0</v>
      </c>
      <c r="I77" s="477">
        <v>0</v>
      </c>
      <c r="J77" s="450">
        <v>0</v>
      </c>
      <c r="K77" s="450">
        <v>0</v>
      </c>
      <c r="L77" s="473">
        <v>0</v>
      </c>
      <c r="M77" s="474">
        <v>0</v>
      </c>
      <c r="N77" s="452">
        <v>0</v>
      </c>
      <c r="O77" s="1201">
        <v>0</v>
      </c>
      <c r="P77" s="1195">
        <v>0</v>
      </c>
    </row>
    <row r="78" spans="1:16" ht="11.1" customHeight="1">
      <c r="A78" s="1230"/>
      <c r="B78" s="449" t="s">
        <v>356</v>
      </c>
      <c r="C78" s="450">
        <v>21</v>
      </c>
      <c r="D78" s="451">
        <v>12</v>
      </c>
      <c r="E78" s="474">
        <v>9</v>
      </c>
      <c r="F78" s="451">
        <v>9</v>
      </c>
      <c r="G78" s="451">
        <v>3</v>
      </c>
      <c r="H78" s="452">
        <v>9</v>
      </c>
      <c r="I78" s="477">
        <v>9</v>
      </c>
      <c r="J78" s="450">
        <v>6</v>
      </c>
      <c r="K78" s="450">
        <v>0</v>
      </c>
      <c r="L78" s="473">
        <v>0</v>
      </c>
      <c r="M78" s="474">
        <v>0</v>
      </c>
      <c r="N78" s="452">
        <v>0</v>
      </c>
      <c r="O78" s="1194">
        <v>0</v>
      </c>
      <c r="P78" s="1195">
        <v>0</v>
      </c>
    </row>
    <row r="79" spans="1:16" ht="3" customHeight="1">
      <c r="A79" s="262"/>
      <c r="B79" s="436"/>
      <c r="C79" s="446"/>
      <c r="D79" s="451"/>
      <c r="E79" s="452"/>
      <c r="F79" s="451"/>
      <c r="G79" s="451"/>
      <c r="H79" s="452"/>
      <c r="I79" s="477"/>
      <c r="J79" s="450"/>
      <c r="K79" s="446"/>
      <c r="L79" s="451"/>
      <c r="M79" s="452"/>
      <c r="N79" s="452"/>
      <c r="O79" s="739"/>
      <c r="P79" s="1198"/>
    </row>
    <row r="80" spans="1:16">
      <c r="A80" s="981" t="s">
        <v>183</v>
      </c>
      <c r="B80" s="989" t="s">
        <v>64</v>
      </c>
      <c r="C80" s="446">
        <f>SUM(C81:C87)</f>
        <v>459</v>
      </c>
      <c r="D80" s="983">
        <f>SUM(D81:D87)</f>
        <v>369</v>
      </c>
      <c r="E80" s="447">
        <f t="shared" ref="E80:P80" si="7">SUM(E81:E87)</f>
        <v>87</v>
      </c>
      <c r="F80" s="983">
        <f t="shared" si="7"/>
        <v>150</v>
      </c>
      <c r="G80" s="447">
        <f t="shared" si="7"/>
        <v>156</v>
      </c>
      <c r="H80" s="447">
        <f t="shared" si="7"/>
        <v>153</v>
      </c>
      <c r="I80" s="1047">
        <f t="shared" si="7"/>
        <v>171</v>
      </c>
      <c r="J80" s="567">
        <f t="shared" si="7"/>
        <v>72</v>
      </c>
      <c r="K80" s="983">
        <f t="shared" si="7"/>
        <v>177</v>
      </c>
      <c r="L80" s="983">
        <f t="shared" si="7"/>
        <v>150</v>
      </c>
      <c r="M80" s="447">
        <f t="shared" si="7"/>
        <v>24</v>
      </c>
      <c r="N80" s="567">
        <f>SUM(N81:N87)</f>
        <v>150</v>
      </c>
      <c r="O80" s="1192">
        <f t="shared" si="7"/>
        <v>126</v>
      </c>
      <c r="P80" s="1193">
        <f t="shared" si="7"/>
        <v>24</v>
      </c>
    </row>
    <row r="81" spans="1:16" ht="11.1" customHeight="1">
      <c r="A81" s="262"/>
      <c r="B81" s="449" t="s">
        <v>65</v>
      </c>
      <c r="C81" s="450">
        <v>81</v>
      </c>
      <c r="D81" s="451">
        <v>45</v>
      </c>
      <c r="E81" s="452">
        <v>33</v>
      </c>
      <c r="F81" s="451">
        <v>24</v>
      </c>
      <c r="G81" s="451">
        <v>27</v>
      </c>
      <c r="H81" s="451">
        <v>27</v>
      </c>
      <c r="I81" s="477">
        <v>27</v>
      </c>
      <c r="J81" s="450">
        <v>15</v>
      </c>
      <c r="K81" s="450">
        <v>30</v>
      </c>
      <c r="L81" s="451">
        <v>21</v>
      </c>
      <c r="M81" s="452">
        <v>9</v>
      </c>
      <c r="N81" s="452">
        <v>24</v>
      </c>
      <c r="O81" s="1194">
        <v>15</v>
      </c>
      <c r="P81" s="1195">
        <v>9</v>
      </c>
    </row>
    <row r="82" spans="1:16" ht="11.1" customHeight="1">
      <c r="A82" s="262"/>
      <c r="B82" s="449" t="s">
        <v>66</v>
      </c>
      <c r="C82" s="450">
        <v>9</v>
      </c>
      <c r="D82" s="451">
        <v>6</v>
      </c>
      <c r="E82" s="452">
        <v>3</v>
      </c>
      <c r="F82" s="451">
        <v>6</v>
      </c>
      <c r="G82" s="451">
        <v>3</v>
      </c>
      <c r="H82" s="451">
        <v>3</v>
      </c>
      <c r="I82" s="477">
        <v>6</v>
      </c>
      <c r="J82" s="450">
        <v>3</v>
      </c>
      <c r="K82" s="450">
        <v>6</v>
      </c>
      <c r="L82" s="451">
        <v>6</v>
      </c>
      <c r="M82" s="452">
        <v>0</v>
      </c>
      <c r="N82" s="452">
        <v>6</v>
      </c>
      <c r="O82" s="1194">
        <v>6</v>
      </c>
      <c r="P82" s="1195">
        <v>0</v>
      </c>
    </row>
    <row r="83" spans="1:16" ht="11.1" customHeight="1">
      <c r="A83" s="262"/>
      <c r="B83" s="449" t="s">
        <v>67</v>
      </c>
      <c r="C83" s="450">
        <v>18</v>
      </c>
      <c r="D83" s="451">
        <v>9</v>
      </c>
      <c r="E83" s="452">
        <v>9</v>
      </c>
      <c r="F83" s="451">
        <v>6</v>
      </c>
      <c r="G83" s="451">
        <v>6</v>
      </c>
      <c r="H83" s="451">
        <v>6</v>
      </c>
      <c r="I83" s="477">
        <v>9</v>
      </c>
      <c r="J83" s="450">
        <v>3</v>
      </c>
      <c r="K83" s="450">
        <v>9</v>
      </c>
      <c r="L83" s="451">
        <v>6</v>
      </c>
      <c r="M83" s="452">
        <v>3</v>
      </c>
      <c r="N83" s="452">
        <v>6</v>
      </c>
      <c r="O83" s="1194">
        <v>3</v>
      </c>
      <c r="P83" s="1195">
        <v>3</v>
      </c>
    </row>
    <row r="84" spans="1:16" ht="11.1" customHeight="1">
      <c r="A84" s="262"/>
      <c r="B84" s="449" t="s">
        <v>68</v>
      </c>
      <c r="C84" s="450">
        <v>9</v>
      </c>
      <c r="D84" s="451">
        <v>6</v>
      </c>
      <c r="E84" s="452">
        <v>6</v>
      </c>
      <c r="F84" s="451">
        <v>3</v>
      </c>
      <c r="G84" s="451">
        <v>3</v>
      </c>
      <c r="H84" s="451">
        <v>3</v>
      </c>
      <c r="I84" s="477">
        <v>3</v>
      </c>
      <c r="J84" s="450">
        <v>0</v>
      </c>
      <c r="K84" s="450">
        <v>6</v>
      </c>
      <c r="L84" s="451">
        <v>6</v>
      </c>
      <c r="M84" s="452">
        <v>0</v>
      </c>
      <c r="N84" s="452">
        <v>6</v>
      </c>
      <c r="O84" s="1194">
        <v>6</v>
      </c>
      <c r="P84" s="1195">
        <v>0</v>
      </c>
    </row>
    <row r="85" spans="1:16" ht="11.1" customHeight="1">
      <c r="A85" s="262"/>
      <c r="B85" s="449" t="s">
        <v>69</v>
      </c>
      <c r="C85" s="450">
        <v>327</v>
      </c>
      <c r="D85" s="451">
        <v>294</v>
      </c>
      <c r="E85" s="452">
        <v>33</v>
      </c>
      <c r="F85" s="451">
        <v>105</v>
      </c>
      <c r="G85" s="451">
        <v>111</v>
      </c>
      <c r="H85" s="451">
        <v>111</v>
      </c>
      <c r="I85" s="477">
        <v>120</v>
      </c>
      <c r="J85" s="450">
        <v>48</v>
      </c>
      <c r="K85" s="450">
        <v>120</v>
      </c>
      <c r="L85" s="451">
        <v>105</v>
      </c>
      <c r="M85" s="452">
        <v>12</v>
      </c>
      <c r="N85" s="452">
        <v>102</v>
      </c>
      <c r="O85" s="1194">
        <v>90</v>
      </c>
      <c r="P85" s="1195">
        <v>12</v>
      </c>
    </row>
    <row r="86" spans="1:16" ht="11.1" customHeight="1">
      <c r="A86" s="262"/>
      <c r="B86" s="449" t="s">
        <v>70</v>
      </c>
      <c r="C86" s="450">
        <v>6</v>
      </c>
      <c r="D86" s="451">
        <v>6</v>
      </c>
      <c r="E86" s="452">
        <v>0</v>
      </c>
      <c r="F86" s="451">
        <v>3</v>
      </c>
      <c r="G86" s="451">
        <v>3</v>
      </c>
      <c r="H86" s="451">
        <v>0</v>
      </c>
      <c r="I86" s="477">
        <v>3</v>
      </c>
      <c r="J86" s="450">
        <v>0</v>
      </c>
      <c r="K86" s="450">
        <v>3</v>
      </c>
      <c r="L86" s="451">
        <v>3</v>
      </c>
      <c r="M86" s="452">
        <v>0</v>
      </c>
      <c r="N86" s="452">
        <v>3</v>
      </c>
      <c r="O86" s="1194">
        <v>3</v>
      </c>
      <c r="P86" s="1195">
        <v>0</v>
      </c>
    </row>
    <row r="87" spans="1:16" ht="11.1" customHeight="1">
      <c r="A87" s="262"/>
      <c r="B87" s="436" t="s">
        <v>71</v>
      </c>
      <c r="C87" s="450">
        <v>9</v>
      </c>
      <c r="D87" s="451">
        <v>3</v>
      </c>
      <c r="E87" s="452">
        <v>3</v>
      </c>
      <c r="F87" s="451">
        <v>3</v>
      </c>
      <c r="G87" s="451">
        <v>3</v>
      </c>
      <c r="H87" s="451">
        <v>3</v>
      </c>
      <c r="I87" s="477">
        <v>3</v>
      </c>
      <c r="J87" s="450">
        <v>3</v>
      </c>
      <c r="K87" s="450">
        <v>3</v>
      </c>
      <c r="L87" s="451">
        <v>3</v>
      </c>
      <c r="M87" s="452">
        <v>0</v>
      </c>
      <c r="N87" s="452">
        <v>3</v>
      </c>
      <c r="O87" s="1194">
        <v>3</v>
      </c>
      <c r="P87" s="1195">
        <v>0</v>
      </c>
    </row>
    <row r="88" spans="1:16" s="11" customFormat="1" ht="3" customHeight="1">
      <c r="A88" s="262"/>
      <c r="B88" s="436"/>
      <c r="C88" s="446"/>
      <c r="D88" s="451"/>
      <c r="E88" s="452"/>
      <c r="F88" s="451"/>
      <c r="G88" s="451"/>
      <c r="H88" s="452"/>
      <c r="I88" s="477"/>
      <c r="J88" s="450"/>
      <c r="K88" s="446"/>
      <c r="L88" s="451"/>
      <c r="M88" s="452"/>
      <c r="N88" s="452"/>
      <c r="O88" s="467"/>
      <c r="P88" s="1200"/>
    </row>
    <row r="89" spans="1:16">
      <c r="A89" s="981" t="s">
        <v>174</v>
      </c>
      <c r="B89" s="989" t="s">
        <v>64</v>
      </c>
      <c r="C89" s="446">
        <f>SUM(C90:C96)</f>
        <v>1839</v>
      </c>
      <c r="D89" s="983">
        <f>SUM(D90:D96)</f>
        <v>1428</v>
      </c>
      <c r="E89" s="447">
        <f t="shared" ref="E89:P89" si="8">SUM(E90:E96)</f>
        <v>408</v>
      </c>
      <c r="F89" s="983">
        <f t="shared" si="8"/>
        <v>585</v>
      </c>
      <c r="G89" s="447">
        <f t="shared" si="8"/>
        <v>663</v>
      </c>
      <c r="H89" s="447">
        <f t="shared" si="8"/>
        <v>588</v>
      </c>
      <c r="I89" s="1047">
        <f>SUM(I90:I96)</f>
        <v>723</v>
      </c>
      <c r="J89" s="567">
        <f t="shared" si="8"/>
        <v>222</v>
      </c>
      <c r="K89" s="983">
        <f t="shared" si="8"/>
        <v>633</v>
      </c>
      <c r="L89" s="983">
        <f t="shared" si="8"/>
        <v>489</v>
      </c>
      <c r="M89" s="447">
        <f t="shared" si="8"/>
        <v>141</v>
      </c>
      <c r="N89" s="567">
        <f>SUM(N90:N96)</f>
        <v>561</v>
      </c>
      <c r="O89" s="1192">
        <f t="shared" si="8"/>
        <v>432</v>
      </c>
      <c r="P89" s="1193">
        <f t="shared" si="8"/>
        <v>132</v>
      </c>
    </row>
    <row r="90" spans="1:16" ht="11.1" customHeight="1">
      <c r="A90" s="262"/>
      <c r="B90" s="449" t="s">
        <v>65</v>
      </c>
      <c r="C90" s="450">
        <v>261</v>
      </c>
      <c r="D90" s="451">
        <v>126</v>
      </c>
      <c r="E90" s="452">
        <v>135</v>
      </c>
      <c r="F90" s="451">
        <v>84</v>
      </c>
      <c r="G90" s="451">
        <v>87</v>
      </c>
      <c r="H90" s="451">
        <v>87</v>
      </c>
      <c r="I90" s="477">
        <v>102</v>
      </c>
      <c r="J90" s="450">
        <v>27</v>
      </c>
      <c r="K90" s="450">
        <v>99</v>
      </c>
      <c r="L90" s="473">
        <v>45</v>
      </c>
      <c r="M90" s="474">
        <v>54</v>
      </c>
      <c r="N90" s="452">
        <v>87</v>
      </c>
      <c r="O90" s="1201">
        <v>39</v>
      </c>
      <c r="P90" s="1195">
        <v>48</v>
      </c>
    </row>
    <row r="91" spans="1:16" ht="11.1" customHeight="1">
      <c r="A91" s="262"/>
      <c r="B91" s="449" t="s">
        <v>66</v>
      </c>
      <c r="C91" s="450">
        <v>105</v>
      </c>
      <c r="D91" s="451">
        <v>60</v>
      </c>
      <c r="E91" s="452">
        <v>42</v>
      </c>
      <c r="F91" s="451">
        <v>24</v>
      </c>
      <c r="G91" s="451">
        <v>39</v>
      </c>
      <c r="H91" s="451">
        <v>42</v>
      </c>
      <c r="I91" s="477">
        <v>45</v>
      </c>
      <c r="J91" s="450">
        <v>12</v>
      </c>
      <c r="K91" s="450">
        <v>36</v>
      </c>
      <c r="L91" s="473">
        <v>21</v>
      </c>
      <c r="M91" s="474">
        <v>15</v>
      </c>
      <c r="N91" s="452">
        <v>33</v>
      </c>
      <c r="O91" s="1201">
        <v>18</v>
      </c>
      <c r="P91" s="1195">
        <v>15</v>
      </c>
    </row>
    <row r="92" spans="1:16" ht="11.1" customHeight="1">
      <c r="A92" s="262"/>
      <c r="B92" s="449" t="s">
        <v>67</v>
      </c>
      <c r="C92" s="450">
        <v>96</v>
      </c>
      <c r="D92" s="451">
        <v>69</v>
      </c>
      <c r="E92" s="452">
        <v>27</v>
      </c>
      <c r="F92" s="451">
        <v>21</v>
      </c>
      <c r="G92" s="451">
        <v>42</v>
      </c>
      <c r="H92" s="451">
        <v>33</v>
      </c>
      <c r="I92" s="477">
        <v>33</v>
      </c>
      <c r="J92" s="450">
        <v>9</v>
      </c>
      <c r="K92" s="450">
        <v>33</v>
      </c>
      <c r="L92" s="473">
        <v>15</v>
      </c>
      <c r="M92" s="474">
        <v>18</v>
      </c>
      <c r="N92" s="452">
        <v>27</v>
      </c>
      <c r="O92" s="1201">
        <v>12</v>
      </c>
      <c r="P92" s="1195">
        <v>15</v>
      </c>
    </row>
    <row r="93" spans="1:16" ht="11.1" customHeight="1">
      <c r="A93" s="262"/>
      <c r="B93" s="449" t="s">
        <v>68</v>
      </c>
      <c r="C93" s="450">
        <v>60</v>
      </c>
      <c r="D93" s="451">
        <v>51</v>
      </c>
      <c r="E93" s="452">
        <v>9</v>
      </c>
      <c r="F93" s="451">
        <v>18</v>
      </c>
      <c r="G93" s="451">
        <v>21</v>
      </c>
      <c r="H93" s="451">
        <v>21</v>
      </c>
      <c r="I93" s="477">
        <v>24</v>
      </c>
      <c r="J93" s="450">
        <v>6</v>
      </c>
      <c r="K93" s="450">
        <v>27</v>
      </c>
      <c r="L93" s="473">
        <v>21</v>
      </c>
      <c r="M93" s="474">
        <v>3</v>
      </c>
      <c r="N93" s="452">
        <v>24</v>
      </c>
      <c r="O93" s="1201">
        <v>21</v>
      </c>
      <c r="P93" s="1195">
        <v>3</v>
      </c>
    </row>
    <row r="94" spans="1:16" ht="11.1" customHeight="1">
      <c r="A94" s="262"/>
      <c r="B94" s="449" t="s">
        <v>69</v>
      </c>
      <c r="C94" s="450">
        <v>1227</v>
      </c>
      <c r="D94" s="451">
        <v>1065</v>
      </c>
      <c r="E94" s="452">
        <v>162</v>
      </c>
      <c r="F94" s="451">
        <v>414</v>
      </c>
      <c r="G94" s="451">
        <v>438</v>
      </c>
      <c r="H94" s="451">
        <v>375</v>
      </c>
      <c r="I94" s="477">
        <v>483</v>
      </c>
      <c r="J94" s="450">
        <v>156</v>
      </c>
      <c r="K94" s="450">
        <v>408</v>
      </c>
      <c r="L94" s="451">
        <v>369</v>
      </c>
      <c r="M94" s="452">
        <v>39</v>
      </c>
      <c r="N94" s="452">
        <v>360</v>
      </c>
      <c r="O94" s="1194">
        <v>324</v>
      </c>
      <c r="P94" s="1195">
        <v>39</v>
      </c>
    </row>
    <row r="95" spans="1:16" ht="11.1" customHeight="1">
      <c r="A95" s="262"/>
      <c r="B95" s="449" t="s">
        <v>70</v>
      </c>
      <c r="C95" s="450">
        <v>54</v>
      </c>
      <c r="D95" s="451">
        <v>39</v>
      </c>
      <c r="E95" s="452">
        <v>15</v>
      </c>
      <c r="F95" s="451">
        <v>15</v>
      </c>
      <c r="G95" s="451">
        <v>18</v>
      </c>
      <c r="H95" s="451">
        <v>21</v>
      </c>
      <c r="I95" s="477">
        <v>18</v>
      </c>
      <c r="J95" s="450">
        <v>6</v>
      </c>
      <c r="K95" s="450">
        <v>18</v>
      </c>
      <c r="L95" s="473">
        <v>12</v>
      </c>
      <c r="M95" s="474">
        <v>6</v>
      </c>
      <c r="N95" s="452">
        <v>18</v>
      </c>
      <c r="O95" s="1201">
        <v>12</v>
      </c>
      <c r="P95" s="1195">
        <v>6</v>
      </c>
    </row>
    <row r="96" spans="1:16" ht="11.1" customHeight="1">
      <c r="A96" s="262"/>
      <c r="B96" s="436" t="s">
        <v>71</v>
      </c>
      <c r="C96" s="450">
        <v>36</v>
      </c>
      <c r="D96" s="451">
        <v>18</v>
      </c>
      <c r="E96" s="452">
        <v>18</v>
      </c>
      <c r="F96" s="451">
        <v>9</v>
      </c>
      <c r="G96" s="451">
        <v>18</v>
      </c>
      <c r="H96" s="451">
        <v>9</v>
      </c>
      <c r="I96" s="477">
        <v>18</v>
      </c>
      <c r="J96" s="450">
        <v>6</v>
      </c>
      <c r="K96" s="450">
        <v>12</v>
      </c>
      <c r="L96" s="473">
        <v>6</v>
      </c>
      <c r="M96" s="474">
        <v>6</v>
      </c>
      <c r="N96" s="452">
        <v>12</v>
      </c>
      <c r="O96" s="1201">
        <v>6</v>
      </c>
      <c r="P96" s="1195">
        <v>6</v>
      </c>
    </row>
    <row r="97" spans="1:16" ht="3" customHeight="1" thickBot="1">
      <c r="A97" s="475"/>
      <c r="B97" s="266"/>
      <c r="C97" s="460"/>
      <c r="D97" s="457"/>
      <c r="E97" s="458"/>
      <c r="F97" s="457"/>
      <c r="G97" s="457"/>
      <c r="H97" s="459"/>
      <c r="I97" s="456"/>
      <c r="J97" s="460"/>
      <c r="K97" s="456"/>
      <c r="L97" s="457"/>
      <c r="M97" s="461"/>
      <c r="N97" s="480"/>
      <c r="O97" s="481"/>
      <c r="P97" s="1202"/>
    </row>
    <row r="98" spans="1:16" ht="3" customHeight="1">
      <c r="A98" s="476"/>
      <c r="B98" s="82"/>
      <c r="C98" s="451"/>
      <c r="D98" s="451"/>
      <c r="E98" s="447"/>
      <c r="F98" s="451"/>
      <c r="G98" s="451"/>
      <c r="H98" s="451"/>
      <c r="I98" s="451"/>
      <c r="J98" s="451"/>
      <c r="K98" s="451"/>
      <c r="L98" s="451"/>
      <c r="M98" s="462"/>
      <c r="N98" s="663"/>
      <c r="O98" s="82"/>
      <c r="P98" s="563"/>
    </row>
    <row r="99" spans="1:16">
      <c r="A99" s="63" t="s">
        <v>158</v>
      </c>
      <c r="B99" s="40"/>
      <c r="C99" s="463"/>
      <c r="D99" s="463"/>
      <c r="E99" s="463"/>
      <c r="F99" s="463"/>
      <c r="G99" s="463"/>
      <c r="H99" s="463"/>
      <c r="I99" s="464" t="s">
        <v>204</v>
      </c>
      <c r="K99" s="464"/>
      <c r="L99" s="464"/>
      <c r="M99" s="463"/>
      <c r="N99" s="463"/>
      <c r="O99" s="82"/>
      <c r="P99" s="82"/>
    </row>
    <row r="100" spans="1:16" ht="12" thickBot="1">
      <c r="A100" s="465"/>
      <c r="B100" s="409"/>
      <c r="C100" s="467"/>
      <c r="D100" s="467"/>
      <c r="E100" s="467"/>
      <c r="F100" s="467"/>
      <c r="G100" s="467"/>
      <c r="H100" s="467"/>
      <c r="I100" s="467"/>
      <c r="J100" s="467"/>
      <c r="K100" s="467"/>
      <c r="L100" s="467"/>
      <c r="M100" s="467"/>
      <c r="N100" s="462"/>
      <c r="O100" s="82"/>
      <c r="P100" s="82"/>
    </row>
    <row r="101" spans="1:16" ht="18" customHeight="1">
      <c r="A101" s="395"/>
      <c r="B101" s="433"/>
      <c r="C101" s="1962" t="s">
        <v>360</v>
      </c>
      <c r="D101" s="1963"/>
      <c r="E101" s="1963"/>
      <c r="F101" s="1963"/>
      <c r="G101" s="1963"/>
      <c r="H101" s="2051"/>
      <c r="I101" s="434" t="s">
        <v>0</v>
      </c>
      <c r="J101" s="434" t="s">
        <v>1</v>
      </c>
      <c r="K101" s="1962" t="s">
        <v>106</v>
      </c>
      <c r="L101" s="2053"/>
      <c r="M101" s="2053"/>
      <c r="N101" s="2053"/>
      <c r="O101" s="2053"/>
      <c r="P101" s="2054"/>
    </row>
    <row r="102" spans="1:16" ht="11.1" customHeight="1">
      <c r="A102" s="262"/>
      <c r="B102" s="208"/>
      <c r="C102" s="413"/>
      <c r="D102" s="413"/>
      <c r="E102" s="442"/>
      <c r="F102" s="499"/>
      <c r="G102" s="443"/>
      <c r="H102" s="443"/>
      <c r="I102" s="1216" t="s">
        <v>3</v>
      </c>
      <c r="J102" s="1216" t="s">
        <v>4</v>
      </c>
      <c r="K102" s="413"/>
      <c r="L102" s="413"/>
      <c r="M102" s="442"/>
      <c r="N102" s="1971" t="s">
        <v>300</v>
      </c>
      <c r="O102" s="1972"/>
      <c r="P102" s="1976"/>
    </row>
    <row r="103" spans="1:16" ht="11.1" customHeight="1">
      <c r="A103" s="262"/>
      <c r="B103" s="19" t="s">
        <v>8</v>
      </c>
      <c r="C103" s="519"/>
      <c r="D103" s="519"/>
      <c r="E103" s="1217"/>
      <c r="F103" s="21" t="s">
        <v>167</v>
      </c>
      <c r="G103" s="117"/>
      <c r="H103" s="117"/>
      <c r="I103" s="1216" t="s">
        <v>8</v>
      </c>
      <c r="J103" s="1216" t="s">
        <v>8</v>
      </c>
      <c r="K103" s="519"/>
      <c r="L103" s="519"/>
      <c r="M103" s="1217"/>
      <c r="N103" s="1974"/>
      <c r="O103" s="1975"/>
      <c r="P103" s="1977"/>
    </row>
    <row r="104" spans="1:16" ht="11.1" customHeight="1">
      <c r="A104" s="435" t="s">
        <v>43</v>
      </c>
      <c r="B104" s="19" t="s">
        <v>61</v>
      </c>
      <c r="C104" s="422" t="s">
        <v>19</v>
      </c>
      <c r="D104" s="15" t="s">
        <v>17</v>
      </c>
      <c r="E104" s="15" t="s">
        <v>18</v>
      </c>
      <c r="F104" s="26" t="s">
        <v>302</v>
      </c>
      <c r="G104" s="27"/>
      <c r="H104" s="27"/>
      <c r="I104" s="1216" t="s">
        <v>20</v>
      </c>
      <c r="J104" s="1216" t="s">
        <v>20</v>
      </c>
      <c r="K104" s="418"/>
      <c r="L104" s="418"/>
      <c r="M104" s="1218"/>
      <c r="N104" s="498"/>
      <c r="O104" s="297"/>
      <c r="P104" s="551"/>
    </row>
    <row r="105" spans="1:16" ht="11.1" customHeight="1">
      <c r="A105" s="262"/>
      <c r="B105" s="19" t="s">
        <v>62</v>
      </c>
      <c r="C105" s="422" t="s">
        <v>29</v>
      </c>
      <c r="D105" s="15" t="s">
        <v>28</v>
      </c>
      <c r="E105" s="15" t="s">
        <v>28</v>
      </c>
      <c r="F105" s="420"/>
      <c r="G105" s="421"/>
      <c r="H105" s="421"/>
      <c r="I105" s="1216" t="s">
        <v>33</v>
      </c>
      <c r="J105" s="1216" t="s">
        <v>33</v>
      </c>
      <c r="K105" s="1212" t="s">
        <v>19</v>
      </c>
      <c r="L105" s="15" t="s">
        <v>17</v>
      </c>
      <c r="M105" s="15" t="s">
        <v>18</v>
      </c>
      <c r="N105" s="20" t="s">
        <v>19</v>
      </c>
      <c r="O105" s="1211" t="s">
        <v>17</v>
      </c>
      <c r="P105" s="503" t="s">
        <v>18</v>
      </c>
    </row>
    <row r="106" spans="1:16" ht="11.1" customHeight="1">
      <c r="A106" s="262"/>
      <c r="B106" s="208"/>
      <c r="C106" s="1219"/>
      <c r="D106" s="418"/>
      <c r="E106" s="418"/>
      <c r="F106" s="15" t="s">
        <v>30</v>
      </c>
      <c r="G106" s="1211" t="s">
        <v>31</v>
      </c>
      <c r="H106" s="1211" t="s">
        <v>32</v>
      </c>
      <c r="I106" s="1216" t="s">
        <v>39</v>
      </c>
      <c r="J106" s="1216" t="s">
        <v>39</v>
      </c>
      <c r="K106" s="1212" t="s">
        <v>29</v>
      </c>
      <c r="L106" s="15" t="s">
        <v>28</v>
      </c>
      <c r="M106" s="15" t="s">
        <v>34</v>
      </c>
      <c r="N106" s="20" t="s">
        <v>29</v>
      </c>
      <c r="O106" s="1211" t="s">
        <v>28</v>
      </c>
      <c r="P106" s="503" t="s">
        <v>34</v>
      </c>
    </row>
    <row r="107" spans="1:16" ht="11.1" customHeight="1">
      <c r="A107" s="394"/>
      <c r="B107" s="425"/>
      <c r="C107" s="437"/>
      <c r="D107" s="438"/>
      <c r="E107" s="438"/>
      <c r="F107" s="436"/>
      <c r="G107" s="439"/>
      <c r="H107" s="439"/>
      <c r="I107" s="440"/>
      <c r="J107" s="440"/>
      <c r="K107" s="441"/>
      <c r="L107" s="438"/>
      <c r="M107" s="438"/>
      <c r="N107" s="553"/>
      <c r="O107" s="426"/>
      <c r="P107" s="518"/>
    </row>
    <row r="108" spans="1:16" ht="14.1" customHeight="1">
      <c r="A108" s="1222" t="s">
        <v>175</v>
      </c>
      <c r="B108" s="1221" t="s">
        <v>64</v>
      </c>
      <c r="C108" s="1223">
        <f>SUM(C109:C115)</f>
        <v>1926</v>
      </c>
      <c r="D108" s="1224">
        <f>SUM(D109:D115)</f>
        <v>1500</v>
      </c>
      <c r="E108" s="1225">
        <f t="shared" ref="E108:P108" si="9">SUM(E109:E115)</f>
        <v>423</v>
      </c>
      <c r="F108" s="1224">
        <f t="shared" si="9"/>
        <v>570</v>
      </c>
      <c r="G108" s="1225">
        <f t="shared" si="9"/>
        <v>642</v>
      </c>
      <c r="H108" s="1225">
        <f t="shared" si="9"/>
        <v>714</v>
      </c>
      <c r="I108" s="1226">
        <f t="shared" si="9"/>
        <v>738</v>
      </c>
      <c r="J108" s="1227">
        <f t="shared" si="9"/>
        <v>192</v>
      </c>
      <c r="K108" s="1227">
        <f t="shared" si="9"/>
        <v>705</v>
      </c>
      <c r="L108" s="1226">
        <f t="shared" si="9"/>
        <v>528</v>
      </c>
      <c r="M108" s="1228">
        <f t="shared" si="9"/>
        <v>177</v>
      </c>
      <c r="N108" s="1226">
        <f>SUM(N109:N115)</f>
        <v>597</v>
      </c>
      <c r="O108" s="1226">
        <f t="shared" si="9"/>
        <v>441</v>
      </c>
      <c r="P108" s="1193">
        <f t="shared" si="9"/>
        <v>156</v>
      </c>
    </row>
    <row r="109" spans="1:16" ht="11.1" customHeight="1">
      <c r="A109" s="262"/>
      <c r="B109" s="449" t="s">
        <v>65</v>
      </c>
      <c r="C109" s="450">
        <v>444</v>
      </c>
      <c r="D109" s="451">
        <v>225</v>
      </c>
      <c r="E109" s="452">
        <v>219</v>
      </c>
      <c r="F109" s="451">
        <v>132</v>
      </c>
      <c r="G109" s="451">
        <v>144</v>
      </c>
      <c r="H109" s="451">
        <v>168</v>
      </c>
      <c r="I109" s="477">
        <v>180</v>
      </c>
      <c r="J109" s="450">
        <v>45</v>
      </c>
      <c r="K109" s="450">
        <v>138</v>
      </c>
      <c r="L109" s="451">
        <v>66</v>
      </c>
      <c r="M109" s="452">
        <v>72</v>
      </c>
      <c r="N109" s="452">
        <v>126</v>
      </c>
      <c r="O109" s="1194">
        <v>60</v>
      </c>
      <c r="P109" s="1195">
        <v>66</v>
      </c>
    </row>
    <row r="110" spans="1:16" ht="11.1" customHeight="1">
      <c r="A110" s="262"/>
      <c r="B110" s="449" t="s">
        <v>66</v>
      </c>
      <c r="C110" s="450">
        <v>93</v>
      </c>
      <c r="D110" s="451">
        <v>66</v>
      </c>
      <c r="E110" s="452">
        <v>30</v>
      </c>
      <c r="F110" s="451">
        <v>24</v>
      </c>
      <c r="G110" s="451">
        <v>39</v>
      </c>
      <c r="H110" s="451">
        <v>30</v>
      </c>
      <c r="I110" s="477">
        <v>42</v>
      </c>
      <c r="J110" s="450">
        <v>6</v>
      </c>
      <c r="K110" s="450">
        <v>48</v>
      </c>
      <c r="L110" s="451">
        <v>27</v>
      </c>
      <c r="M110" s="452">
        <v>21</v>
      </c>
      <c r="N110" s="452">
        <v>48</v>
      </c>
      <c r="O110" s="1194">
        <v>27</v>
      </c>
      <c r="P110" s="1195">
        <v>21</v>
      </c>
    </row>
    <row r="111" spans="1:16" ht="11.1" customHeight="1">
      <c r="A111" s="262"/>
      <c r="B111" s="449" t="s">
        <v>67</v>
      </c>
      <c r="C111" s="450">
        <v>81</v>
      </c>
      <c r="D111" s="451">
        <v>57</v>
      </c>
      <c r="E111" s="452">
        <v>24</v>
      </c>
      <c r="F111" s="451">
        <v>18</v>
      </c>
      <c r="G111" s="451">
        <v>33</v>
      </c>
      <c r="H111" s="451">
        <v>30</v>
      </c>
      <c r="I111" s="477">
        <v>24</v>
      </c>
      <c r="J111" s="450">
        <v>12</v>
      </c>
      <c r="K111" s="450">
        <v>39</v>
      </c>
      <c r="L111" s="451">
        <v>27</v>
      </c>
      <c r="M111" s="452">
        <v>12</v>
      </c>
      <c r="N111" s="452">
        <v>33</v>
      </c>
      <c r="O111" s="1194">
        <v>24</v>
      </c>
      <c r="P111" s="1195">
        <v>9</v>
      </c>
    </row>
    <row r="112" spans="1:16" ht="11.1" customHeight="1">
      <c r="A112" s="262"/>
      <c r="B112" s="449" t="s">
        <v>68</v>
      </c>
      <c r="C112" s="450">
        <v>18</v>
      </c>
      <c r="D112" s="451">
        <v>12</v>
      </c>
      <c r="E112" s="452">
        <v>3</v>
      </c>
      <c r="F112" s="451">
        <v>3</v>
      </c>
      <c r="G112" s="451">
        <v>3</v>
      </c>
      <c r="H112" s="451">
        <v>9</v>
      </c>
      <c r="I112" s="477">
        <v>6</v>
      </c>
      <c r="J112" s="450">
        <v>0</v>
      </c>
      <c r="K112" s="450">
        <v>3</v>
      </c>
      <c r="L112" s="473">
        <v>3</v>
      </c>
      <c r="M112" s="474">
        <v>0</v>
      </c>
      <c r="N112" s="452">
        <v>3</v>
      </c>
      <c r="O112" s="1201">
        <v>3</v>
      </c>
      <c r="P112" s="1195">
        <v>0</v>
      </c>
    </row>
    <row r="113" spans="1:16" ht="11.1" customHeight="1">
      <c r="A113" s="262"/>
      <c r="B113" s="449" t="s">
        <v>69</v>
      </c>
      <c r="C113" s="450">
        <v>1227</v>
      </c>
      <c r="D113" s="451">
        <v>1107</v>
      </c>
      <c r="E113" s="452">
        <v>117</v>
      </c>
      <c r="F113" s="451">
        <v>375</v>
      </c>
      <c r="G113" s="451">
        <v>399</v>
      </c>
      <c r="H113" s="451">
        <v>453</v>
      </c>
      <c r="I113" s="477">
        <v>462</v>
      </c>
      <c r="J113" s="450">
        <v>123</v>
      </c>
      <c r="K113" s="450">
        <v>447</v>
      </c>
      <c r="L113" s="451">
        <v>393</v>
      </c>
      <c r="M113" s="452">
        <v>54</v>
      </c>
      <c r="N113" s="452">
        <v>357</v>
      </c>
      <c r="O113" s="1194">
        <v>315</v>
      </c>
      <c r="P113" s="1195">
        <v>42</v>
      </c>
    </row>
    <row r="114" spans="1:16" ht="11.1" customHeight="1">
      <c r="A114" s="262"/>
      <c r="B114" s="449" t="s">
        <v>70</v>
      </c>
      <c r="C114" s="450">
        <v>21</v>
      </c>
      <c r="D114" s="451">
        <v>12</v>
      </c>
      <c r="E114" s="452">
        <v>9</v>
      </c>
      <c r="F114" s="451">
        <v>6</v>
      </c>
      <c r="G114" s="451">
        <v>12</v>
      </c>
      <c r="H114" s="451">
        <v>6</v>
      </c>
      <c r="I114" s="477">
        <v>6</v>
      </c>
      <c r="J114" s="450">
        <v>3</v>
      </c>
      <c r="K114" s="450">
        <v>9</v>
      </c>
      <c r="L114" s="451">
        <v>6</v>
      </c>
      <c r="M114" s="452">
        <v>0</v>
      </c>
      <c r="N114" s="452">
        <v>9</v>
      </c>
      <c r="O114" s="1194">
        <v>6</v>
      </c>
      <c r="P114" s="1195">
        <v>0</v>
      </c>
    </row>
    <row r="115" spans="1:16" ht="11.1" customHeight="1">
      <c r="A115" s="262"/>
      <c r="B115" s="436" t="s">
        <v>71</v>
      </c>
      <c r="C115" s="450">
        <v>42</v>
      </c>
      <c r="D115" s="451">
        <v>21</v>
      </c>
      <c r="E115" s="452">
        <v>21</v>
      </c>
      <c r="F115" s="451">
        <v>12</v>
      </c>
      <c r="G115" s="451">
        <v>12</v>
      </c>
      <c r="H115" s="451">
        <v>18</v>
      </c>
      <c r="I115" s="477">
        <v>18</v>
      </c>
      <c r="J115" s="450">
        <v>3</v>
      </c>
      <c r="K115" s="450">
        <v>21</v>
      </c>
      <c r="L115" s="473">
        <v>6</v>
      </c>
      <c r="M115" s="474">
        <v>18</v>
      </c>
      <c r="N115" s="452">
        <v>21</v>
      </c>
      <c r="O115" s="1201">
        <v>6</v>
      </c>
      <c r="P115" s="1195">
        <v>18</v>
      </c>
    </row>
    <row r="116" spans="1:16" ht="3" customHeight="1">
      <c r="A116" s="262"/>
      <c r="B116" s="436"/>
      <c r="C116" s="450"/>
      <c r="D116" s="451"/>
      <c r="E116" s="452"/>
      <c r="F116" s="451"/>
      <c r="G116" s="451"/>
      <c r="H116" s="452"/>
      <c r="I116" s="477"/>
      <c r="J116" s="450"/>
      <c r="K116" s="446"/>
      <c r="L116" s="451"/>
      <c r="M116" s="452"/>
      <c r="N116" s="452"/>
      <c r="O116" s="739"/>
      <c r="P116" s="1196"/>
    </row>
    <row r="117" spans="1:16">
      <c r="A117" s="981" t="s">
        <v>176</v>
      </c>
      <c r="B117" s="989" t="s">
        <v>64</v>
      </c>
      <c r="C117" s="446">
        <f>SUM(C118:C124)</f>
        <v>204</v>
      </c>
      <c r="D117" s="983">
        <f>SUM(D118:D124)</f>
        <v>171</v>
      </c>
      <c r="E117" s="447">
        <f t="shared" ref="E117:P117" si="10">SUM(E118:E124)</f>
        <v>33</v>
      </c>
      <c r="F117" s="983">
        <f t="shared" si="10"/>
        <v>66</v>
      </c>
      <c r="G117" s="447">
        <f t="shared" si="10"/>
        <v>63</v>
      </c>
      <c r="H117" s="447">
        <f t="shared" si="10"/>
        <v>81</v>
      </c>
      <c r="I117" s="1047">
        <f t="shared" si="10"/>
        <v>84</v>
      </c>
      <c r="J117" s="567">
        <f t="shared" si="10"/>
        <v>33</v>
      </c>
      <c r="K117" s="983">
        <f>SUM(K118:K124)</f>
        <v>75</v>
      </c>
      <c r="L117" s="983">
        <f t="shared" si="10"/>
        <v>63</v>
      </c>
      <c r="M117" s="447">
        <f t="shared" si="10"/>
        <v>6</v>
      </c>
      <c r="N117" s="567">
        <f>SUM(N118:N124)</f>
        <v>51</v>
      </c>
      <c r="O117" s="1192">
        <f t="shared" si="10"/>
        <v>42</v>
      </c>
      <c r="P117" s="1193">
        <f t="shared" si="10"/>
        <v>6</v>
      </c>
    </row>
    <row r="118" spans="1:16" ht="11.1" customHeight="1">
      <c r="A118" s="262"/>
      <c r="B118" s="449" t="s">
        <v>65</v>
      </c>
      <c r="C118" s="450">
        <v>30</v>
      </c>
      <c r="D118" s="451">
        <v>18</v>
      </c>
      <c r="E118" s="452">
        <v>12</v>
      </c>
      <c r="F118" s="451">
        <v>12</v>
      </c>
      <c r="G118" s="451">
        <v>12</v>
      </c>
      <c r="H118" s="451">
        <v>6</v>
      </c>
      <c r="I118" s="477">
        <v>12</v>
      </c>
      <c r="J118" s="450">
        <v>3</v>
      </c>
      <c r="K118" s="450">
        <v>9</v>
      </c>
      <c r="L118" s="473">
        <v>3</v>
      </c>
      <c r="M118" s="474">
        <v>3</v>
      </c>
      <c r="N118" s="452">
        <v>6</v>
      </c>
      <c r="O118" s="1201">
        <v>3</v>
      </c>
      <c r="P118" s="1195">
        <v>3</v>
      </c>
    </row>
    <row r="119" spans="1:16" ht="11.1" customHeight="1">
      <c r="A119" s="262"/>
      <c r="B119" s="449" t="s">
        <v>66</v>
      </c>
      <c r="C119" s="450">
        <v>0</v>
      </c>
      <c r="D119" s="451">
        <v>0</v>
      </c>
      <c r="E119" s="452">
        <v>0</v>
      </c>
      <c r="F119" s="451">
        <v>0</v>
      </c>
      <c r="G119" s="451">
        <v>0</v>
      </c>
      <c r="H119" s="451">
        <v>0</v>
      </c>
      <c r="I119" s="477">
        <v>0</v>
      </c>
      <c r="J119" s="450">
        <v>0</v>
      </c>
      <c r="K119" s="450">
        <v>0</v>
      </c>
      <c r="L119" s="473">
        <v>0</v>
      </c>
      <c r="M119" s="474">
        <v>0</v>
      </c>
      <c r="N119" s="452">
        <v>0</v>
      </c>
      <c r="O119" s="1201">
        <v>0</v>
      </c>
      <c r="P119" s="1195">
        <v>0</v>
      </c>
    </row>
    <row r="120" spans="1:16" ht="11.1" customHeight="1">
      <c r="A120" s="262"/>
      <c r="B120" s="449" t="s">
        <v>67</v>
      </c>
      <c r="C120" s="450">
        <v>15</v>
      </c>
      <c r="D120" s="451">
        <v>12</v>
      </c>
      <c r="E120" s="452">
        <v>3</v>
      </c>
      <c r="F120" s="451">
        <v>6</v>
      </c>
      <c r="G120" s="451">
        <v>3</v>
      </c>
      <c r="H120" s="452">
        <v>9</v>
      </c>
      <c r="I120" s="477">
        <v>6</v>
      </c>
      <c r="J120" s="450">
        <v>3</v>
      </c>
      <c r="K120" s="450">
        <v>6</v>
      </c>
      <c r="L120" s="473">
        <v>6</v>
      </c>
      <c r="M120" s="474">
        <v>0</v>
      </c>
      <c r="N120" s="452">
        <v>6</v>
      </c>
      <c r="O120" s="1201">
        <v>6</v>
      </c>
      <c r="P120" s="1195">
        <v>0</v>
      </c>
    </row>
    <row r="121" spans="1:16" ht="11.1" customHeight="1">
      <c r="A121" s="262"/>
      <c r="B121" s="449" t="s">
        <v>68</v>
      </c>
      <c r="C121" s="450">
        <v>0</v>
      </c>
      <c r="D121" s="451">
        <v>0</v>
      </c>
      <c r="E121" s="452">
        <v>0</v>
      </c>
      <c r="F121" s="451">
        <v>0</v>
      </c>
      <c r="G121" s="451">
        <v>0</v>
      </c>
      <c r="H121" s="452">
        <v>0</v>
      </c>
      <c r="I121" s="477">
        <v>0</v>
      </c>
      <c r="J121" s="450">
        <v>0</v>
      </c>
      <c r="K121" s="450">
        <v>0</v>
      </c>
      <c r="L121" s="473">
        <v>0</v>
      </c>
      <c r="M121" s="474">
        <v>0</v>
      </c>
      <c r="N121" s="452">
        <v>0</v>
      </c>
      <c r="O121" s="1201">
        <v>0</v>
      </c>
      <c r="P121" s="1195">
        <v>0</v>
      </c>
    </row>
    <row r="122" spans="1:16" ht="11.1" customHeight="1">
      <c r="A122" s="262"/>
      <c r="B122" s="449" t="s">
        <v>69</v>
      </c>
      <c r="C122" s="450">
        <v>156</v>
      </c>
      <c r="D122" s="451">
        <v>141</v>
      </c>
      <c r="E122" s="452">
        <v>15</v>
      </c>
      <c r="F122" s="451">
        <v>48</v>
      </c>
      <c r="G122" s="451">
        <v>45</v>
      </c>
      <c r="H122" s="452">
        <v>66</v>
      </c>
      <c r="I122" s="477">
        <v>63</v>
      </c>
      <c r="J122" s="450">
        <v>24</v>
      </c>
      <c r="K122" s="450">
        <v>60</v>
      </c>
      <c r="L122" s="1197">
        <v>54</v>
      </c>
      <c r="M122" s="452">
        <v>3</v>
      </c>
      <c r="N122" s="452">
        <v>39</v>
      </c>
      <c r="O122" s="1194">
        <v>33</v>
      </c>
      <c r="P122" s="1195">
        <v>3</v>
      </c>
    </row>
    <row r="123" spans="1:16" ht="11.1" customHeight="1">
      <c r="A123" s="262"/>
      <c r="B123" s="449" t="s">
        <v>70</v>
      </c>
      <c r="C123" s="450">
        <v>3</v>
      </c>
      <c r="D123" s="451">
        <v>0</v>
      </c>
      <c r="E123" s="452">
        <v>3</v>
      </c>
      <c r="F123" s="451">
        <v>0</v>
      </c>
      <c r="G123" s="451">
        <v>3</v>
      </c>
      <c r="H123" s="452">
        <v>0</v>
      </c>
      <c r="I123" s="477">
        <v>3</v>
      </c>
      <c r="J123" s="450">
        <v>3</v>
      </c>
      <c r="K123" s="450">
        <v>0</v>
      </c>
      <c r="L123" s="451">
        <v>0</v>
      </c>
      <c r="M123" s="452">
        <v>0</v>
      </c>
      <c r="N123" s="452">
        <v>0</v>
      </c>
      <c r="O123" s="1194">
        <v>0</v>
      </c>
      <c r="P123" s="1195">
        <v>0</v>
      </c>
    </row>
    <row r="124" spans="1:16" ht="11.1" customHeight="1">
      <c r="A124" s="262"/>
      <c r="B124" s="436" t="s">
        <v>71</v>
      </c>
      <c r="C124" s="450">
        <v>0</v>
      </c>
      <c r="D124" s="451">
        <v>0</v>
      </c>
      <c r="E124" s="452">
        <v>0</v>
      </c>
      <c r="F124" s="451">
        <v>0</v>
      </c>
      <c r="G124" s="451">
        <v>0</v>
      </c>
      <c r="H124" s="452">
        <v>0</v>
      </c>
      <c r="I124" s="477">
        <v>0</v>
      </c>
      <c r="J124" s="450">
        <v>0</v>
      </c>
      <c r="K124" s="450">
        <v>0</v>
      </c>
      <c r="L124" s="473">
        <v>0</v>
      </c>
      <c r="M124" s="474">
        <v>0</v>
      </c>
      <c r="N124" s="452">
        <v>0</v>
      </c>
      <c r="O124" s="1201">
        <v>0</v>
      </c>
      <c r="P124" s="1195">
        <v>0</v>
      </c>
    </row>
    <row r="125" spans="1:16" s="11" customFormat="1" ht="3" customHeight="1">
      <c r="A125" s="262"/>
      <c r="B125" s="436"/>
      <c r="C125" s="446"/>
      <c r="D125" s="451"/>
      <c r="E125" s="452"/>
      <c r="F125" s="451"/>
      <c r="G125" s="451"/>
      <c r="H125" s="452"/>
      <c r="I125" s="477"/>
      <c r="J125" s="450"/>
      <c r="K125" s="446"/>
      <c r="L125" s="451"/>
      <c r="M125" s="452"/>
      <c r="N125" s="452"/>
      <c r="O125" s="739"/>
      <c r="P125" s="1198"/>
    </row>
    <row r="126" spans="1:16">
      <c r="A126" s="981" t="s">
        <v>177</v>
      </c>
      <c r="B126" s="989" t="s">
        <v>64</v>
      </c>
      <c r="C126" s="446">
        <f>SUM(C127:C133)</f>
        <v>471</v>
      </c>
      <c r="D126" s="983">
        <f>SUM(D127:D133)</f>
        <v>369</v>
      </c>
      <c r="E126" s="447">
        <f t="shared" ref="E126:P126" si="11">SUM(E127:E133)</f>
        <v>105</v>
      </c>
      <c r="F126" s="983">
        <f t="shared" si="11"/>
        <v>129</v>
      </c>
      <c r="G126" s="447">
        <f t="shared" si="11"/>
        <v>159</v>
      </c>
      <c r="H126" s="447">
        <f t="shared" si="11"/>
        <v>186</v>
      </c>
      <c r="I126" s="1047">
        <f t="shared" si="11"/>
        <v>159</v>
      </c>
      <c r="J126" s="567">
        <f t="shared" si="11"/>
        <v>48</v>
      </c>
      <c r="K126" s="983">
        <f>SUM(K127:K133)</f>
        <v>162</v>
      </c>
      <c r="L126" s="983">
        <f t="shared" si="11"/>
        <v>126</v>
      </c>
      <c r="M126" s="447">
        <f t="shared" si="11"/>
        <v>36</v>
      </c>
      <c r="N126" s="567">
        <f>SUM(N127:N133)</f>
        <v>120</v>
      </c>
      <c r="O126" s="1192">
        <f t="shared" si="11"/>
        <v>87</v>
      </c>
      <c r="P126" s="1193">
        <f t="shared" si="11"/>
        <v>30</v>
      </c>
    </row>
    <row r="127" spans="1:16" ht="11.1" customHeight="1">
      <c r="A127" s="262"/>
      <c r="B127" s="449" t="s">
        <v>65</v>
      </c>
      <c r="C127" s="450">
        <v>42</v>
      </c>
      <c r="D127" s="451">
        <v>21</v>
      </c>
      <c r="E127" s="452">
        <v>21</v>
      </c>
      <c r="F127" s="451">
        <v>18</v>
      </c>
      <c r="G127" s="451">
        <v>15</v>
      </c>
      <c r="H127" s="452">
        <v>9</v>
      </c>
      <c r="I127" s="477">
        <v>21</v>
      </c>
      <c r="J127" s="450">
        <v>6</v>
      </c>
      <c r="K127" s="450">
        <v>21</v>
      </c>
      <c r="L127" s="451">
        <v>6</v>
      </c>
      <c r="M127" s="452">
        <v>15</v>
      </c>
      <c r="N127" s="452">
        <v>18</v>
      </c>
      <c r="O127" s="1194">
        <v>3</v>
      </c>
      <c r="P127" s="1195">
        <v>12</v>
      </c>
    </row>
    <row r="128" spans="1:16" ht="11.1" customHeight="1">
      <c r="A128" s="262"/>
      <c r="B128" s="449" t="s">
        <v>66</v>
      </c>
      <c r="C128" s="450">
        <v>0</v>
      </c>
      <c r="D128" s="451">
        <v>0</v>
      </c>
      <c r="E128" s="452">
        <v>0</v>
      </c>
      <c r="F128" s="451">
        <v>0</v>
      </c>
      <c r="G128" s="451">
        <v>0</v>
      </c>
      <c r="H128" s="452">
        <v>0</v>
      </c>
      <c r="I128" s="477">
        <v>0</v>
      </c>
      <c r="J128" s="450">
        <v>0</v>
      </c>
      <c r="K128" s="450">
        <v>0</v>
      </c>
      <c r="L128" s="451">
        <v>0</v>
      </c>
      <c r="M128" s="452">
        <v>0</v>
      </c>
      <c r="N128" s="452">
        <v>0</v>
      </c>
      <c r="O128" s="1194">
        <v>0</v>
      </c>
      <c r="P128" s="1195">
        <v>0</v>
      </c>
    </row>
    <row r="129" spans="1:16" ht="11.1" customHeight="1">
      <c r="A129" s="262"/>
      <c r="B129" s="449" t="s">
        <v>67</v>
      </c>
      <c r="C129" s="450">
        <v>12</v>
      </c>
      <c r="D129" s="451">
        <v>12</v>
      </c>
      <c r="E129" s="452">
        <v>3</v>
      </c>
      <c r="F129" s="451">
        <v>3</v>
      </c>
      <c r="G129" s="451">
        <v>6</v>
      </c>
      <c r="H129" s="452">
        <v>3</v>
      </c>
      <c r="I129" s="477">
        <v>3</v>
      </c>
      <c r="J129" s="450">
        <v>0</v>
      </c>
      <c r="K129" s="450">
        <v>3</v>
      </c>
      <c r="L129" s="451">
        <v>3</v>
      </c>
      <c r="M129" s="452">
        <v>0</v>
      </c>
      <c r="N129" s="452">
        <v>3</v>
      </c>
      <c r="O129" s="1194">
        <v>3</v>
      </c>
      <c r="P129" s="1195">
        <v>0</v>
      </c>
    </row>
    <row r="130" spans="1:16" ht="11.1" customHeight="1">
      <c r="A130" s="262"/>
      <c r="B130" s="449" t="s">
        <v>68</v>
      </c>
      <c r="C130" s="450">
        <v>0</v>
      </c>
      <c r="D130" s="451">
        <v>0</v>
      </c>
      <c r="E130" s="452">
        <v>0</v>
      </c>
      <c r="F130" s="451">
        <v>0</v>
      </c>
      <c r="G130" s="451">
        <v>0</v>
      </c>
      <c r="H130" s="452">
        <v>0</v>
      </c>
      <c r="I130" s="477">
        <v>0</v>
      </c>
      <c r="J130" s="450">
        <v>0</v>
      </c>
      <c r="K130" s="450">
        <v>0</v>
      </c>
      <c r="L130" s="451">
        <v>0</v>
      </c>
      <c r="M130" s="452">
        <v>0</v>
      </c>
      <c r="N130" s="452">
        <v>0</v>
      </c>
      <c r="O130" s="1194">
        <v>0</v>
      </c>
      <c r="P130" s="1195">
        <v>0</v>
      </c>
    </row>
    <row r="131" spans="1:16" ht="11.1" customHeight="1">
      <c r="A131" s="262"/>
      <c r="B131" s="449" t="s">
        <v>69</v>
      </c>
      <c r="C131" s="450">
        <v>402</v>
      </c>
      <c r="D131" s="451">
        <v>327</v>
      </c>
      <c r="E131" s="452">
        <v>75</v>
      </c>
      <c r="F131" s="451">
        <v>102</v>
      </c>
      <c r="G131" s="451">
        <v>132</v>
      </c>
      <c r="H131" s="452">
        <v>168</v>
      </c>
      <c r="I131" s="477">
        <v>129</v>
      </c>
      <c r="J131" s="450">
        <v>42</v>
      </c>
      <c r="K131" s="450">
        <v>135</v>
      </c>
      <c r="L131" s="451">
        <v>114</v>
      </c>
      <c r="M131" s="452">
        <v>21</v>
      </c>
      <c r="N131" s="452">
        <v>96</v>
      </c>
      <c r="O131" s="1194">
        <v>78</v>
      </c>
      <c r="P131" s="1195">
        <v>18</v>
      </c>
    </row>
    <row r="132" spans="1:16" ht="11.1" customHeight="1">
      <c r="A132" s="262"/>
      <c r="B132" s="449" t="s">
        <v>70</v>
      </c>
      <c r="C132" s="450">
        <v>12</v>
      </c>
      <c r="D132" s="451">
        <v>9</v>
      </c>
      <c r="E132" s="452">
        <v>3</v>
      </c>
      <c r="F132" s="451">
        <v>6</v>
      </c>
      <c r="G132" s="451">
        <v>3</v>
      </c>
      <c r="H132" s="452">
        <v>3</v>
      </c>
      <c r="I132" s="477">
        <v>6</v>
      </c>
      <c r="J132" s="450">
        <v>0</v>
      </c>
      <c r="K132" s="450">
        <v>3</v>
      </c>
      <c r="L132" s="451">
        <v>3</v>
      </c>
      <c r="M132" s="452">
        <v>0</v>
      </c>
      <c r="N132" s="452">
        <v>3</v>
      </c>
      <c r="O132" s="1194">
        <v>3</v>
      </c>
      <c r="P132" s="1195">
        <v>0</v>
      </c>
    </row>
    <row r="133" spans="1:16" ht="11.1" customHeight="1">
      <c r="A133" s="262"/>
      <c r="B133" s="436" t="s">
        <v>71</v>
      </c>
      <c r="C133" s="450">
        <v>3</v>
      </c>
      <c r="D133" s="451">
        <v>0</v>
      </c>
      <c r="E133" s="452">
        <v>3</v>
      </c>
      <c r="F133" s="451">
        <v>0</v>
      </c>
      <c r="G133" s="451">
        <v>3</v>
      </c>
      <c r="H133" s="452">
        <v>3</v>
      </c>
      <c r="I133" s="477">
        <v>0</v>
      </c>
      <c r="J133" s="450">
        <v>0</v>
      </c>
      <c r="K133" s="450">
        <v>0</v>
      </c>
      <c r="L133" s="451">
        <v>0</v>
      </c>
      <c r="M133" s="452">
        <v>0</v>
      </c>
      <c r="N133" s="452">
        <v>0</v>
      </c>
      <c r="O133" s="1194">
        <v>0</v>
      </c>
      <c r="P133" s="1195">
        <v>0</v>
      </c>
    </row>
    <row r="134" spans="1:16" s="11" customFormat="1" ht="3" customHeight="1">
      <c r="A134" s="262"/>
      <c r="B134" s="436"/>
      <c r="C134" s="446"/>
      <c r="D134" s="451"/>
      <c r="E134" s="452"/>
      <c r="F134" s="451"/>
      <c r="G134" s="451"/>
      <c r="H134" s="452"/>
      <c r="I134" s="477"/>
      <c r="J134" s="450"/>
      <c r="K134" s="446"/>
      <c r="L134" s="451"/>
      <c r="M134" s="452"/>
      <c r="N134" s="452"/>
      <c r="O134" s="467"/>
      <c r="P134" s="1200"/>
    </row>
    <row r="135" spans="1:16">
      <c r="A135" s="981" t="s">
        <v>178</v>
      </c>
      <c r="B135" s="989" t="s">
        <v>64</v>
      </c>
      <c r="C135" s="446">
        <f>SUM(C136:C142)</f>
        <v>198</v>
      </c>
      <c r="D135" s="983">
        <f>SUM(D136:D142)</f>
        <v>153</v>
      </c>
      <c r="E135" s="447">
        <f t="shared" ref="E135:P135" si="12">SUM(E136:E142)</f>
        <v>45</v>
      </c>
      <c r="F135" s="983">
        <f t="shared" si="12"/>
        <v>66</v>
      </c>
      <c r="G135" s="447">
        <f t="shared" si="12"/>
        <v>66</v>
      </c>
      <c r="H135" s="447">
        <f t="shared" si="12"/>
        <v>60</v>
      </c>
      <c r="I135" s="1047">
        <f t="shared" si="12"/>
        <v>78</v>
      </c>
      <c r="J135" s="567">
        <f t="shared" si="12"/>
        <v>36</v>
      </c>
      <c r="K135" s="983">
        <f>SUM(K136:K142)</f>
        <v>81</v>
      </c>
      <c r="L135" s="983">
        <f t="shared" si="12"/>
        <v>69</v>
      </c>
      <c r="M135" s="447">
        <f t="shared" si="12"/>
        <v>15</v>
      </c>
      <c r="N135" s="567">
        <f t="shared" si="12"/>
        <v>57</v>
      </c>
      <c r="O135" s="1192">
        <f>SUM(O136:O142)</f>
        <v>51</v>
      </c>
      <c r="P135" s="1193">
        <f t="shared" si="12"/>
        <v>12</v>
      </c>
    </row>
    <row r="136" spans="1:16" ht="11.1" customHeight="1">
      <c r="A136" s="262"/>
      <c r="B136" s="449" t="s">
        <v>65</v>
      </c>
      <c r="C136" s="450">
        <v>30</v>
      </c>
      <c r="D136" s="451">
        <v>15</v>
      </c>
      <c r="E136" s="452">
        <v>15</v>
      </c>
      <c r="F136" s="451">
        <v>12</v>
      </c>
      <c r="G136" s="451">
        <v>9</v>
      </c>
      <c r="H136" s="451">
        <v>9</v>
      </c>
      <c r="I136" s="477">
        <v>12</v>
      </c>
      <c r="J136" s="450">
        <v>3</v>
      </c>
      <c r="K136" s="450">
        <v>12</v>
      </c>
      <c r="L136" s="473">
        <v>6</v>
      </c>
      <c r="M136" s="474">
        <v>6</v>
      </c>
      <c r="N136" s="452">
        <v>9</v>
      </c>
      <c r="O136" s="1201">
        <v>6</v>
      </c>
      <c r="P136" s="1195">
        <v>6</v>
      </c>
    </row>
    <row r="137" spans="1:16" ht="11.1" customHeight="1">
      <c r="A137" s="262"/>
      <c r="B137" s="449" t="s">
        <v>66</v>
      </c>
      <c r="C137" s="450">
        <v>9</v>
      </c>
      <c r="D137" s="451">
        <v>3</v>
      </c>
      <c r="E137" s="452">
        <v>6</v>
      </c>
      <c r="F137" s="451">
        <v>3</v>
      </c>
      <c r="G137" s="451">
        <v>3</v>
      </c>
      <c r="H137" s="452">
        <v>3</v>
      </c>
      <c r="I137" s="477">
        <v>6</v>
      </c>
      <c r="J137" s="450">
        <v>0</v>
      </c>
      <c r="K137" s="450">
        <v>0</v>
      </c>
      <c r="L137" s="473">
        <v>0</v>
      </c>
      <c r="M137" s="474">
        <v>0</v>
      </c>
      <c r="N137" s="452">
        <v>0</v>
      </c>
      <c r="O137" s="1201">
        <v>0</v>
      </c>
      <c r="P137" s="1195">
        <v>0</v>
      </c>
    </row>
    <row r="138" spans="1:16" ht="11.1" customHeight="1">
      <c r="A138" s="262"/>
      <c r="B138" s="449" t="s">
        <v>67</v>
      </c>
      <c r="C138" s="450">
        <v>21</v>
      </c>
      <c r="D138" s="451">
        <v>12</v>
      </c>
      <c r="E138" s="452">
        <v>9</v>
      </c>
      <c r="F138" s="451">
        <v>9</v>
      </c>
      <c r="G138" s="451">
        <v>9</v>
      </c>
      <c r="H138" s="451">
        <v>3</v>
      </c>
      <c r="I138" s="477">
        <v>9</v>
      </c>
      <c r="J138" s="450">
        <v>3</v>
      </c>
      <c r="K138" s="450">
        <v>18</v>
      </c>
      <c r="L138" s="473">
        <v>12</v>
      </c>
      <c r="M138" s="474">
        <v>6</v>
      </c>
      <c r="N138" s="452">
        <v>12</v>
      </c>
      <c r="O138" s="1201">
        <v>9</v>
      </c>
      <c r="P138" s="1195">
        <v>3</v>
      </c>
    </row>
    <row r="139" spans="1:16" ht="11.1" customHeight="1">
      <c r="A139" s="262"/>
      <c r="B139" s="449" t="s">
        <v>68</v>
      </c>
      <c r="C139" s="450">
        <v>3</v>
      </c>
      <c r="D139" s="451">
        <v>3</v>
      </c>
      <c r="E139" s="452">
        <v>0</v>
      </c>
      <c r="F139" s="451">
        <v>3</v>
      </c>
      <c r="G139" s="451">
        <v>0</v>
      </c>
      <c r="H139" s="451">
        <v>0</v>
      </c>
      <c r="I139" s="477">
        <v>3</v>
      </c>
      <c r="J139" s="450">
        <v>0</v>
      </c>
      <c r="K139" s="450">
        <v>0</v>
      </c>
      <c r="L139" s="473">
        <v>0</v>
      </c>
      <c r="M139" s="474">
        <v>0</v>
      </c>
      <c r="N139" s="452">
        <v>0</v>
      </c>
      <c r="O139" s="1201">
        <v>0</v>
      </c>
      <c r="P139" s="1195">
        <v>0</v>
      </c>
    </row>
    <row r="140" spans="1:16" ht="11.1" customHeight="1">
      <c r="A140" s="262"/>
      <c r="B140" s="449" t="s">
        <v>69</v>
      </c>
      <c r="C140" s="450">
        <v>132</v>
      </c>
      <c r="D140" s="451">
        <v>117</v>
      </c>
      <c r="E140" s="452">
        <v>15</v>
      </c>
      <c r="F140" s="451">
        <v>39</v>
      </c>
      <c r="G140" s="451">
        <v>45</v>
      </c>
      <c r="H140" s="451">
        <v>45</v>
      </c>
      <c r="I140" s="477">
        <v>48</v>
      </c>
      <c r="J140" s="450">
        <v>27</v>
      </c>
      <c r="K140" s="450">
        <v>48</v>
      </c>
      <c r="L140" s="451">
        <v>48</v>
      </c>
      <c r="M140" s="452">
        <v>3</v>
      </c>
      <c r="N140" s="452">
        <v>33</v>
      </c>
      <c r="O140" s="1194">
        <v>33</v>
      </c>
      <c r="P140" s="1195">
        <v>3</v>
      </c>
    </row>
    <row r="141" spans="1:16" ht="11.1" customHeight="1">
      <c r="A141" s="262"/>
      <c r="B141" s="449" t="s">
        <v>70</v>
      </c>
      <c r="C141" s="450">
        <v>3</v>
      </c>
      <c r="D141" s="451">
        <v>3</v>
      </c>
      <c r="E141" s="452">
        <v>0</v>
      </c>
      <c r="F141" s="451">
        <v>0</v>
      </c>
      <c r="G141" s="451">
        <v>0</v>
      </c>
      <c r="H141" s="452">
        <v>0</v>
      </c>
      <c r="I141" s="477">
        <v>0</v>
      </c>
      <c r="J141" s="450">
        <v>3</v>
      </c>
      <c r="K141" s="450">
        <v>3</v>
      </c>
      <c r="L141" s="473">
        <v>3</v>
      </c>
      <c r="M141" s="474">
        <v>0</v>
      </c>
      <c r="N141" s="452">
        <v>3</v>
      </c>
      <c r="O141" s="1201">
        <v>3</v>
      </c>
      <c r="P141" s="1195">
        <v>0</v>
      </c>
    </row>
    <row r="142" spans="1:16" ht="11.1" customHeight="1">
      <c r="A142" s="262"/>
      <c r="B142" s="436" t="s">
        <v>71</v>
      </c>
      <c r="C142" s="450">
        <v>0</v>
      </c>
      <c r="D142" s="451">
        <v>0</v>
      </c>
      <c r="E142" s="452">
        <v>0</v>
      </c>
      <c r="F142" s="451">
        <v>0</v>
      </c>
      <c r="G142" s="451">
        <v>0</v>
      </c>
      <c r="H142" s="452">
        <v>0</v>
      </c>
      <c r="I142" s="450">
        <v>0</v>
      </c>
      <c r="J142" s="451">
        <v>0</v>
      </c>
      <c r="K142" s="450">
        <v>0</v>
      </c>
      <c r="L142" s="451">
        <v>0</v>
      </c>
      <c r="M142" s="451">
        <v>0</v>
      </c>
      <c r="N142" s="450">
        <v>0</v>
      </c>
      <c r="O142" s="477">
        <v>0</v>
      </c>
      <c r="P142" s="1207">
        <v>0</v>
      </c>
    </row>
    <row r="143" spans="1:16" ht="3" customHeight="1" thickBot="1">
      <c r="A143" s="281"/>
      <c r="B143" s="478"/>
      <c r="C143" s="456"/>
      <c r="D143" s="457"/>
      <c r="E143" s="479"/>
      <c r="F143" s="461"/>
      <c r="G143" s="461"/>
      <c r="H143" s="479"/>
      <c r="I143" s="1203"/>
      <c r="J143" s="1204"/>
      <c r="K143" s="1205"/>
      <c r="L143" s="1204"/>
      <c r="M143" s="1204"/>
      <c r="N143" s="1205"/>
      <c r="O143" s="1206"/>
      <c r="P143" s="1204"/>
    </row>
    <row r="144" spans="1:16" ht="3" customHeight="1">
      <c r="A144" s="476"/>
      <c r="B144" s="82"/>
      <c r="C144" s="451"/>
      <c r="D144" s="451"/>
      <c r="E144" s="462"/>
      <c r="F144" s="462"/>
      <c r="G144" s="462"/>
      <c r="H144" s="462"/>
      <c r="I144" s="462"/>
      <c r="J144" s="462"/>
      <c r="K144" s="462"/>
      <c r="L144" s="462"/>
      <c r="M144" s="462"/>
      <c r="N144" s="462"/>
    </row>
    <row r="145" spans="1:16">
      <c r="A145" s="63" t="s">
        <v>158</v>
      </c>
      <c r="B145" s="409"/>
      <c r="C145" s="482"/>
      <c r="D145" s="482"/>
      <c r="E145" s="482"/>
      <c r="F145" s="482"/>
      <c r="G145" s="482"/>
      <c r="H145" s="482"/>
      <c r="I145" s="464" t="s">
        <v>205</v>
      </c>
      <c r="K145" s="464"/>
      <c r="L145" s="464"/>
      <c r="M145" s="482"/>
      <c r="N145" s="482"/>
    </row>
    <row r="146" spans="1:16" ht="12" thickBot="1">
      <c r="A146" s="465"/>
      <c r="B146" s="409"/>
      <c r="C146" s="466"/>
      <c r="D146" s="466"/>
      <c r="E146" s="447"/>
      <c r="F146" s="466"/>
      <c r="G146" s="466"/>
      <c r="H146" s="466"/>
      <c r="I146" s="466"/>
      <c r="J146" s="466"/>
      <c r="K146" s="466"/>
      <c r="L146" s="466"/>
      <c r="M146" s="467"/>
      <c r="N146" s="467"/>
    </row>
    <row r="147" spans="1:16" ht="18.600000000000001" customHeight="1">
      <c r="A147" s="395"/>
      <c r="B147" s="433"/>
      <c r="C147" s="1962" t="s">
        <v>360</v>
      </c>
      <c r="D147" s="1963"/>
      <c r="E147" s="1963"/>
      <c r="F147" s="1963"/>
      <c r="G147" s="1963"/>
      <c r="H147" s="2051"/>
      <c r="I147" s="434" t="s">
        <v>0</v>
      </c>
      <c r="J147" s="434" t="s">
        <v>1</v>
      </c>
      <c r="K147" s="1962" t="s">
        <v>106</v>
      </c>
      <c r="L147" s="2053"/>
      <c r="M147" s="2053"/>
      <c r="N147" s="2053"/>
      <c r="O147" s="2053"/>
      <c r="P147" s="2054"/>
    </row>
    <row r="148" spans="1:16" ht="11.1" customHeight="1">
      <c r="A148" s="262"/>
      <c r="B148" s="208"/>
      <c r="C148" s="413"/>
      <c r="D148" s="413"/>
      <c r="E148" s="442"/>
      <c r="F148" s="499"/>
      <c r="G148" s="443"/>
      <c r="H148" s="443"/>
      <c r="I148" s="1216" t="s">
        <v>3</v>
      </c>
      <c r="J148" s="1216" t="s">
        <v>4</v>
      </c>
      <c r="K148" s="413"/>
      <c r="L148" s="413"/>
      <c r="M148" s="442"/>
      <c r="N148" s="1971" t="s">
        <v>300</v>
      </c>
      <c r="O148" s="1972"/>
      <c r="P148" s="1976"/>
    </row>
    <row r="149" spans="1:16" ht="11.1" customHeight="1">
      <c r="A149" s="262"/>
      <c r="B149" s="19" t="s">
        <v>8</v>
      </c>
      <c r="C149" s="519"/>
      <c r="D149" s="519"/>
      <c r="E149" s="1217"/>
      <c r="F149" s="21" t="s">
        <v>167</v>
      </c>
      <c r="G149" s="117"/>
      <c r="H149" s="117"/>
      <c r="I149" s="1216" t="s">
        <v>8</v>
      </c>
      <c r="J149" s="1216" t="s">
        <v>8</v>
      </c>
      <c r="K149" s="519"/>
      <c r="L149" s="519"/>
      <c r="M149" s="1217"/>
      <c r="N149" s="1974"/>
      <c r="O149" s="1975"/>
      <c r="P149" s="1977"/>
    </row>
    <row r="150" spans="1:16" ht="11.1" customHeight="1">
      <c r="A150" s="435" t="s">
        <v>43</v>
      </c>
      <c r="B150" s="19" t="s">
        <v>61</v>
      </c>
      <c r="C150" s="422" t="s">
        <v>19</v>
      </c>
      <c r="D150" s="15" t="s">
        <v>17</v>
      </c>
      <c r="E150" s="15" t="s">
        <v>18</v>
      </c>
      <c r="F150" s="26" t="s">
        <v>302</v>
      </c>
      <c r="G150" s="27"/>
      <c r="H150" s="27"/>
      <c r="I150" s="1216" t="s">
        <v>20</v>
      </c>
      <c r="J150" s="1216" t="s">
        <v>20</v>
      </c>
      <c r="K150" s="418"/>
      <c r="L150" s="418"/>
      <c r="M150" s="1218"/>
      <c r="N150" s="498"/>
      <c r="O150" s="297"/>
      <c r="P150" s="551"/>
    </row>
    <row r="151" spans="1:16" ht="11.1" customHeight="1">
      <c r="A151" s="262"/>
      <c r="B151" s="19" t="s">
        <v>62</v>
      </c>
      <c r="C151" s="422" t="s">
        <v>29</v>
      </c>
      <c r="D151" s="15" t="s">
        <v>28</v>
      </c>
      <c r="E151" s="15" t="s">
        <v>28</v>
      </c>
      <c r="F151" s="420"/>
      <c r="G151" s="421"/>
      <c r="H151" s="421"/>
      <c r="I151" s="1216" t="s">
        <v>33</v>
      </c>
      <c r="J151" s="1216" t="s">
        <v>33</v>
      </c>
      <c r="K151" s="1212" t="s">
        <v>19</v>
      </c>
      <c r="L151" s="15" t="s">
        <v>17</v>
      </c>
      <c r="M151" s="15" t="s">
        <v>18</v>
      </c>
      <c r="N151" s="20" t="s">
        <v>19</v>
      </c>
      <c r="O151" s="1211" t="s">
        <v>17</v>
      </c>
      <c r="P151" s="503" t="s">
        <v>18</v>
      </c>
    </row>
    <row r="152" spans="1:16" ht="11.1" customHeight="1">
      <c r="A152" s="262"/>
      <c r="B152" s="208"/>
      <c r="C152" s="1219"/>
      <c r="D152" s="418"/>
      <c r="E152" s="418"/>
      <c r="F152" s="15" t="s">
        <v>30</v>
      </c>
      <c r="G152" s="1211" t="s">
        <v>31</v>
      </c>
      <c r="H152" s="1211" t="s">
        <v>32</v>
      </c>
      <c r="I152" s="1216" t="s">
        <v>39</v>
      </c>
      <c r="J152" s="1216" t="s">
        <v>39</v>
      </c>
      <c r="K152" s="1212" t="s">
        <v>29</v>
      </c>
      <c r="L152" s="15" t="s">
        <v>28</v>
      </c>
      <c r="M152" s="15" t="s">
        <v>34</v>
      </c>
      <c r="N152" s="20" t="s">
        <v>29</v>
      </c>
      <c r="O152" s="1211" t="s">
        <v>28</v>
      </c>
      <c r="P152" s="503" t="s">
        <v>34</v>
      </c>
    </row>
    <row r="153" spans="1:16" s="11" customFormat="1" ht="11.1" customHeight="1">
      <c r="A153" s="394"/>
      <c r="B153" s="425"/>
      <c r="C153" s="437"/>
      <c r="D153" s="438"/>
      <c r="E153" s="438"/>
      <c r="F153" s="436"/>
      <c r="G153" s="439"/>
      <c r="H153" s="439"/>
      <c r="I153" s="440"/>
      <c r="J153" s="440"/>
      <c r="K153" s="441"/>
      <c r="L153" s="438"/>
      <c r="M153" s="438"/>
      <c r="N153" s="553"/>
      <c r="O153" s="426"/>
      <c r="P153" s="518"/>
    </row>
    <row r="154" spans="1:16" ht="14.45" customHeight="1">
      <c r="A154" s="1229" t="s">
        <v>179</v>
      </c>
      <c r="B154" s="1221" t="s">
        <v>64</v>
      </c>
      <c r="C154" s="1223">
        <f>SUM(C155:C161)</f>
        <v>99</v>
      </c>
      <c r="D154" s="1224">
        <f>SUM(D155:D161)</f>
        <v>78</v>
      </c>
      <c r="E154" s="1225">
        <f t="shared" ref="E154:P154" si="13">SUM(E155:E161)</f>
        <v>21</v>
      </c>
      <c r="F154" s="1224">
        <f t="shared" si="13"/>
        <v>39</v>
      </c>
      <c r="G154" s="1225">
        <f t="shared" si="13"/>
        <v>36</v>
      </c>
      <c r="H154" s="1225">
        <f t="shared" si="13"/>
        <v>24</v>
      </c>
      <c r="I154" s="1226">
        <f t="shared" si="13"/>
        <v>45</v>
      </c>
      <c r="J154" s="1227">
        <f t="shared" si="13"/>
        <v>21</v>
      </c>
      <c r="K154" s="1227">
        <f t="shared" si="13"/>
        <v>42</v>
      </c>
      <c r="L154" s="1226">
        <f t="shared" si="13"/>
        <v>30</v>
      </c>
      <c r="M154" s="1228">
        <f t="shared" si="13"/>
        <v>6</v>
      </c>
      <c r="N154" s="1226">
        <f t="shared" si="13"/>
        <v>33</v>
      </c>
      <c r="O154" s="1226">
        <f>SUM(O155:O161)</f>
        <v>21</v>
      </c>
      <c r="P154" s="1193">
        <f t="shared" si="13"/>
        <v>6</v>
      </c>
    </row>
    <row r="155" spans="1:16" ht="11.1" customHeight="1">
      <c r="A155" s="262"/>
      <c r="B155" s="449" t="s">
        <v>65</v>
      </c>
      <c r="C155" s="450">
        <v>12</v>
      </c>
      <c r="D155" s="451">
        <v>6</v>
      </c>
      <c r="E155" s="452">
        <v>6</v>
      </c>
      <c r="F155" s="451">
        <v>6</v>
      </c>
      <c r="G155" s="451">
        <v>3</v>
      </c>
      <c r="H155" s="451">
        <v>3</v>
      </c>
      <c r="I155" s="477">
        <v>6</v>
      </c>
      <c r="J155" s="450">
        <v>0</v>
      </c>
      <c r="K155" s="450">
        <v>6</v>
      </c>
      <c r="L155" s="451">
        <v>3</v>
      </c>
      <c r="M155" s="452">
        <v>3</v>
      </c>
      <c r="N155" s="452">
        <v>6</v>
      </c>
      <c r="O155" s="1194">
        <v>3</v>
      </c>
      <c r="P155" s="1195">
        <v>3</v>
      </c>
    </row>
    <row r="156" spans="1:16" ht="11.1" customHeight="1">
      <c r="A156" s="262"/>
      <c r="B156" s="449" t="s">
        <v>66</v>
      </c>
      <c r="C156" s="450">
        <v>3</v>
      </c>
      <c r="D156" s="451">
        <v>0</v>
      </c>
      <c r="E156" s="452">
        <v>3</v>
      </c>
      <c r="F156" s="451">
        <v>0</v>
      </c>
      <c r="G156" s="451">
        <v>0</v>
      </c>
      <c r="H156" s="452">
        <v>3</v>
      </c>
      <c r="I156" s="477">
        <v>0</v>
      </c>
      <c r="J156" s="450">
        <v>0</v>
      </c>
      <c r="K156" s="450">
        <v>0</v>
      </c>
      <c r="L156" s="451">
        <v>0</v>
      </c>
      <c r="M156" s="452">
        <v>0</v>
      </c>
      <c r="N156" s="452">
        <v>0</v>
      </c>
      <c r="O156" s="1194">
        <v>0</v>
      </c>
      <c r="P156" s="1195">
        <v>0</v>
      </c>
    </row>
    <row r="157" spans="1:16" ht="11.1" customHeight="1">
      <c r="A157" s="262"/>
      <c r="B157" s="449" t="s">
        <v>67</v>
      </c>
      <c r="C157" s="450">
        <v>0</v>
      </c>
      <c r="D157" s="451">
        <v>0</v>
      </c>
      <c r="E157" s="452">
        <v>0</v>
      </c>
      <c r="F157" s="451">
        <v>0</v>
      </c>
      <c r="G157" s="451">
        <v>0</v>
      </c>
      <c r="H157" s="452">
        <v>0</v>
      </c>
      <c r="I157" s="477">
        <v>0</v>
      </c>
      <c r="J157" s="450">
        <v>0</v>
      </c>
      <c r="K157" s="450">
        <v>0</v>
      </c>
      <c r="L157" s="451">
        <v>0</v>
      </c>
      <c r="M157" s="452">
        <v>0</v>
      </c>
      <c r="N157" s="452">
        <v>0</v>
      </c>
      <c r="O157" s="1194">
        <v>0</v>
      </c>
      <c r="P157" s="1195">
        <v>0</v>
      </c>
    </row>
    <row r="158" spans="1:16" ht="11.1" customHeight="1">
      <c r="A158" s="262"/>
      <c r="B158" s="449" t="s">
        <v>68</v>
      </c>
      <c r="C158" s="450">
        <v>0</v>
      </c>
      <c r="D158" s="451">
        <v>0</v>
      </c>
      <c r="E158" s="452">
        <v>0</v>
      </c>
      <c r="F158" s="451">
        <v>0</v>
      </c>
      <c r="G158" s="451">
        <v>0</v>
      </c>
      <c r="H158" s="451">
        <v>0</v>
      </c>
      <c r="I158" s="477">
        <v>0</v>
      </c>
      <c r="J158" s="450">
        <v>3</v>
      </c>
      <c r="K158" s="450">
        <v>3</v>
      </c>
      <c r="L158" s="473">
        <v>0</v>
      </c>
      <c r="M158" s="474">
        <v>0</v>
      </c>
      <c r="N158" s="452">
        <v>3</v>
      </c>
      <c r="O158" s="1201">
        <v>0</v>
      </c>
      <c r="P158" s="1195">
        <v>0</v>
      </c>
    </row>
    <row r="159" spans="1:16" ht="11.1" customHeight="1">
      <c r="A159" s="262"/>
      <c r="B159" s="449" t="s">
        <v>69</v>
      </c>
      <c r="C159" s="450">
        <v>81</v>
      </c>
      <c r="D159" s="451">
        <v>72</v>
      </c>
      <c r="E159" s="452">
        <v>9</v>
      </c>
      <c r="F159" s="451">
        <v>30</v>
      </c>
      <c r="G159" s="451">
        <v>30</v>
      </c>
      <c r="H159" s="452">
        <v>18</v>
      </c>
      <c r="I159" s="477">
        <v>36</v>
      </c>
      <c r="J159" s="450">
        <v>18</v>
      </c>
      <c r="K159" s="450">
        <v>30</v>
      </c>
      <c r="L159" s="451">
        <v>27</v>
      </c>
      <c r="M159" s="452">
        <v>3</v>
      </c>
      <c r="N159" s="452">
        <v>21</v>
      </c>
      <c r="O159" s="1194">
        <v>18</v>
      </c>
      <c r="P159" s="1195">
        <v>3</v>
      </c>
    </row>
    <row r="160" spans="1:16" ht="11.1" customHeight="1">
      <c r="A160" s="262"/>
      <c r="B160" s="449" t="s">
        <v>70</v>
      </c>
      <c r="C160" s="450">
        <v>3</v>
      </c>
      <c r="D160" s="451">
        <v>0</v>
      </c>
      <c r="E160" s="452">
        <v>3</v>
      </c>
      <c r="F160" s="451">
        <v>3</v>
      </c>
      <c r="G160" s="451">
        <v>3</v>
      </c>
      <c r="H160" s="452">
        <v>0</v>
      </c>
      <c r="I160" s="477">
        <v>3</v>
      </c>
      <c r="J160" s="450">
        <v>0</v>
      </c>
      <c r="K160" s="450">
        <v>3</v>
      </c>
      <c r="L160" s="451">
        <v>0</v>
      </c>
      <c r="M160" s="452">
        <v>0</v>
      </c>
      <c r="N160" s="452">
        <v>3</v>
      </c>
      <c r="O160" s="1194">
        <v>0</v>
      </c>
      <c r="P160" s="1195">
        <v>0</v>
      </c>
    </row>
    <row r="161" spans="1:16" ht="11.1" customHeight="1">
      <c r="A161" s="262"/>
      <c r="B161" s="436" t="s">
        <v>71</v>
      </c>
      <c r="C161" s="450">
        <v>0</v>
      </c>
      <c r="D161" s="451">
        <v>0</v>
      </c>
      <c r="E161" s="452">
        <v>0</v>
      </c>
      <c r="F161" s="451">
        <v>0</v>
      </c>
      <c r="G161" s="451">
        <v>0</v>
      </c>
      <c r="H161" s="452">
        <v>0</v>
      </c>
      <c r="I161" s="477">
        <v>0</v>
      </c>
      <c r="J161" s="450">
        <v>0</v>
      </c>
      <c r="K161" s="450">
        <v>0</v>
      </c>
      <c r="L161" s="473">
        <v>0</v>
      </c>
      <c r="M161" s="474">
        <v>0</v>
      </c>
      <c r="N161" s="452">
        <v>0</v>
      </c>
      <c r="O161" s="1201">
        <v>0</v>
      </c>
      <c r="P161" s="1195">
        <v>0</v>
      </c>
    </row>
    <row r="162" spans="1:16" s="11" customFormat="1" ht="3" customHeight="1">
      <c r="A162" s="262"/>
      <c r="B162" s="449"/>
      <c r="C162" s="446"/>
      <c r="D162" s="451"/>
      <c r="E162" s="452"/>
      <c r="F162" s="451"/>
      <c r="G162" s="451"/>
      <c r="H162" s="452"/>
      <c r="I162" s="477"/>
      <c r="J162" s="450"/>
      <c r="K162" s="446"/>
      <c r="L162" s="451"/>
      <c r="M162" s="452"/>
      <c r="N162" s="452"/>
      <c r="O162" s="739"/>
      <c r="P162" s="1196"/>
    </row>
    <row r="163" spans="1:16">
      <c r="A163" s="981" t="s">
        <v>180</v>
      </c>
      <c r="B163" s="989" t="s">
        <v>64</v>
      </c>
      <c r="C163" s="446">
        <f>SUM(C164:C170)</f>
        <v>390</v>
      </c>
      <c r="D163" s="983">
        <f>SUM(D164:D170)</f>
        <v>270</v>
      </c>
      <c r="E163" s="447">
        <f t="shared" ref="E163:P163" si="14">SUM(E164:E170)</f>
        <v>126</v>
      </c>
      <c r="F163" s="983">
        <f t="shared" si="14"/>
        <v>129</v>
      </c>
      <c r="G163" s="447">
        <f t="shared" si="14"/>
        <v>126</v>
      </c>
      <c r="H163" s="447">
        <f t="shared" si="14"/>
        <v>138</v>
      </c>
      <c r="I163" s="1047">
        <f t="shared" si="14"/>
        <v>147</v>
      </c>
      <c r="J163" s="567">
        <f t="shared" si="14"/>
        <v>24</v>
      </c>
      <c r="K163" s="983">
        <f t="shared" si="14"/>
        <v>123</v>
      </c>
      <c r="L163" s="983">
        <f t="shared" si="14"/>
        <v>72</v>
      </c>
      <c r="M163" s="447">
        <f t="shared" si="14"/>
        <v>48</v>
      </c>
      <c r="N163" s="567">
        <f>SUM(N164:N170)</f>
        <v>96</v>
      </c>
      <c r="O163" s="1192">
        <f t="shared" si="14"/>
        <v>51</v>
      </c>
      <c r="P163" s="1193">
        <f t="shared" si="14"/>
        <v>39</v>
      </c>
    </row>
    <row r="164" spans="1:16" ht="11.1" customHeight="1">
      <c r="A164" s="262"/>
      <c r="B164" s="449" t="s">
        <v>65</v>
      </c>
      <c r="C164" s="450">
        <v>66</v>
      </c>
      <c r="D164" s="451">
        <v>27</v>
      </c>
      <c r="E164" s="452">
        <v>39</v>
      </c>
      <c r="F164" s="451">
        <v>21</v>
      </c>
      <c r="G164" s="451">
        <v>24</v>
      </c>
      <c r="H164" s="451">
        <v>24</v>
      </c>
      <c r="I164" s="477">
        <v>24</v>
      </c>
      <c r="J164" s="450">
        <v>3</v>
      </c>
      <c r="K164" s="450">
        <v>24</v>
      </c>
      <c r="L164" s="473">
        <v>6</v>
      </c>
      <c r="M164" s="474">
        <v>15</v>
      </c>
      <c r="N164" s="452">
        <v>21</v>
      </c>
      <c r="O164" s="1201">
        <v>6</v>
      </c>
      <c r="P164" s="1195">
        <v>15</v>
      </c>
    </row>
    <row r="165" spans="1:16" ht="11.1" customHeight="1">
      <c r="A165" s="262"/>
      <c r="B165" s="449" t="s">
        <v>66</v>
      </c>
      <c r="C165" s="450">
        <v>12</v>
      </c>
      <c r="D165" s="451">
        <v>6</v>
      </c>
      <c r="E165" s="452">
        <v>9</v>
      </c>
      <c r="F165" s="451">
        <v>0</v>
      </c>
      <c r="G165" s="451">
        <v>6</v>
      </c>
      <c r="H165" s="451">
        <v>6</v>
      </c>
      <c r="I165" s="477">
        <v>6</v>
      </c>
      <c r="J165" s="450">
        <v>0</v>
      </c>
      <c r="K165" s="450">
        <v>3</v>
      </c>
      <c r="L165" s="473">
        <v>0</v>
      </c>
      <c r="M165" s="474">
        <v>3</v>
      </c>
      <c r="N165" s="452">
        <v>3</v>
      </c>
      <c r="O165" s="1201">
        <v>0</v>
      </c>
      <c r="P165" s="1195">
        <v>0</v>
      </c>
    </row>
    <row r="166" spans="1:16" ht="11.1" customHeight="1">
      <c r="A166" s="262"/>
      <c r="B166" s="449" t="s">
        <v>67</v>
      </c>
      <c r="C166" s="450">
        <v>33</v>
      </c>
      <c r="D166" s="451">
        <v>21</v>
      </c>
      <c r="E166" s="452">
        <v>12</v>
      </c>
      <c r="F166" s="451">
        <v>15</v>
      </c>
      <c r="G166" s="451">
        <v>9</v>
      </c>
      <c r="H166" s="451">
        <v>9</v>
      </c>
      <c r="I166" s="477">
        <v>15</v>
      </c>
      <c r="J166" s="450">
        <v>3</v>
      </c>
      <c r="K166" s="450">
        <v>6</v>
      </c>
      <c r="L166" s="473">
        <v>3</v>
      </c>
      <c r="M166" s="474">
        <v>3</v>
      </c>
      <c r="N166" s="452">
        <v>3</v>
      </c>
      <c r="O166" s="1201">
        <v>3</v>
      </c>
      <c r="P166" s="1195">
        <v>3</v>
      </c>
    </row>
    <row r="167" spans="1:16" ht="12" customHeight="1">
      <c r="A167" s="262"/>
      <c r="B167" s="449" t="s">
        <v>68</v>
      </c>
      <c r="C167" s="450">
        <v>18</v>
      </c>
      <c r="D167" s="451">
        <v>15</v>
      </c>
      <c r="E167" s="452">
        <v>6</v>
      </c>
      <c r="F167" s="451">
        <v>6</v>
      </c>
      <c r="G167" s="451">
        <v>6</v>
      </c>
      <c r="H167" s="451">
        <v>6</v>
      </c>
      <c r="I167" s="477">
        <v>9</v>
      </c>
      <c r="J167" s="450">
        <v>3</v>
      </c>
      <c r="K167" s="450">
        <v>3</v>
      </c>
      <c r="L167" s="473">
        <v>3</v>
      </c>
      <c r="M167" s="474">
        <v>0</v>
      </c>
      <c r="N167" s="452">
        <v>3</v>
      </c>
      <c r="O167" s="1201">
        <v>0</v>
      </c>
      <c r="P167" s="1195">
        <v>0</v>
      </c>
    </row>
    <row r="168" spans="1:16" ht="11.1" customHeight="1">
      <c r="A168" s="262"/>
      <c r="B168" s="449" t="s">
        <v>69</v>
      </c>
      <c r="C168" s="450">
        <v>246</v>
      </c>
      <c r="D168" s="451">
        <v>192</v>
      </c>
      <c r="E168" s="452">
        <v>54</v>
      </c>
      <c r="F168" s="451">
        <v>81</v>
      </c>
      <c r="G168" s="451">
        <v>78</v>
      </c>
      <c r="H168" s="452">
        <v>87</v>
      </c>
      <c r="I168" s="477">
        <v>87</v>
      </c>
      <c r="J168" s="450">
        <v>15</v>
      </c>
      <c r="K168" s="450">
        <v>84</v>
      </c>
      <c r="L168" s="1197">
        <v>60</v>
      </c>
      <c r="M168" s="452">
        <v>24</v>
      </c>
      <c r="N168" s="452">
        <v>63</v>
      </c>
      <c r="O168" s="1194">
        <v>42</v>
      </c>
      <c r="P168" s="1195">
        <v>18</v>
      </c>
    </row>
    <row r="169" spans="1:16" ht="11.1" customHeight="1">
      <c r="A169" s="262"/>
      <c r="B169" s="449" t="s">
        <v>70</v>
      </c>
      <c r="C169" s="450">
        <v>15</v>
      </c>
      <c r="D169" s="451">
        <v>9</v>
      </c>
      <c r="E169" s="452">
        <v>6</v>
      </c>
      <c r="F169" s="451">
        <v>6</v>
      </c>
      <c r="G169" s="451">
        <v>3</v>
      </c>
      <c r="H169" s="452">
        <v>6</v>
      </c>
      <c r="I169" s="477">
        <v>6</v>
      </c>
      <c r="J169" s="450">
        <v>0</v>
      </c>
      <c r="K169" s="450">
        <v>3</v>
      </c>
      <c r="L169" s="451">
        <v>0</v>
      </c>
      <c r="M169" s="452">
        <v>3</v>
      </c>
      <c r="N169" s="452">
        <v>3</v>
      </c>
      <c r="O169" s="1194">
        <v>0</v>
      </c>
      <c r="P169" s="1195">
        <v>3</v>
      </c>
    </row>
    <row r="170" spans="1:16" ht="11.1" customHeight="1">
      <c r="A170" s="262"/>
      <c r="B170" s="436" t="s">
        <v>71</v>
      </c>
      <c r="C170" s="450">
        <v>0</v>
      </c>
      <c r="D170" s="473">
        <v>0</v>
      </c>
      <c r="E170" s="474">
        <v>0</v>
      </c>
      <c r="F170" s="1040">
        <v>0</v>
      </c>
      <c r="G170" s="473">
        <v>0</v>
      </c>
      <c r="H170" s="474">
        <v>0</v>
      </c>
      <c r="I170" s="477">
        <v>0</v>
      </c>
      <c r="J170" s="450">
        <v>0</v>
      </c>
      <c r="K170" s="450">
        <v>0</v>
      </c>
      <c r="L170" s="473">
        <v>0</v>
      </c>
      <c r="M170" s="474">
        <v>0</v>
      </c>
      <c r="N170" s="452">
        <v>0</v>
      </c>
      <c r="O170" s="1201">
        <v>0</v>
      </c>
      <c r="P170" s="1195">
        <v>0</v>
      </c>
    </row>
    <row r="171" spans="1:16" s="11" customFormat="1" ht="3" customHeight="1">
      <c r="A171" s="262"/>
      <c r="B171" s="436"/>
      <c r="C171" s="446"/>
      <c r="D171" s="451"/>
      <c r="E171" s="452"/>
      <c r="F171" s="451"/>
      <c r="G171" s="451"/>
      <c r="H171" s="452"/>
      <c r="I171" s="477"/>
      <c r="J171" s="450"/>
      <c r="K171" s="446"/>
      <c r="L171" s="451"/>
      <c r="M171" s="452"/>
      <c r="N171" s="452"/>
      <c r="O171" s="739"/>
      <c r="P171" s="1198"/>
    </row>
    <row r="172" spans="1:16">
      <c r="A172" s="981" t="s">
        <v>181</v>
      </c>
      <c r="B172" s="989" t="s">
        <v>64</v>
      </c>
      <c r="C172" s="446">
        <f>SUM(C173:C179)</f>
        <v>138</v>
      </c>
      <c r="D172" s="983">
        <f>SUM(D173:D179)</f>
        <v>96</v>
      </c>
      <c r="E172" s="447">
        <f t="shared" ref="E172:P172" si="15">SUM(E173:E179)</f>
        <v>39</v>
      </c>
      <c r="F172" s="983">
        <f>SUM(F173:F179)</f>
        <v>54</v>
      </c>
      <c r="G172" s="447">
        <f t="shared" si="15"/>
        <v>45</v>
      </c>
      <c r="H172" s="447">
        <f t="shared" si="15"/>
        <v>42</v>
      </c>
      <c r="I172" s="1047">
        <f t="shared" si="15"/>
        <v>57</v>
      </c>
      <c r="J172" s="567">
        <f t="shared" si="15"/>
        <v>30</v>
      </c>
      <c r="K172" s="983">
        <f>SUM(K173:K179)</f>
        <v>60</v>
      </c>
      <c r="L172" s="983">
        <f t="shared" si="15"/>
        <v>48</v>
      </c>
      <c r="M172" s="447">
        <f t="shared" si="15"/>
        <v>12</v>
      </c>
      <c r="N172" s="567">
        <f>SUM(N173:N179)</f>
        <v>45</v>
      </c>
      <c r="O172" s="1192">
        <f t="shared" si="15"/>
        <v>36</v>
      </c>
      <c r="P172" s="1193">
        <f t="shared" si="15"/>
        <v>9</v>
      </c>
    </row>
    <row r="173" spans="1:16" ht="11.1" customHeight="1">
      <c r="A173" s="262"/>
      <c r="B173" s="449" t="s">
        <v>65</v>
      </c>
      <c r="C173" s="450">
        <v>18</v>
      </c>
      <c r="D173" s="451">
        <v>6</v>
      </c>
      <c r="E173" s="452">
        <v>12</v>
      </c>
      <c r="F173" s="451">
        <v>6</v>
      </c>
      <c r="G173" s="451">
        <v>6</v>
      </c>
      <c r="H173" s="451">
        <v>6</v>
      </c>
      <c r="I173" s="477">
        <v>6</v>
      </c>
      <c r="J173" s="450">
        <v>3</v>
      </c>
      <c r="K173" s="450">
        <v>9</v>
      </c>
      <c r="L173" s="451">
        <v>3</v>
      </c>
      <c r="M173" s="452">
        <v>6</v>
      </c>
      <c r="N173" s="452">
        <v>9</v>
      </c>
      <c r="O173" s="1194">
        <v>3</v>
      </c>
      <c r="P173" s="1195">
        <v>6</v>
      </c>
    </row>
    <row r="174" spans="1:16" ht="11.1" customHeight="1">
      <c r="A174" s="262"/>
      <c r="B174" s="449" t="s">
        <v>66</v>
      </c>
      <c r="C174" s="450">
        <v>3</v>
      </c>
      <c r="D174" s="473">
        <v>0</v>
      </c>
      <c r="E174" s="452">
        <v>3</v>
      </c>
      <c r="F174" s="473">
        <v>0</v>
      </c>
      <c r="G174" s="451">
        <v>3</v>
      </c>
      <c r="H174" s="452">
        <v>3</v>
      </c>
      <c r="I174" s="477">
        <v>0</v>
      </c>
      <c r="J174" s="450">
        <v>3</v>
      </c>
      <c r="K174" s="450">
        <v>0</v>
      </c>
      <c r="L174" s="451">
        <v>0</v>
      </c>
      <c r="M174" s="452">
        <v>0</v>
      </c>
      <c r="N174" s="452">
        <v>0</v>
      </c>
      <c r="O174" s="1194">
        <v>0</v>
      </c>
      <c r="P174" s="1195">
        <v>0</v>
      </c>
    </row>
    <row r="175" spans="1:16" ht="11.1" customHeight="1">
      <c r="A175" s="262"/>
      <c r="B175" s="449" t="s">
        <v>67</v>
      </c>
      <c r="C175" s="450">
        <v>6</v>
      </c>
      <c r="D175" s="451">
        <v>6</v>
      </c>
      <c r="E175" s="474">
        <v>0</v>
      </c>
      <c r="F175" s="451">
        <v>3</v>
      </c>
      <c r="G175" s="451">
        <v>3</v>
      </c>
      <c r="H175" s="452">
        <v>3</v>
      </c>
      <c r="I175" s="477">
        <v>3</v>
      </c>
      <c r="J175" s="450">
        <v>3</v>
      </c>
      <c r="K175" s="450">
        <v>0</v>
      </c>
      <c r="L175" s="451">
        <v>0</v>
      </c>
      <c r="M175" s="452">
        <v>0</v>
      </c>
      <c r="N175" s="452">
        <v>0</v>
      </c>
      <c r="O175" s="1194">
        <v>0</v>
      </c>
      <c r="P175" s="1195">
        <v>0</v>
      </c>
    </row>
    <row r="176" spans="1:16" ht="11.1" customHeight="1">
      <c r="A176" s="262"/>
      <c r="B176" s="449" t="s">
        <v>68</v>
      </c>
      <c r="C176" s="450">
        <v>3</v>
      </c>
      <c r="D176" s="473">
        <v>3</v>
      </c>
      <c r="E176" s="474">
        <v>0</v>
      </c>
      <c r="F176" s="473">
        <v>0</v>
      </c>
      <c r="G176" s="473">
        <v>0</v>
      </c>
      <c r="H176" s="474">
        <v>0</v>
      </c>
      <c r="I176" s="477">
        <v>3</v>
      </c>
      <c r="J176" s="450">
        <v>3</v>
      </c>
      <c r="K176" s="450">
        <v>0</v>
      </c>
      <c r="L176" s="451">
        <v>0</v>
      </c>
      <c r="M176" s="452">
        <v>0</v>
      </c>
      <c r="N176" s="452">
        <v>0</v>
      </c>
      <c r="O176" s="1194">
        <v>0</v>
      </c>
      <c r="P176" s="1195">
        <v>0</v>
      </c>
    </row>
    <row r="177" spans="1:16" ht="11.1" customHeight="1">
      <c r="A177" s="262"/>
      <c r="B177" s="449" t="s">
        <v>69</v>
      </c>
      <c r="C177" s="450">
        <v>105</v>
      </c>
      <c r="D177" s="451">
        <v>78</v>
      </c>
      <c r="E177" s="452">
        <v>24</v>
      </c>
      <c r="F177" s="451">
        <v>42</v>
      </c>
      <c r="G177" s="451">
        <v>33</v>
      </c>
      <c r="H177" s="452">
        <v>30</v>
      </c>
      <c r="I177" s="477">
        <v>42</v>
      </c>
      <c r="J177" s="450">
        <v>18</v>
      </c>
      <c r="K177" s="450">
        <v>51</v>
      </c>
      <c r="L177" s="451">
        <v>45</v>
      </c>
      <c r="M177" s="452">
        <v>6</v>
      </c>
      <c r="N177" s="452">
        <v>36</v>
      </c>
      <c r="O177" s="1194">
        <v>33</v>
      </c>
      <c r="P177" s="1195">
        <v>3</v>
      </c>
    </row>
    <row r="178" spans="1:16" ht="11.1" customHeight="1">
      <c r="A178" s="262"/>
      <c r="B178" s="449" t="s">
        <v>70</v>
      </c>
      <c r="C178" s="450">
        <v>0</v>
      </c>
      <c r="D178" s="451">
        <v>0</v>
      </c>
      <c r="E178" s="452">
        <v>0</v>
      </c>
      <c r="F178" s="451">
        <v>0</v>
      </c>
      <c r="G178" s="451">
        <v>0</v>
      </c>
      <c r="H178" s="452">
        <v>0</v>
      </c>
      <c r="I178" s="477">
        <v>0</v>
      </c>
      <c r="J178" s="450">
        <v>0</v>
      </c>
      <c r="K178" s="450">
        <v>0</v>
      </c>
      <c r="L178" s="451">
        <v>0</v>
      </c>
      <c r="M178" s="452">
        <v>0</v>
      </c>
      <c r="N178" s="452">
        <v>0</v>
      </c>
      <c r="O178" s="1194">
        <v>0</v>
      </c>
      <c r="P178" s="1195">
        <v>0</v>
      </c>
    </row>
    <row r="179" spans="1:16" ht="11.1" customHeight="1">
      <c r="A179" s="262"/>
      <c r="B179" s="436" t="s">
        <v>71</v>
      </c>
      <c r="C179" s="450">
        <v>3</v>
      </c>
      <c r="D179" s="451">
        <v>3</v>
      </c>
      <c r="E179" s="452">
        <v>0</v>
      </c>
      <c r="F179" s="451">
        <v>3</v>
      </c>
      <c r="G179" s="451">
        <v>0</v>
      </c>
      <c r="H179" s="452">
        <v>0</v>
      </c>
      <c r="I179" s="477">
        <v>3</v>
      </c>
      <c r="J179" s="450">
        <v>0</v>
      </c>
      <c r="K179" s="450">
        <v>0</v>
      </c>
      <c r="L179" s="451">
        <v>0</v>
      </c>
      <c r="M179" s="452">
        <v>0</v>
      </c>
      <c r="N179" s="452">
        <v>0</v>
      </c>
      <c r="O179" s="1194">
        <v>0</v>
      </c>
      <c r="P179" s="1195">
        <v>0</v>
      </c>
    </row>
    <row r="180" spans="1:16" ht="3" customHeight="1">
      <c r="A180" s="262"/>
      <c r="B180" s="436"/>
      <c r="C180" s="446"/>
      <c r="D180" s="451"/>
      <c r="E180" s="452"/>
      <c r="F180" s="451"/>
      <c r="G180" s="451"/>
      <c r="H180" s="452"/>
      <c r="I180" s="477"/>
      <c r="J180" s="450"/>
      <c r="K180" s="446"/>
      <c r="L180" s="451"/>
      <c r="M180" s="452"/>
      <c r="N180" s="452"/>
      <c r="O180" s="467"/>
      <c r="P180" s="1200"/>
    </row>
    <row r="181" spans="1:16">
      <c r="A181" s="981" t="s">
        <v>59</v>
      </c>
      <c r="B181" s="989" t="s">
        <v>64</v>
      </c>
      <c r="C181" s="446">
        <f>SUM(C182:C188)</f>
        <v>159</v>
      </c>
      <c r="D181" s="983">
        <f>SUM(D182:D188)</f>
        <v>111</v>
      </c>
      <c r="E181" s="447">
        <f t="shared" ref="E181:P181" si="16">SUM(E182:E188)</f>
        <v>51</v>
      </c>
      <c r="F181" s="983">
        <f t="shared" si="16"/>
        <v>54</v>
      </c>
      <c r="G181" s="447">
        <f t="shared" si="16"/>
        <v>45</v>
      </c>
      <c r="H181" s="447">
        <f t="shared" si="16"/>
        <v>57</v>
      </c>
      <c r="I181" s="1047">
        <f t="shared" si="16"/>
        <v>63</v>
      </c>
      <c r="J181" s="567">
        <f t="shared" si="16"/>
        <v>33</v>
      </c>
      <c r="K181" s="983">
        <f t="shared" si="16"/>
        <v>81</v>
      </c>
      <c r="L181" s="983">
        <f t="shared" si="16"/>
        <v>48</v>
      </c>
      <c r="M181" s="447">
        <f t="shared" si="16"/>
        <v>24</v>
      </c>
      <c r="N181" s="567">
        <f>SUM(N182:N188)</f>
        <v>60</v>
      </c>
      <c r="O181" s="1192">
        <f t="shared" si="16"/>
        <v>33</v>
      </c>
      <c r="P181" s="1193">
        <f t="shared" si="16"/>
        <v>24</v>
      </c>
    </row>
    <row r="182" spans="1:16" ht="11.1" customHeight="1">
      <c r="A182" s="262"/>
      <c r="B182" s="449" t="s">
        <v>65</v>
      </c>
      <c r="C182" s="450">
        <v>48</v>
      </c>
      <c r="D182" s="451">
        <v>21</v>
      </c>
      <c r="E182" s="452">
        <v>27</v>
      </c>
      <c r="F182" s="451">
        <v>15</v>
      </c>
      <c r="G182" s="451">
        <v>18</v>
      </c>
      <c r="H182" s="451">
        <v>15</v>
      </c>
      <c r="I182" s="477">
        <v>18</v>
      </c>
      <c r="J182" s="450">
        <v>9</v>
      </c>
      <c r="K182" s="450">
        <v>24</v>
      </c>
      <c r="L182" s="473">
        <v>6</v>
      </c>
      <c r="M182" s="474">
        <v>15</v>
      </c>
      <c r="N182" s="452">
        <v>21</v>
      </c>
      <c r="O182" s="1201">
        <v>6</v>
      </c>
      <c r="P182" s="1195">
        <v>15</v>
      </c>
    </row>
    <row r="183" spans="1:16" ht="11.1" customHeight="1">
      <c r="A183" s="262"/>
      <c r="B183" s="449" t="s">
        <v>66</v>
      </c>
      <c r="C183" s="450">
        <v>0</v>
      </c>
      <c r="D183" s="451">
        <v>0</v>
      </c>
      <c r="E183" s="452">
        <v>0</v>
      </c>
      <c r="F183" s="451">
        <v>0</v>
      </c>
      <c r="G183" s="451">
        <v>0</v>
      </c>
      <c r="H183" s="452">
        <v>0</v>
      </c>
      <c r="I183" s="477">
        <v>0</v>
      </c>
      <c r="J183" s="450">
        <v>0</v>
      </c>
      <c r="K183" s="450">
        <v>0</v>
      </c>
      <c r="L183" s="473">
        <v>0</v>
      </c>
      <c r="M183" s="474">
        <v>0</v>
      </c>
      <c r="N183" s="452">
        <v>0</v>
      </c>
      <c r="O183" s="1201">
        <v>0</v>
      </c>
      <c r="P183" s="1195">
        <v>0</v>
      </c>
    </row>
    <row r="184" spans="1:16" ht="11.1" customHeight="1">
      <c r="A184" s="262"/>
      <c r="B184" s="449" t="s">
        <v>67</v>
      </c>
      <c r="C184" s="450">
        <v>9</v>
      </c>
      <c r="D184" s="451">
        <v>9</v>
      </c>
      <c r="E184" s="452">
        <v>3</v>
      </c>
      <c r="F184" s="451">
        <v>3</v>
      </c>
      <c r="G184" s="451">
        <v>0</v>
      </c>
      <c r="H184" s="451">
        <v>6</v>
      </c>
      <c r="I184" s="477">
        <v>6</v>
      </c>
      <c r="J184" s="450">
        <v>3</v>
      </c>
      <c r="K184" s="450">
        <v>6</v>
      </c>
      <c r="L184" s="473">
        <v>3</v>
      </c>
      <c r="M184" s="474">
        <v>0</v>
      </c>
      <c r="N184" s="452">
        <v>3</v>
      </c>
      <c r="O184" s="1201">
        <v>3</v>
      </c>
      <c r="P184" s="1195">
        <v>0</v>
      </c>
    </row>
    <row r="185" spans="1:16" ht="11.1" customHeight="1">
      <c r="A185" s="262"/>
      <c r="B185" s="449" t="s">
        <v>68</v>
      </c>
      <c r="C185" s="450">
        <v>0</v>
      </c>
      <c r="D185" s="451">
        <v>0</v>
      </c>
      <c r="E185" s="452">
        <v>0</v>
      </c>
      <c r="F185" s="451">
        <v>0</v>
      </c>
      <c r="G185" s="451">
        <v>0</v>
      </c>
      <c r="H185" s="452">
        <v>0</v>
      </c>
      <c r="I185" s="477">
        <v>0</v>
      </c>
      <c r="J185" s="450">
        <v>0</v>
      </c>
      <c r="K185" s="450">
        <v>0</v>
      </c>
      <c r="L185" s="473">
        <v>0</v>
      </c>
      <c r="M185" s="474">
        <v>0</v>
      </c>
      <c r="N185" s="452">
        <v>0</v>
      </c>
      <c r="O185" s="1201">
        <v>0</v>
      </c>
      <c r="P185" s="1195">
        <v>0</v>
      </c>
    </row>
    <row r="186" spans="1:16" ht="11.1" customHeight="1">
      <c r="A186" s="262"/>
      <c r="B186" s="449" t="s">
        <v>69</v>
      </c>
      <c r="C186" s="450">
        <v>99</v>
      </c>
      <c r="D186" s="451">
        <v>78</v>
      </c>
      <c r="E186" s="452">
        <v>21</v>
      </c>
      <c r="F186" s="451">
        <v>36</v>
      </c>
      <c r="G186" s="451">
        <v>27</v>
      </c>
      <c r="H186" s="452">
        <v>36</v>
      </c>
      <c r="I186" s="477">
        <v>39</v>
      </c>
      <c r="J186" s="450">
        <v>21</v>
      </c>
      <c r="K186" s="450">
        <v>48</v>
      </c>
      <c r="L186" s="451">
        <v>39</v>
      </c>
      <c r="M186" s="452">
        <v>9</v>
      </c>
      <c r="N186" s="452">
        <v>33</v>
      </c>
      <c r="O186" s="1194">
        <v>24</v>
      </c>
      <c r="P186" s="1195">
        <v>9</v>
      </c>
    </row>
    <row r="187" spans="1:16" ht="11.1" customHeight="1">
      <c r="A187" s="262"/>
      <c r="B187" s="449" t="s">
        <v>70</v>
      </c>
      <c r="C187" s="450">
        <v>3</v>
      </c>
      <c r="D187" s="451">
        <v>3</v>
      </c>
      <c r="E187" s="452">
        <v>0</v>
      </c>
      <c r="F187" s="451">
        <v>0</v>
      </c>
      <c r="G187" s="451">
        <v>0</v>
      </c>
      <c r="H187" s="452">
        <v>0</v>
      </c>
      <c r="I187" s="477">
        <v>0</v>
      </c>
      <c r="J187" s="450">
        <v>0</v>
      </c>
      <c r="K187" s="450">
        <v>3</v>
      </c>
      <c r="L187" s="473">
        <v>0</v>
      </c>
      <c r="M187" s="474">
        <v>0</v>
      </c>
      <c r="N187" s="452">
        <v>3</v>
      </c>
      <c r="O187" s="1201">
        <v>0</v>
      </c>
      <c r="P187" s="1195">
        <v>0</v>
      </c>
    </row>
    <row r="188" spans="1:16" ht="11.1" customHeight="1">
      <c r="A188" s="262"/>
      <c r="B188" s="436" t="s">
        <v>71</v>
      </c>
      <c r="C188" s="450">
        <v>0</v>
      </c>
      <c r="D188" s="473">
        <v>0</v>
      </c>
      <c r="E188" s="474">
        <v>0</v>
      </c>
      <c r="F188" s="451">
        <v>0</v>
      </c>
      <c r="G188" s="451">
        <v>0</v>
      </c>
      <c r="H188" s="452">
        <v>0</v>
      </c>
      <c r="I188" s="477">
        <v>0</v>
      </c>
      <c r="J188" s="450">
        <v>0</v>
      </c>
      <c r="K188" s="450">
        <v>0</v>
      </c>
      <c r="L188" s="473">
        <v>0</v>
      </c>
      <c r="M188" s="474">
        <v>0</v>
      </c>
      <c r="N188" s="452">
        <v>0</v>
      </c>
      <c r="O188" s="1201">
        <v>0</v>
      </c>
      <c r="P188" s="1195">
        <v>0</v>
      </c>
    </row>
    <row r="189" spans="1:16" ht="3.95" customHeight="1" thickBot="1">
      <c r="A189" s="281"/>
      <c r="B189" s="478"/>
      <c r="C189" s="456"/>
      <c r="D189" s="457"/>
      <c r="E189" s="458"/>
      <c r="F189" s="457"/>
      <c r="G189" s="457"/>
      <c r="H189" s="459"/>
      <c r="I189" s="456"/>
      <c r="J189" s="460"/>
      <c r="K189" s="456"/>
      <c r="L189" s="457"/>
      <c r="M189" s="461"/>
      <c r="N189" s="564"/>
      <c r="O189" s="562"/>
      <c r="P189" s="306"/>
    </row>
    <row r="190" spans="1:16" ht="3.95" customHeight="1">
      <c r="A190" s="476"/>
      <c r="B190" s="132"/>
      <c r="C190" s="451"/>
      <c r="D190" s="451"/>
      <c r="E190" s="447"/>
      <c r="F190" s="451"/>
      <c r="G190" s="451"/>
      <c r="H190" s="451"/>
      <c r="I190" s="451"/>
      <c r="J190" s="451"/>
      <c r="K190" s="451"/>
      <c r="L190" s="451"/>
      <c r="M190" s="462"/>
      <c r="N190" s="462"/>
    </row>
    <row r="191" spans="1:16">
      <c r="A191" s="63" t="s">
        <v>158</v>
      </c>
      <c r="B191" s="483"/>
      <c r="C191" s="482"/>
      <c r="D191" s="482"/>
      <c r="E191" s="484"/>
      <c r="F191" s="482"/>
      <c r="G191" s="482"/>
      <c r="H191" s="482"/>
      <c r="I191" s="464" t="s">
        <v>206</v>
      </c>
      <c r="K191" s="464"/>
      <c r="L191" s="464"/>
      <c r="M191" s="467"/>
      <c r="N191" s="467"/>
    </row>
    <row r="192" spans="1:16" ht="12" thickBot="1">
      <c r="A192" s="465"/>
      <c r="B192" s="483"/>
      <c r="C192" s="466"/>
      <c r="D192" s="466"/>
      <c r="E192" s="447"/>
      <c r="F192" s="466"/>
      <c r="G192" s="466"/>
      <c r="H192" s="466"/>
      <c r="I192" s="466"/>
      <c r="J192" s="466"/>
      <c r="K192" s="466"/>
      <c r="L192" s="466"/>
      <c r="M192" s="467"/>
      <c r="N192" s="467"/>
    </row>
    <row r="193" spans="1:16" ht="18" customHeight="1">
      <c r="A193" s="395"/>
      <c r="B193" s="433"/>
      <c r="C193" s="1962" t="s">
        <v>360</v>
      </c>
      <c r="D193" s="1963"/>
      <c r="E193" s="1963"/>
      <c r="F193" s="1963"/>
      <c r="G193" s="1963"/>
      <c r="H193" s="2051"/>
      <c r="I193" s="434" t="s">
        <v>0</v>
      </c>
      <c r="J193" s="434" t="s">
        <v>1</v>
      </c>
      <c r="K193" s="1962" t="s">
        <v>106</v>
      </c>
      <c r="L193" s="2053"/>
      <c r="M193" s="2053"/>
      <c r="N193" s="2053"/>
      <c r="O193" s="2053"/>
      <c r="P193" s="2054"/>
    </row>
    <row r="194" spans="1:16" ht="12" customHeight="1">
      <c r="A194" s="262"/>
      <c r="B194" s="208"/>
      <c r="C194" s="413"/>
      <c r="D194" s="413"/>
      <c r="E194" s="442"/>
      <c r="F194" s="499"/>
      <c r="G194" s="443"/>
      <c r="H194" s="443"/>
      <c r="I194" s="1216" t="s">
        <v>3</v>
      </c>
      <c r="J194" s="1216" t="s">
        <v>4</v>
      </c>
      <c r="K194" s="413"/>
      <c r="L194" s="413"/>
      <c r="M194" s="442"/>
      <c r="N194" s="1971" t="s">
        <v>300</v>
      </c>
      <c r="O194" s="1972"/>
      <c r="P194" s="1976"/>
    </row>
    <row r="195" spans="1:16" ht="12" customHeight="1">
      <c r="A195" s="262"/>
      <c r="B195" s="19" t="s">
        <v>8</v>
      </c>
      <c r="C195" s="519"/>
      <c r="D195" s="519"/>
      <c r="E195" s="1217"/>
      <c r="F195" s="21" t="s">
        <v>167</v>
      </c>
      <c r="G195" s="117"/>
      <c r="H195" s="117"/>
      <c r="I195" s="1216" t="s">
        <v>8</v>
      </c>
      <c r="J195" s="1216" t="s">
        <v>8</v>
      </c>
      <c r="K195" s="519"/>
      <c r="L195" s="519"/>
      <c r="M195" s="1217"/>
      <c r="N195" s="1974"/>
      <c r="O195" s="1975"/>
      <c r="P195" s="1977"/>
    </row>
    <row r="196" spans="1:16" ht="12" customHeight="1">
      <c r="A196" s="435" t="s">
        <v>43</v>
      </c>
      <c r="B196" s="19" t="s">
        <v>61</v>
      </c>
      <c r="C196" s="422" t="s">
        <v>19</v>
      </c>
      <c r="D196" s="15" t="s">
        <v>17</v>
      </c>
      <c r="E196" s="15" t="s">
        <v>18</v>
      </c>
      <c r="F196" s="26" t="s">
        <v>302</v>
      </c>
      <c r="G196" s="27"/>
      <c r="H196" s="27"/>
      <c r="I196" s="1216" t="s">
        <v>20</v>
      </c>
      <c r="J196" s="1216" t="s">
        <v>20</v>
      </c>
      <c r="K196" s="418"/>
      <c r="L196" s="418"/>
      <c r="M196" s="1218"/>
      <c r="N196" s="498"/>
      <c r="O196" s="297"/>
      <c r="P196" s="551"/>
    </row>
    <row r="197" spans="1:16" ht="12" customHeight="1">
      <c r="A197" s="262"/>
      <c r="B197" s="19" t="s">
        <v>62</v>
      </c>
      <c r="C197" s="422" t="s">
        <v>29</v>
      </c>
      <c r="D197" s="15" t="s">
        <v>28</v>
      </c>
      <c r="E197" s="15" t="s">
        <v>28</v>
      </c>
      <c r="F197" s="420"/>
      <c r="G197" s="421"/>
      <c r="H197" s="421"/>
      <c r="I197" s="1216" t="s">
        <v>33</v>
      </c>
      <c r="J197" s="1216" t="s">
        <v>33</v>
      </c>
      <c r="K197" s="1212" t="s">
        <v>19</v>
      </c>
      <c r="L197" s="15" t="s">
        <v>17</v>
      </c>
      <c r="M197" s="15" t="s">
        <v>18</v>
      </c>
      <c r="N197" s="20" t="s">
        <v>19</v>
      </c>
      <c r="O197" s="1211" t="s">
        <v>17</v>
      </c>
      <c r="P197" s="503" t="s">
        <v>18</v>
      </c>
    </row>
    <row r="198" spans="1:16" ht="12" customHeight="1">
      <c r="A198" s="262"/>
      <c r="B198" s="208"/>
      <c r="C198" s="1219"/>
      <c r="D198" s="418"/>
      <c r="E198" s="418"/>
      <c r="F198" s="15" t="s">
        <v>30</v>
      </c>
      <c r="G198" s="1211" t="s">
        <v>31</v>
      </c>
      <c r="H198" s="1211" t="s">
        <v>32</v>
      </c>
      <c r="I198" s="1216" t="s">
        <v>39</v>
      </c>
      <c r="J198" s="1216" t="s">
        <v>39</v>
      </c>
      <c r="K198" s="1212" t="s">
        <v>29</v>
      </c>
      <c r="L198" s="15" t="s">
        <v>28</v>
      </c>
      <c r="M198" s="15" t="s">
        <v>34</v>
      </c>
      <c r="N198" s="20" t="s">
        <v>29</v>
      </c>
      <c r="O198" s="1211" t="s">
        <v>28</v>
      </c>
      <c r="P198" s="503" t="s">
        <v>34</v>
      </c>
    </row>
    <row r="199" spans="1:16" ht="12" customHeight="1">
      <c r="A199" s="394"/>
      <c r="B199" s="425"/>
      <c r="C199" s="437"/>
      <c r="D199" s="438"/>
      <c r="E199" s="438"/>
      <c r="F199" s="436"/>
      <c r="G199" s="439"/>
      <c r="H199" s="439"/>
      <c r="I199" s="440"/>
      <c r="J199" s="440"/>
      <c r="K199" s="441"/>
      <c r="L199" s="438"/>
      <c r="M199" s="438"/>
      <c r="N199" s="553"/>
      <c r="O199" s="426"/>
      <c r="P199" s="518"/>
    </row>
    <row r="200" spans="1:16" ht="3" customHeight="1">
      <c r="A200" s="262"/>
      <c r="B200" s="485"/>
      <c r="C200" s="486"/>
      <c r="D200" s="462"/>
      <c r="E200" s="469"/>
      <c r="F200" s="1023"/>
      <c r="G200" s="469"/>
      <c r="H200" s="470"/>
      <c r="I200" s="471"/>
      <c r="J200" s="471"/>
      <c r="K200" s="468"/>
      <c r="L200" s="462"/>
      <c r="M200" s="462"/>
      <c r="N200" s="565"/>
      <c r="O200" s="260"/>
      <c r="P200" s="546"/>
    </row>
    <row r="201" spans="1:16" s="11" customFormat="1">
      <c r="A201" s="981" t="s">
        <v>63</v>
      </c>
      <c r="B201" s="989" t="s">
        <v>64</v>
      </c>
      <c r="C201" s="982">
        <f>21+381+183+750+180+1770+441+8835</f>
        <v>12561</v>
      </c>
      <c r="D201" s="1208">
        <f>12+231+144+540+87+900+303+7869</f>
        <v>10086</v>
      </c>
      <c r="E201" s="1209">
        <f>9+150+39+210+93+870+138+966</f>
        <v>2475</v>
      </c>
      <c r="F201" s="1208">
        <f>9+87+48+201+42+540+147+2841</f>
        <v>3915</v>
      </c>
      <c r="G201" s="487">
        <f>3+153+63+267+66+600+138+2877</f>
        <v>4167</v>
      </c>
      <c r="H201" s="1209">
        <f>9+138+72+282+72+633+156+3114</f>
        <v>4476</v>
      </c>
      <c r="I201" s="983">
        <f>9+180+75+258+81+675+165+3315</f>
        <v>4758</v>
      </c>
      <c r="J201" s="446">
        <f>6+42+18+93+24+216+63+1095</f>
        <v>1557</v>
      </c>
      <c r="K201" s="446">
        <f>144+75+294+69+669+162+3111</f>
        <v>4524</v>
      </c>
      <c r="L201" s="983">
        <f>84+60+201+27+321+123+2769</f>
        <v>3585</v>
      </c>
      <c r="M201" s="448">
        <f>60+15+93+45+348+39+342</f>
        <v>942</v>
      </c>
      <c r="N201" s="983">
        <f>135+69+240+66+600+132+2454</f>
        <v>3696</v>
      </c>
      <c r="O201" s="983">
        <f>78+57+162+24+282+96+2166</f>
        <v>2865</v>
      </c>
      <c r="P201" s="1193">
        <f>57+12+78+42+318+36+288</f>
        <v>831</v>
      </c>
    </row>
    <row r="202" spans="1:16" ht="12.95" customHeight="1">
      <c r="A202" s="435"/>
      <c r="B202" s="449" t="s">
        <v>65</v>
      </c>
      <c r="C202" s="488">
        <v>1770</v>
      </c>
      <c r="D202" s="1022">
        <v>900</v>
      </c>
      <c r="E202" s="474">
        <v>870</v>
      </c>
      <c r="F202" s="1022">
        <v>540</v>
      </c>
      <c r="G202" s="473">
        <v>600</v>
      </c>
      <c r="H202" s="474">
        <v>633</v>
      </c>
      <c r="I202" s="477">
        <v>675</v>
      </c>
      <c r="J202" s="450">
        <v>216</v>
      </c>
      <c r="K202" s="450">
        <v>669</v>
      </c>
      <c r="L202" s="451">
        <v>321</v>
      </c>
      <c r="M202" s="452">
        <v>348</v>
      </c>
      <c r="N202" s="452">
        <v>600</v>
      </c>
      <c r="O202" s="1194">
        <v>282</v>
      </c>
      <c r="P202" s="1195">
        <v>318</v>
      </c>
    </row>
    <row r="203" spans="1:16" ht="12.95" customHeight="1">
      <c r="A203" s="435"/>
      <c r="B203" s="449" t="s">
        <v>66</v>
      </c>
      <c r="C203" s="488">
        <v>381</v>
      </c>
      <c r="D203" s="1022">
        <v>231</v>
      </c>
      <c r="E203" s="474">
        <v>150</v>
      </c>
      <c r="F203" s="1022">
        <v>87</v>
      </c>
      <c r="G203" s="473">
        <v>153</v>
      </c>
      <c r="H203" s="474">
        <v>138</v>
      </c>
      <c r="I203" s="477">
        <v>180</v>
      </c>
      <c r="J203" s="450">
        <v>42</v>
      </c>
      <c r="K203" s="450">
        <v>144</v>
      </c>
      <c r="L203" s="451">
        <v>84</v>
      </c>
      <c r="M203" s="452">
        <v>60</v>
      </c>
      <c r="N203" s="452">
        <v>135</v>
      </c>
      <c r="O203" s="1194">
        <v>78</v>
      </c>
      <c r="P203" s="1195">
        <v>57</v>
      </c>
    </row>
    <row r="204" spans="1:16" ht="12.95" customHeight="1">
      <c r="A204" s="435"/>
      <c r="B204" s="449" t="s">
        <v>67</v>
      </c>
      <c r="C204" s="488">
        <v>750</v>
      </c>
      <c r="D204" s="1022">
        <v>540</v>
      </c>
      <c r="E204" s="474">
        <v>210</v>
      </c>
      <c r="F204" s="1022">
        <v>201</v>
      </c>
      <c r="G204" s="473">
        <v>267</v>
      </c>
      <c r="H204" s="474">
        <v>282</v>
      </c>
      <c r="I204" s="477">
        <v>258</v>
      </c>
      <c r="J204" s="450">
        <v>93</v>
      </c>
      <c r="K204" s="450">
        <v>294</v>
      </c>
      <c r="L204" s="451">
        <v>201</v>
      </c>
      <c r="M204" s="452">
        <v>93</v>
      </c>
      <c r="N204" s="452">
        <v>240</v>
      </c>
      <c r="O204" s="1194">
        <v>162</v>
      </c>
      <c r="P204" s="1195">
        <v>78</v>
      </c>
    </row>
    <row r="205" spans="1:16" ht="12.95" customHeight="1">
      <c r="A205" s="435"/>
      <c r="B205" s="449" t="s">
        <v>68</v>
      </c>
      <c r="C205" s="488">
        <v>183</v>
      </c>
      <c r="D205" s="1022">
        <v>144</v>
      </c>
      <c r="E205" s="474">
        <v>39</v>
      </c>
      <c r="F205" s="1022">
        <v>48</v>
      </c>
      <c r="G205" s="473">
        <v>63</v>
      </c>
      <c r="H205" s="474">
        <v>72</v>
      </c>
      <c r="I205" s="477">
        <v>75</v>
      </c>
      <c r="J205" s="450">
        <v>18</v>
      </c>
      <c r="K205" s="450">
        <v>75</v>
      </c>
      <c r="L205" s="473">
        <v>60</v>
      </c>
      <c r="M205" s="474">
        <v>15</v>
      </c>
      <c r="N205" s="452">
        <v>69</v>
      </c>
      <c r="O205" s="1201">
        <v>57</v>
      </c>
      <c r="P205" s="1195">
        <v>12</v>
      </c>
    </row>
    <row r="206" spans="1:16" ht="12.95" customHeight="1">
      <c r="A206" s="435"/>
      <c r="B206" s="449" t="s">
        <v>69</v>
      </c>
      <c r="C206" s="488">
        <v>8835</v>
      </c>
      <c r="D206" s="1022">
        <v>7869</v>
      </c>
      <c r="E206" s="474">
        <v>966</v>
      </c>
      <c r="F206" s="1022">
        <v>2841</v>
      </c>
      <c r="G206" s="473">
        <v>2877</v>
      </c>
      <c r="H206" s="474">
        <v>3114</v>
      </c>
      <c r="I206" s="477">
        <v>3315</v>
      </c>
      <c r="J206" s="450">
        <v>1095</v>
      </c>
      <c r="K206" s="450">
        <v>3111</v>
      </c>
      <c r="L206" s="451">
        <v>2769</v>
      </c>
      <c r="M206" s="452">
        <v>342</v>
      </c>
      <c r="N206" s="452">
        <v>2454</v>
      </c>
      <c r="O206" s="1194">
        <v>2166</v>
      </c>
      <c r="P206" s="1195">
        <v>288</v>
      </c>
    </row>
    <row r="207" spans="1:16" ht="12.95" customHeight="1">
      <c r="A207" s="435"/>
      <c r="B207" s="449" t="s">
        <v>70</v>
      </c>
      <c r="C207" s="488">
        <v>441</v>
      </c>
      <c r="D207" s="1022">
        <v>303</v>
      </c>
      <c r="E207" s="474">
        <v>138</v>
      </c>
      <c r="F207" s="1022">
        <v>147</v>
      </c>
      <c r="G207" s="473">
        <v>138</v>
      </c>
      <c r="H207" s="474">
        <v>156</v>
      </c>
      <c r="I207" s="477">
        <v>165</v>
      </c>
      <c r="J207" s="450">
        <v>63</v>
      </c>
      <c r="K207" s="450">
        <v>162</v>
      </c>
      <c r="L207" s="451">
        <v>123</v>
      </c>
      <c r="M207" s="452">
        <v>39</v>
      </c>
      <c r="N207" s="452">
        <v>132</v>
      </c>
      <c r="O207" s="1194">
        <v>96</v>
      </c>
      <c r="P207" s="1195">
        <v>36</v>
      </c>
    </row>
    <row r="208" spans="1:16" ht="12.95" customHeight="1">
      <c r="A208" s="435"/>
      <c r="B208" s="439" t="s">
        <v>71</v>
      </c>
      <c r="C208" s="488">
        <v>180</v>
      </c>
      <c r="D208" s="1022">
        <v>87</v>
      </c>
      <c r="E208" s="474">
        <v>93</v>
      </c>
      <c r="F208" s="1022">
        <v>42</v>
      </c>
      <c r="G208" s="473">
        <v>66</v>
      </c>
      <c r="H208" s="474">
        <v>72</v>
      </c>
      <c r="I208" s="477">
        <v>81</v>
      </c>
      <c r="J208" s="450">
        <v>24</v>
      </c>
      <c r="K208" s="450">
        <v>69</v>
      </c>
      <c r="L208" s="473">
        <v>27</v>
      </c>
      <c r="M208" s="474">
        <v>45</v>
      </c>
      <c r="N208" s="452">
        <v>66</v>
      </c>
      <c r="O208" s="1201">
        <v>24</v>
      </c>
      <c r="P208" s="1195">
        <v>42</v>
      </c>
    </row>
    <row r="209" spans="1:16" ht="12.95" customHeight="1">
      <c r="A209" s="435"/>
      <c r="B209" s="439" t="s">
        <v>356</v>
      </c>
      <c r="C209" s="488">
        <v>21</v>
      </c>
      <c r="D209" s="473">
        <v>12</v>
      </c>
      <c r="E209" s="473">
        <v>9</v>
      </c>
      <c r="F209" s="1022">
        <v>9</v>
      </c>
      <c r="G209" s="473">
        <v>3</v>
      </c>
      <c r="H209" s="474">
        <v>9</v>
      </c>
      <c r="I209" s="477">
        <v>9</v>
      </c>
      <c r="J209" s="450">
        <v>6</v>
      </c>
      <c r="K209" s="450">
        <f t="shared" ref="K209:P209" si="17">K78</f>
        <v>0</v>
      </c>
      <c r="L209" s="473">
        <f t="shared" si="17"/>
        <v>0</v>
      </c>
      <c r="M209" s="474">
        <f t="shared" si="17"/>
        <v>0</v>
      </c>
      <c r="N209" s="451">
        <f t="shared" si="17"/>
        <v>0</v>
      </c>
      <c r="O209" s="1201">
        <f t="shared" si="17"/>
        <v>0</v>
      </c>
      <c r="P209" s="1195">
        <f t="shared" si="17"/>
        <v>0</v>
      </c>
    </row>
    <row r="210" spans="1:16" ht="3" customHeight="1" thickBot="1">
      <c r="A210" s="490"/>
      <c r="B210" s="491"/>
      <c r="C210" s="1231"/>
      <c r="D210" s="492"/>
      <c r="E210" s="492"/>
      <c r="F210" s="1024"/>
      <c r="G210" s="492"/>
      <c r="H210" s="493"/>
      <c r="I210" s="494"/>
      <c r="J210" s="494"/>
      <c r="K210" s="1231"/>
      <c r="L210" s="492"/>
      <c r="M210" s="493"/>
      <c r="N210" s="566"/>
      <c r="O210" s="562"/>
      <c r="P210" s="306"/>
    </row>
    <row r="211" spans="1:16" ht="3" customHeight="1">
      <c r="A211" s="116"/>
      <c r="B211" s="132"/>
      <c r="C211" s="447"/>
      <c r="D211" s="489"/>
      <c r="E211" s="489"/>
      <c r="F211" s="489"/>
      <c r="G211" s="489"/>
      <c r="H211" s="489"/>
      <c r="I211" s="489"/>
      <c r="J211" s="489"/>
      <c r="K211" s="447"/>
      <c r="L211" s="489"/>
      <c r="M211" s="489"/>
      <c r="N211" s="487"/>
    </row>
    <row r="212" spans="1:16" ht="11.85" customHeight="1">
      <c r="A212" s="70" t="s">
        <v>299</v>
      </c>
      <c r="B212" s="132"/>
      <c r="C212" s="447"/>
      <c r="D212" s="489"/>
      <c r="E212" s="489"/>
      <c r="F212" s="489"/>
      <c r="G212" s="489"/>
      <c r="H212" s="489"/>
      <c r="I212" s="489"/>
      <c r="J212" s="489"/>
      <c r="K212" s="447"/>
      <c r="L212" s="489"/>
      <c r="M212" s="489"/>
      <c r="N212" s="487"/>
    </row>
    <row r="213" spans="1:16" ht="15" customHeight="1">
      <c r="A213" s="71"/>
      <c r="B213" s="132"/>
      <c r="C213" s="447"/>
      <c r="D213" s="489"/>
      <c r="E213" s="489"/>
      <c r="F213" s="489"/>
      <c r="G213" s="489"/>
      <c r="H213" s="489"/>
      <c r="I213" s="489"/>
      <c r="J213" s="489"/>
      <c r="K213" s="447"/>
      <c r="L213" s="489"/>
      <c r="M213" s="489"/>
      <c r="N213" s="487"/>
    </row>
    <row r="214" spans="1:16">
      <c r="A214" s="497"/>
      <c r="B214" s="132"/>
      <c r="C214" s="496"/>
      <c r="D214" s="489"/>
      <c r="E214" s="489"/>
      <c r="F214" s="489"/>
      <c r="G214" s="489"/>
      <c r="H214" s="489"/>
      <c r="I214" s="489"/>
      <c r="J214" s="489"/>
      <c r="K214" s="447"/>
      <c r="L214" s="489"/>
      <c r="M214" s="489"/>
      <c r="N214" s="487"/>
    </row>
    <row r="215" spans="1:16">
      <c r="A215" s="495" t="s">
        <v>63</v>
      </c>
      <c r="B215" s="70" t="s">
        <v>64</v>
      </c>
      <c r="C215" s="473">
        <v>12546</v>
      </c>
      <c r="D215" s="489">
        <v>10080</v>
      </c>
      <c r="E215" s="489">
        <v>2469</v>
      </c>
      <c r="F215" s="489">
        <v>3918</v>
      </c>
      <c r="G215" s="489">
        <v>4173</v>
      </c>
      <c r="H215" s="489">
        <v>4464</v>
      </c>
      <c r="I215" s="489">
        <v>4755</v>
      </c>
      <c r="J215" s="489">
        <v>1545</v>
      </c>
      <c r="K215" s="473">
        <v>4524</v>
      </c>
      <c r="L215" s="489">
        <v>3579</v>
      </c>
      <c r="M215" s="489">
        <v>924</v>
      </c>
      <c r="N215" s="489">
        <v>3696</v>
      </c>
      <c r="O215" s="70">
        <v>2868</v>
      </c>
      <c r="P215" s="70">
        <v>828</v>
      </c>
    </row>
    <row r="216" spans="1:16">
      <c r="B216" s="70" t="s">
        <v>65</v>
      </c>
      <c r="C216" s="70">
        <v>1767</v>
      </c>
      <c r="D216" s="70">
        <v>900</v>
      </c>
      <c r="E216" s="70">
        <v>864</v>
      </c>
      <c r="F216" s="70">
        <v>537</v>
      </c>
      <c r="G216" s="70">
        <v>594</v>
      </c>
      <c r="H216" s="70">
        <v>627</v>
      </c>
      <c r="I216" s="430">
        <v>681</v>
      </c>
      <c r="J216" s="430">
        <v>216</v>
      </c>
      <c r="K216" s="70">
        <v>672</v>
      </c>
      <c r="L216" s="70">
        <v>321</v>
      </c>
      <c r="M216" s="70">
        <v>345</v>
      </c>
      <c r="N216" s="70">
        <v>597</v>
      </c>
      <c r="O216" s="70">
        <v>282</v>
      </c>
      <c r="P216" s="70">
        <v>324</v>
      </c>
    </row>
    <row r="217" spans="1:16">
      <c r="B217" s="70" t="s">
        <v>66</v>
      </c>
      <c r="C217" s="70">
        <v>375</v>
      </c>
      <c r="D217" s="70">
        <v>231</v>
      </c>
      <c r="E217" s="70">
        <v>153</v>
      </c>
      <c r="F217" s="70">
        <v>87</v>
      </c>
      <c r="G217" s="70">
        <v>153</v>
      </c>
      <c r="H217" s="70">
        <v>144</v>
      </c>
      <c r="I217" s="430">
        <v>174</v>
      </c>
      <c r="J217" s="430">
        <v>39</v>
      </c>
      <c r="K217" s="70">
        <v>138</v>
      </c>
      <c r="L217" s="70">
        <v>84</v>
      </c>
      <c r="M217" s="70">
        <v>57</v>
      </c>
      <c r="N217" s="70">
        <v>135</v>
      </c>
      <c r="O217" s="70">
        <v>75</v>
      </c>
      <c r="P217" s="70">
        <v>54</v>
      </c>
    </row>
    <row r="218" spans="1:16">
      <c r="B218" s="70" t="s">
        <v>67</v>
      </c>
      <c r="C218" s="70">
        <v>744</v>
      </c>
      <c r="D218" s="70">
        <v>537</v>
      </c>
      <c r="E218" s="70">
        <v>216</v>
      </c>
      <c r="F218" s="70">
        <v>204</v>
      </c>
      <c r="G218" s="70">
        <v>267</v>
      </c>
      <c r="H218" s="70">
        <v>282</v>
      </c>
      <c r="I218" s="430">
        <v>258</v>
      </c>
      <c r="J218" s="430">
        <v>90</v>
      </c>
      <c r="K218" s="70">
        <v>294</v>
      </c>
      <c r="L218" s="70">
        <v>204</v>
      </c>
      <c r="M218" s="70">
        <v>87</v>
      </c>
      <c r="N218" s="70">
        <v>237</v>
      </c>
      <c r="O218" s="70">
        <v>168</v>
      </c>
      <c r="P218" s="70">
        <v>72</v>
      </c>
    </row>
    <row r="219" spans="1:16">
      <c r="B219" s="70" t="s">
        <v>68</v>
      </c>
      <c r="C219" s="70">
        <v>180</v>
      </c>
      <c r="D219" s="70">
        <v>144</v>
      </c>
      <c r="E219" s="70">
        <v>39</v>
      </c>
      <c r="F219" s="70">
        <v>45</v>
      </c>
      <c r="G219" s="70">
        <v>63</v>
      </c>
      <c r="H219" s="70">
        <v>66</v>
      </c>
      <c r="I219" s="430">
        <v>78</v>
      </c>
      <c r="J219" s="430">
        <v>18</v>
      </c>
      <c r="K219" s="70">
        <v>75</v>
      </c>
      <c r="L219" s="70">
        <v>57</v>
      </c>
      <c r="M219" s="70">
        <v>9</v>
      </c>
      <c r="N219" s="70">
        <v>72</v>
      </c>
      <c r="O219" s="70">
        <v>54</v>
      </c>
      <c r="P219" s="70">
        <v>9</v>
      </c>
    </row>
    <row r="220" spans="1:16">
      <c r="B220" s="70" t="s">
        <v>69</v>
      </c>
      <c r="C220" s="70">
        <v>8835</v>
      </c>
      <c r="D220" s="70">
        <v>7863</v>
      </c>
      <c r="E220" s="70">
        <v>966</v>
      </c>
      <c r="F220" s="70">
        <v>2844</v>
      </c>
      <c r="G220" s="70">
        <v>2880</v>
      </c>
      <c r="H220" s="70">
        <v>3117</v>
      </c>
      <c r="I220" s="430">
        <v>3309</v>
      </c>
      <c r="J220" s="430">
        <v>1095</v>
      </c>
      <c r="K220" s="70">
        <v>3114</v>
      </c>
      <c r="L220" s="70">
        <v>2769</v>
      </c>
      <c r="M220" s="70">
        <v>342</v>
      </c>
      <c r="N220" s="70">
        <v>2454</v>
      </c>
      <c r="O220" s="70">
        <v>2169</v>
      </c>
      <c r="P220" s="70">
        <v>288</v>
      </c>
    </row>
    <row r="221" spans="1:16">
      <c r="B221" s="70" t="s">
        <v>70</v>
      </c>
      <c r="C221" s="70">
        <v>444</v>
      </c>
      <c r="D221" s="70">
        <v>306</v>
      </c>
      <c r="E221" s="70">
        <v>129</v>
      </c>
      <c r="F221" s="70">
        <v>150</v>
      </c>
      <c r="G221" s="70">
        <v>141</v>
      </c>
      <c r="H221" s="70">
        <v>150</v>
      </c>
      <c r="I221" s="430">
        <v>168</v>
      </c>
      <c r="J221" s="430">
        <v>60</v>
      </c>
      <c r="K221" s="70">
        <v>162</v>
      </c>
      <c r="L221" s="70">
        <v>120</v>
      </c>
      <c r="M221" s="70">
        <v>39</v>
      </c>
      <c r="N221" s="70">
        <v>135</v>
      </c>
      <c r="O221" s="70">
        <v>96</v>
      </c>
      <c r="P221" s="70">
        <v>36</v>
      </c>
    </row>
    <row r="222" spans="1:16">
      <c r="B222" s="70" t="s">
        <v>71</v>
      </c>
      <c r="C222" s="70">
        <v>180</v>
      </c>
      <c r="D222" s="70">
        <v>87</v>
      </c>
      <c r="E222" s="70">
        <v>93</v>
      </c>
      <c r="F222" s="70">
        <v>42</v>
      </c>
      <c r="G222" s="70">
        <v>72</v>
      </c>
      <c r="H222" s="70">
        <v>69</v>
      </c>
      <c r="I222" s="430">
        <v>78</v>
      </c>
      <c r="J222" s="430">
        <v>21</v>
      </c>
      <c r="K222" s="70">
        <v>69</v>
      </c>
      <c r="L222" s="70">
        <v>24</v>
      </c>
      <c r="M222" s="70">
        <v>45</v>
      </c>
      <c r="N222" s="70">
        <v>66</v>
      </c>
      <c r="O222" s="70">
        <v>24</v>
      </c>
      <c r="P222" s="70">
        <v>45</v>
      </c>
    </row>
    <row r="223" spans="1:16">
      <c r="B223" s="70" t="s">
        <v>356</v>
      </c>
      <c r="C223" s="70">
        <v>21</v>
      </c>
      <c r="D223" s="70">
        <v>12</v>
      </c>
      <c r="E223" s="70">
        <v>9</v>
      </c>
      <c r="F223" s="70">
        <v>9</v>
      </c>
      <c r="G223" s="70">
        <v>3</v>
      </c>
      <c r="H223" s="70">
        <v>9</v>
      </c>
      <c r="I223" s="430">
        <v>9</v>
      </c>
      <c r="J223" s="430">
        <v>6</v>
      </c>
      <c r="K223" s="70">
        <v>0</v>
      </c>
      <c r="L223" s="70">
        <v>0</v>
      </c>
      <c r="M223" s="70">
        <v>0</v>
      </c>
      <c r="N223" s="70">
        <v>0</v>
      </c>
      <c r="O223" s="70">
        <v>0</v>
      </c>
      <c r="P223" s="70">
        <v>0</v>
      </c>
    </row>
    <row r="225" spans="1:16">
      <c r="A225" s="495" t="s">
        <v>63</v>
      </c>
      <c r="B225" s="70" t="s">
        <v>64</v>
      </c>
      <c r="C225" s="1318">
        <f>C201-C215</f>
        <v>15</v>
      </c>
      <c r="D225" s="1318">
        <f t="shared" ref="D225:P225" si="18">D201-D215</f>
        <v>6</v>
      </c>
      <c r="E225" s="1318">
        <f t="shared" si="18"/>
        <v>6</v>
      </c>
      <c r="F225" s="1315">
        <f t="shared" si="18"/>
        <v>-3</v>
      </c>
      <c r="G225" s="1315">
        <f t="shared" si="18"/>
        <v>-6</v>
      </c>
      <c r="H225" s="1318">
        <f t="shared" si="18"/>
        <v>12</v>
      </c>
      <c r="I225" s="1329">
        <f t="shared" si="18"/>
        <v>3</v>
      </c>
      <c r="J225" s="1329">
        <f t="shared" si="18"/>
        <v>12</v>
      </c>
      <c r="K225" s="1347">
        <f t="shared" si="18"/>
        <v>0</v>
      </c>
      <c r="L225" s="1329">
        <f t="shared" si="18"/>
        <v>6</v>
      </c>
      <c r="M225" s="1329">
        <f t="shared" si="18"/>
        <v>18</v>
      </c>
      <c r="N225" s="1348">
        <f t="shared" si="18"/>
        <v>0</v>
      </c>
      <c r="O225" s="1320">
        <f t="shared" si="18"/>
        <v>-3</v>
      </c>
      <c r="P225" s="1320">
        <f t="shared" si="18"/>
        <v>3</v>
      </c>
    </row>
    <row r="226" spans="1:16">
      <c r="B226" s="70" t="s">
        <v>65</v>
      </c>
      <c r="C226" s="1318">
        <f t="shared" ref="C226:P226" si="19">C202-C216</f>
        <v>3</v>
      </c>
      <c r="D226" s="1319">
        <f t="shared" si="19"/>
        <v>0</v>
      </c>
      <c r="E226" s="1318">
        <f t="shared" si="19"/>
        <v>6</v>
      </c>
      <c r="F226" s="1318">
        <f t="shared" si="19"/>
        <v>3</v>
      </c>
      <c r="G226" s="1318">
        <f t="shared" si="19"/>
        <v>6</v>
      </c>
      <c r="H226" s="1318">
        <f t="shared" si="19"/>
        <v>6</v>
      </c>
      <c r="I226" s="1331">
        <f t="shared" si="19"/>
        <v>-6</v>
      </c>
      <c r="J226" s="1332">
        <f t="shared" si="19"/>
        <v>0</v>
      </c>
      <c r="K226" s="1320">
        <f t="shared" si="19"/>
        <v>-3</v>
      </c>
      <c r="L226" s="1319">
        <f t="shared" si="19"/>
        <v>0</v>
      </c>
      <c r="M226" s="1318">
        <f t="shared" si="19"/>
        <v>3</v>
      </c>
      <c r="N226" s="1318">
        <f t="shared" si="19"/>
        <v>3</v>
      </c>
      <c r="O226" s="1319">
        <f t="shared" si="19"/>
        <v>0</v>
      </c>
      <c r="P226" s="1320">
        <f t="shared" si="19"/>
        <v>-6</v>
      </c>
    </row>
    <row r="227" spans="1:16">
      <c r="B227" s="70" t="s">
        <v>66</v>
      </c>
      <c r="C227" s="1318">
        <f t="shared" ref="C227:P227" si="20">C203-C217</f>
        <v>6</v>
      </c>
      <c r="D227" s="1319">
        <f t="shared" si="20"/>
        <v>0</v>
      </c>
      <c r="E227" s="1320">
        <f t="shared" si="20"/>
        <v>-3</v>
      </c>
      <c r="F227" s="1319">
        <f t="shared" si="20"/>
        <v>0</v>
      </c>
      <c r="G227" s="1319">
        <f t="shared" si="20"/>
        <v>0</v>
      </c>
      <c r="H227" s="1320">
        <f t="shared" si="20"/>
        <v>-6</v>
      </c>
      <c r="I227" s="1330">
        <f t="shared" si="20"/>
        <v>6</v>
      </c>
      <c r="J227" s="1330">
        <f t="shared" si="20"/>
        <v>3</v>
      </c>
      <c r="K227" s="1318">
        <f t="shared" si="20"/>
        <v>6</v>
      </c>
      <c r="L227" s="1319">
        <f t="shared" si="20"/>
        <v>0</v>
      </c>
      <c r="M227" s="1318">
        <f t="shared" si="20"/>
        <v>3</v>
      </c>
      <c r="N227" s="1319">
        <f t="shared" si="20"/>
        <v>0</v>
      </c>
      <c r="O227" s="1318">
        <f t="shared" si="20"/>
        <v>3</v>
      </c>
      <c r="P227" s="1318">
        <f t="shared" si="20"/>
        <v>3</v>
      </c>
    </row>
    <row r="228" spans="1:16">
      <c r="B228" s="70" t="s">
        <v>67</v>
      </c>
      <c r="C228" s="1318">
        <f t="shared" ref="C228:P228" si="21">C204-C218</f>
        <v>6</v>
      </c>
      <c r="D228" s="1318">
        <f t="shared" si="21"/>
        <v>3</v>
      </c>
      <c r="E228" s="1320">
        <f t="shared" si="21"/>
        <v>-6</v>
      </c>
      <c r="F228" s="1320">
        <f t="shared" si="21"/>
        <v>-3</v>
      </c>
      <c r="G228" s="1319">
        <f t="shared" si="21"/>
        <v>0</v>
      </c>
      <c r="H228" s="1319">
        <f t="shared" si="21"/>
        <v>0</v>
      </c>
      <c r="I228" s="1332">
        <f t="shared" si="21"/>
        <v>0</v>
      </c>
      <c r="J228" s="1330">
        <f t="shared" si="21"/>
        <v>3</v>
      </c>
      <c r="K228" s="1319">
        <f t="shared" si="21"/>
        <v>0</v>
      </c>
      <c r="L228" s="1320">
        <f t="shared" si="21"/>
        <v>-3</v>
      </c>
      <c r="M228" s="1318">
        <f t="shared" si="21"/>
        <v>6</v>
      </c>
      <c r="N228" s="1318">
        <f t="shared" si="21"/>
        <v>3</v>
      </c>
      <c r="O228" s="1320">
        <f t="shared" si="21"/>
        <v>-6</v>
      </c>
      <c r="P228" s="1318">
        <f t="shared" si="21"/>
        <v>6</v>
      </c>
    </row>
    <row r="229" spans="1:16">
      <c r="B229" s="70" t="s">
        <v>68</v>
      </c>
      <c r="C229" s="1318">
        <f t="shared" ref="C229:P229" si="22">C205-C219</f>
        <v>3</v>
      </c>
      <c r="D229" s="1319">
        <f t="shared" si="22"/>
        <v>0</v>
      </c>
      <c r="E229" s="1319">
        <f t="shared" si="22"/>
        <v>0</v>
      </c>
      <c r="F229" s="1318">
        <f t="shared" si="22"/>
        <v>3</v>
      </c>
      <c r="G229" s="1319">
        <f t="shared" si="22"/>
        <v>0</v>
      </c>
      <c r="H229" s="1318">
        <f t="shared" si="22"/>
        <v>6</v>
      </c>
      <c r="I229" s="1331">
        <f t="shared" si="22"/>
        <v>-3</v>
      </c>
      <c r="J229" s="1332">
        <f t="shared" si="22"/>
        <v>0</v>
      </c>
      <c r="K229" s="1319">
        <f t="shared" si="22"/>
        <v>0</v>
      </c>
      <c r="L229" s="1318">
        <f t="shared" si="22"/>
        <v>3</v>
      </c>
      <c r="M229" s="1318">
        <f t="shared" si="22"/>
        <v>6</v>
      </c>
      <c r="N229" s="1320">
        <f t="shared" si="22"/>
        <v>-3</v>
      </c>
      <c r="O229" s="1318">
        <f t="shared" si="22"/>
        <v>3</v>
      </c>
      <c r="P229" s="1318">
        <f t="shared" si="22"/>
        <v>3</v>
      </c>
    </row>
    <row r="230" spans="1:16">
      <c r="B230" s="70" t="s">
        <v>69</v>
      </c>
      <c r="C230" s="1319">
        <f t="shared" ref="C230:P230" si="23">C206-C220</f>
        <v>0</v>
      </c>
      <c r="D230" s="1318">
        <f t="shared" si="23"/>
        <v>6</v>
      </c>
      <c r="E230" s="1319">
        <f t="shared" si="23"/>
        <v>0</v>
      </c>
      <c r="F230" s="1320">
        <f t="shared" si="23"/>
        <v>-3</v>
      </c>
      <c r="G230" s="1320">
        <f t="shared" si="23"/>
        <v>-3</v>
      </c>
      <c r="H230" s="1320">
        <f t="shared" si="23"/>
        <v>-3</v>
      </c>
      <c r="I230" s="1330">
        <f t="shared" si="23"/>
        <v>6</v>
      </c>
      <c r="J230" s="1332">
        <f t="shared" si="23"/>
        <v>0</v>
      </c>
      <c r="K230" s="1320">
        <f t="shared" si="23"/>
        <v>-3</v>
      </c>
      <c r="L230" s="1319">
        <f t="shared" si="23"/>
        <v>0</v>
      </c>
      <c r="M230" s="1319">
        <f t="shared" si="23"/>
        <v>0</v>
      </c>
      <c r="N230" s="1319">
        <f t="shared" si="23"/>
        <v>0</v>
      </c>
      <c r="O230" s="1320">
        <f t="shared" si="23"/>
        <v>-3</v>
      </c>
      <c r="P230" s="1319">
        <f t="shared" si="23"/>
        <v>0</v>
      </c>
    </row>
    <row r="231" spans="1:16">
      <c r="B231" s="70" t="s">
        <v>70</v>
      </c>
      <c r="C231" s="1320">
        <f t="shared" ref="C231:P231" si="24">C207-C221</f>
        <v>-3</v>
      </c>
      <c r="D231" s="1320">
        <f t="shared" si="24"/>
        <v>-3</v>
      </c>
      <c r="E231" s="1318">
        <f t="shared" si="24"/>
        <v>9</v>
      </c>
      <c r="F231" s="1320">
        <f t="shared" si="24"/>
        <v>-3</v>
      </c>
      <c r="G231" s="1320">
        <f t="shared" si="24"/>
        <v>-3</v>
      </c>
      <c r="H231" s="1320">
        <f t="shared" si="24"/>
        <v>6</v>
      </c>
      <c r="I231" s="1331">
        <f t="shared" si="24"/>
        <v>-3</v>
      </c>
      <c r="J231" s="1330">
        <f t="shared" si="24"/>
        <v>3</v>
      </c>
      <c r="K231" s="1319">
        <f t="shared" si="24"/>
        <v>0</v>
      </c>
      <c r="L231" s="1318">
        <f t="shared" si="24"/>
        <v>3</v>
      </c>
      <c r="M231" s="1319">
        <f t="shared" si="24"/>
        <v>0</v>
      </c>
      <c r="N231" s="1320">
        <f t="shared" si="24"/>
        <v>-3</v>
      </c>
      <c r="O231" s="1319">
        <f t="shared" si="24"/>
        <v>0</v>
      </c>
      <c r="P231" s="1319">
        <f t="shared" si="24"/>
        <v>0</v>
      </c>
    </row>
    <row r="232" spans="1:16">
      <c r="B232" s="70" t="s">
        <v>71</v>
      </c>
      <c r="C232" s="1319">
        <f t="shared" ref="C232:P232" si="25">C208-C222</f>
        <v>0</v>
      </c>
      <c r="D232" s="1319">
        <f t="shared" si="25"/>
        <v>0</v>
      </c>
      <c r="E232" s="1319">
        <f t="shared" si="25"/>
        <v>0</v>
      </c>
      <c r="F232" s="1319">
        <f t="shared" si="25"/>
        <v>0</v>
      </c>
      <c r="G232" s="1320">
        <f t="shared" si="25"/>
        <v>-6</v>
      </c>
      <c r="H232" s="1318">
        <f t="shared" si="25"/>
        <v>3</v>
      </c>
      <c r="I232" s="1330">
        <f t="shared" si="25"/>
        <v>3</v>
      </c>
      <c r="J232" s="1330">
        <f t="shared" si="25"/>
        <v>3</v>
      </c>
      <c r="K232" s="1319">
        <f t="shared" si="25"/>
        <v>0</v>
      </c>
      <c r="L232" s="1318">
        <f t="shared" si="25"/>
        <v>3</v>
      </c>
      <c r="M232" s="1319">
        <f t="shared" si="25"/>
        <v>0</v>
      </c>
      <c r="N232" s="1319">
        <f t="shared" si="25"/>
        <v>0</v>
      </c>
      <c r="O232" s="1319">
        <f t="shared" si="25"/>
        <v>0</v>
      </c>
      <c r="P232" s="1320">
        <f t="shared" si="25"/>
        <v>-3</v>
      </c>
    </row>
    <row r="233" spans="1:16">
      <c r="B233" s="70" t="s">
        <v>356</v>
      </c>
      <c r="C233" s="1319">
        <f t="shared" ref="C233:P233" si="26">C209-C223</f>
        <v>0</v>
      </c>
      <c r="D233" s="1319">
        <f t="shared" si="26"/>
        <v>0</v>
      </c>
      <c r="E233" s="1319">
        <f t="shared" si="26"/>
        <v>0</v>
      </c>
      <c r="F233" s="1319">
        <f t="shared" si="26"/>
        <v>0</v>
      </c>
      <c r="G233" s="1319">
        <f t="shared" si="26"/>
        <v>0</v>
      </c>
      <c r="H233" s="1319">
        <f t="shared" si="26"/>
        <v>0</v>
      </c>
      <c r="I233" s="1332">
        <f t="shared" si="26"/>
        <v>0</v>
      </c>
      <c r="J233" s="1332">
        <f t="shared" si="26"/>
        <v>0</v>
      </c>
      <c r="K233" s="1319">
        <f t="shared" si="26"/>
        <v>0</v>
      </c>
      <c r="L233" s="1319">
        <f t="shared" si="26"/>
        <v>0</v>
      </c>
      <c r="M233" s="1319">
        <f t="shared" si="26"/>
        <v>0</v>
      </c>
      <c r="N233" s="1319">
        <f t="shared" si="26"/>
        <v>0</v>
      </c>
      <c r="O233" s="1319">
        <f t="shared" si="26"/>
        <v>0</v>
      </c>
      <c r="P233" s="1319">
        <f t="shared" si="26"/>
        <v>0</v>
      </c>
    </row>
  </sheetData>
  <mergeCells count="17">
    <mergeCell ref="N102:P103"/>
    <mergeCell ref="N148:P149"/>
    <mergeCell ref="N194:P195"/>
    <mergeCell ref="A2:C2"/>
    <mergeCell ref="C53:H53"/>
    <mergeCell ref="C147:H147"/>
    <mergeCell ref="C193:H193"/>
    <mergeCell ref="C101:H101"/>
    <mergeCell ref="A4:P4"/>
    <mergeCell ref="C6:H6"/>
    <mergeCell ref="K6:P6"/>
    <mergeCell ref="K53:P53"/>
    <mergeCell ref="K101:P101"/>
    <mergeCell ref="K147:P147"/>
    <mergeCell ref="K193:P193"/>
    <mergeCell ref="N7:P8"/>
    <mergeCell ref="N54:P55"/>
  </mergeCells>
  <printOptions horizontalCentered="1"/>
  <pageMargins left="0.23622047244094491" right="0.19685039370078741" top="0.70866141732283472" bottom="0.31496062992125984" header="0.35433070866141736" footer="0.15748031496062992"/>
  <pageSetup paperSize="9" scale="96" fitToHeight="5" orientation="landscape" horizontalDpi="4294967295" verticalDpi="4294967295" r:id="rId1"/>
  <headerFooter alignWithMargins="0">
    <oddHeader>&amp;R&amp;8&amp;D</oddHeader>
    <oddFooter>&amp;C
&amp;R
...</oddFooter>
  </headerFooter>
  <rowBreaks count="4" manualBreakCount="4">
    <brk id="50" max="15" man="1"/>
    <brk id="98" max="15" man="1"/>
    <brk id="144" max="15" man="1"/>
    <brk id="190"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N42"/>
  <sheetViews>
    <sheetView zoomScale="120" zoomScaleNormal="120" zoomScaleSheetLayoutView="55" workbookViewId="0"/>
  </sheetViews>
  <sheetFormatPr baseColWidth="10" defaultColWidth="9.5703125" defaultRowHeight="16.5"/>
  <cols>
    <col min="1" max="1" width="18.5703125" style="1402" customWidth="1"/>
    <col min="2" max="3" width="16.5703125" style="1402" customWidth="1"/>
    <col min="4" max="4" width="16.5703125" style="1403" customWidth="1"/>
    <col min="5" max="7" width="16.5703125" style="1402" customWidth="1"/>
    <col min="8" max="8" width="17.140625" style="1402" customWidth="1"/>
    <col min="9" max="9" width="17.42578125" style="1402" customWidth="1"/>
    <col min="10" max="16384" width="9.5703125" style="1402"/>
  </cols>
  <sheetData>
    <row r="1" spans="1:9" s="1422" customFormat="1" ht="18">
      <c r="A1" s="1599" t="s">
        <v>424</v>
      </c>
      <c r="B1" s="1423"/>
      <c r="C1" s="1423"/>
      <c r="D1" s="1423"/>
      <c r="E1" s="1423"/>
      <c r="F1" s="1423"/>
      <c r="G1" s="1423"/>
      <c r="H1" s="1423"/>
      <c r="I1" s="1423"/>
    </row>
    <row r="2" spans="1:9" s="1422" customFormat="1" ht="18">
      <c r="A2" s="1600" t="s">
        <v>42</v>
      </c>
      <c r="B2" s="1423"/>
      <c r="C2" s="1423"/>
      <c r="D2" s="1423"/>
      <c r="E2" s="1423"/>
      <c r="F2" s="1423"/>
      <c r="G2" s="1423"/>
      <c r="H2" s="1423"/>
      <c r="I2" s="1423"/>
    </row>
    <row r="3" spans="1:9" s="1422" customFormat="1" ht="18">
      <c r="A3" s="1678" t="s">
        <v>559</v>
      </c>
      <c r="B3" s="1423"/>
      <c r="C3" s="1423"/>
      <c r="D3" s="1423"/>
      <c r="E3" s="1423"/>
      <c r="F3" s="1423"/>
      <c r="G3" s="1423"/>
      <c r="H3" s="1423"/>
      <c r="I3" s="1423"/>
    </row>
    <row r="4" spans="1:9" ht="66">
      <c r="A4" s="1421" t="s">
        <v>43</v>
      </c>
      <c r="B4" s="1421" t="s">
        <v>94</v>
      </c>
      <c r="C4" s="1420" t="s">
        <v>416</v>
      </c>
      <c r="D4" s="1409" t="s">
        <v>417</v>
      </c>
      <c r="E4" s="1419" t="s">
        <v>419</v>
      </c>
      <c r="F4" s="1419" t="s">
        <v>420</v>
      </c>
      <c r="G4" s="1419" t="s">
        <v>421</v>
      </c>
      <c r="H4" s="1419" t="s">
        <v>414</v>
      </c>
      <c r="I4" s="1418" t="s">
        <v>415</v>
      </c>
    </row>
    <row r="5" spans="1:9">
      <c r="A5" s="1434" t="s">
        <v>437</v>
      </c>
      <c r="B5" s="1394">
        <v>774</v>
      </c>
      <c r="C5" s="1395">
        <v>552</v>
      </c>
      <c r="D5" s="1396">
        <v>222</v>
      </c>
      <c r="E5" s="1395">
        <v>201</v>
      </c>
      <c r="F5" s="1395">
        <v>285</v>
      </c>
      <c r="G5" s="1395">
        <v>288</v>
      </c>
      <c r="H5" s="1570">
        <v>327</v>
      </c>
      <c r="I5" s="1570">
        <v>93</v>
      </c>
    </row>
    <row r="6" spans="1:9">
      <c r="A6" s="1434" t="s">
        <v>438</v>
      </c>
      <c r="B6" s="1394">
        <v>6</v>
      </c>
      <c r="C6" s="1395">
        <v>6</v>
      </c>
      <c r="D6" s="1396">
        <v>3</v>
      </c>
      <c r="E6" s="1395">
        <v>0</v>
      </c>
      <c r="F6" s="1395">
        <v>3</v>
      </c>
      <c r="G6" s="1395">
        <v>3</v>
      </c>
      <c r="H6" s="1397">
        <v>3</v>
      </c>
      <c r="I6" s="1397">
        <v>6</v>
      </c>
    </row>
    <row r="7" spans="1:9">
      <c r="A7" s="1434" t="s">
        <v>439</v>
      </c>
      <c r="B7" s="1394">
        <v>1815</v>
      </c>
      <c r="C7" s="1395">
        <v>1353</v>
      </c>
      <c r="D7" s="1396">
        <v>462</v>
      </c>
      <c r="E7" s="1395">
        <v>207</v>
      </c>
      <c r="F7" s="1395">
        <v>762</v>
      </c>
      <c r="G7" s="1395">
        <v>843</v>
      </c>
      <c r="H7" s="1397">
        <v>1578</v>
      </c>
      <c r="I7" s="1397">
        <v>303</v>
      </c>
    </row>
    <row r="8" spans="1:9">
      <c r="A8" s="1434" t="s">
        <v>440</v>
      </c>
      <c r="B8" s="1394">
        <v>3</v>
      </c>
      <c r="C8" s="1395">
        <v>3</v>
      </c>
      <c r="D8" s="1396">
        <v>0</v>
      </c>
      <c r="E8" s="1395">
        <v>0</v>
      </c>
      <c r="F8" s="1395">
        <v>0</v>
      </c>
      <c r="G8" s="1395">
        <v>0</v>
      </c>
      <c r="H8" s="1397">
        <v>3</v>
      </c>
      <c r="I8" s="1397">
        <v>0</v>
      </c>
    </row>
    <row r="9" spans="1:9">
      <c r="A9" s="1434" t="s">
        <v>441</v>
      </c>
      <c r="B9" s="1394">
        <v>1455</v>
      </c>
      <c r="C9" s="1395">
        <v>1131</v>
      </c>
      <c r="D9" s="1396">
        <v>321</v>
      </c>
      <c r="E9" s="1395">
        <v>333</v>
      </c>
      <c r="F9" s="1395">
        <v>555</v>
      </c>
      <c r="G9" s="1395">
        <v>567</v>
      </c>
      <c r="H9" s="1397">
        <v>552</v>
      </c>
      <c r="I9" s="1397">
        <v>54</v>
      </c>
    </row>
    <row r="10" spans="1:9">
      <c r="A10" s="1434" t="s">
        <v>442</v>
      </c>
      <c r="B10" s="1394">
        <v>465</v>
      </c>
      <c r="C10" s="1395">
        <v>357</v>
      </c>
      <c r="D10" s="1396">
        <v>108</v>
      </c>
      <c r="E10" s="1395">
        <v>105</v>
      </c>
      <c r="F10" s="1395">
        <v>168</v>
      </c>
      <c r="G10" s="1395">
        <v>192</v>
      </c>
      <c r="H10" s="1397">
        <v>159</v>
      </c>
      <c r="I10" s="1397">
        <v>45</v>
      </c>
    </row>
    <row r="11" spans="1:9">
      <c r="A11" s="1434" t="s">
        <v>443</v>
      </c>
      <c r="B11" s="1394">
        <v>246</v>
      </c>
      <c r="C11" s="1395">
        <v>198</v>
      </c>
      <c r="D11" s="1396">
        <v>48</v>
      </c>
      <c r="E11" s="1395">
        <v>66</v>
      </c>
      <c r="F11" s="1395">
        <v>87</v>
      </c>
      <c r="G11" s="1395">
        <v>96</v>
      </c>
      <c r="H11" s="1397">
        <v>96</v>
      </c>
      <c r="I11" s="1397">
        <v>21</v>
      </c>
    </row>
    <row r="12" spans="1:9">
      <c r="A12" s="1434" t="s">
        <v>444</v>
      </c>
      <c r="B12" s="1394">
        <v>594</v>
      </c>
      <c r="C12" s="1395">
        <v>420</v>
      </c>
      <c r="D12" s="1396">
        <v>174</v>
      </c>
      <c r="E12" s="1395">
        <v>15</v>
      </c>
      <c r="F12" s="1395">
        <v>318</v>
      </c>
      <c r="G12" s="1395">
        <v>261</v>
      </c>
      <c r="H12" s="1397">
        <v>333</v>
      </c>
      <c r="I12" s="1397">
        <v>69</v>
      </c>
    </row>
    <row r="13" spans="1:9">
      <c r="A13" s="1434" t="s">
        <v>445</v>
      </c>
      <c r="B13" s="1394">
        <v>1416</v>
      </c>
      <c r="C13" s="1395">
        <v>1068</v>
      </c>
      <c r="D13" s="1396">
        <v>351</v>
      </c>
      <c r="E13" s="1395">
        <v>87</v>
      </c>
      <c r="F13" s="1395">
        <v>621</v>
      </c>
      <c r="G13" s="1395">
        <v>708</v>
      </c>
      <c r="H13" s="1397">
        <v>771</v>
      </c>
      <c r="I13" s="1397">
        <v>69</v>
      </c>
    </row>
    <row r="14" spans="1:9" s="1417" customFormat="1">
      <c r="A14" s="1434" t="s">
        <v>446</v>
      </c>
      <c r="B14" s="1394">
        <v>24</v>
      </c>
      <c r="C14" s="1395">
        <v>18</v>
      </c>
      <c r="D14" s="1396">
        <v>6</v>
      </c>
      <c r="E14" s="1395">
        <v>3</v>
      </c>
      <c r="F14" s="1395">
        <v>3</v>
      </c>
      <c r="G14" s="1395">
        <v>15</v>
      </c>
      <c r="H14" s="1397">
        <v>12</v>
      </c>
      <c r="I14" s="1397">
        <v>9</v>
      </c>
    </row>
    <row r="15" spans="1:9">
      <c r="A15" s="1434" t="s">
        <v>447</v>
      </c>
      <c r="B15" s="1394">
        <v>0</v>
      </c>
      <c r="C15" s="1395">
        <v>0</v>
      </c>
      <c r="D15" s="1396">
        <v>0</v>
      </c>
      <c r="E15" s="1394">
        <v>0</v>
      </c>
      <c r="F15" s="1395">
        <v>0</v>
      </c>
      <c r="G15" s="1395">
        <v>0</v>
      </c>
      <c r="H15" s="1397">
        <v>0</v>
      </c>
      <c r="I15" s="1397">
        <v>0</v>
      </c>
    </row>
    <row r="16" spans="1:9" s="1404" customFormat="1">
      <c r="A16" s="1434" t="s">
        <v>448</v>
      </c>
      <c r="B16" s="1394">
        <v>462</v>
      </c>
      <c r="C16" s="1395">
        <v>381</v>
      </c>
      <c r="D16" s="1396">
        <v>81</v>
      </c>
      <c r="E16" s="1395">
        <v>171</v>
      </c>
      <c r="F16" s="1395">
        <v>141</v>
      </c>
      <c r="G16" s="1395">
        <v>150</v>
      </c>
      <c r="H16" s="1397">
        <v>189</v>
      </c>
      <c r="I16" s="1397">
        <v>45</v>
      </c>
    </row>
    <row r="17" spans="1:10">
      <c r="A17" s="1434" t="s">
        <v>449</v>
      </c>
      <c r="B17" s="1394">
        <v>534</v>
      </c>
      <c r="C17" s="1395">
        <v>453</v>
      </c>
      <c r="D17" s="1396">
        <v>81</v>
      </c>
      <c r="E17" s="1395">
        <v>159</v>
      </c>
      <c r="F17" s="1395">
        <v>180</v>
      </c>
      <c r="G17" s="1395">
        <v>195</v>
      </c>
      <c r="H17" s="1397">
        <v>252</v>
      </c>
      <c r="I17" s="1397">
        <v>108</v>
      </c>
    </row>
    <row r="18" spans="1:10" s="1404" customFormat="1">
      <c r="A18" s="1434" t="s">
        <v>450</v>
      </c>
      <c r="B18" s="1394">
        <v>714</v>
      </c>
      <c r="C18" s="1395">
        <v>561</v>
      </c>
      <c r="D18" s="1396">
        <v>153</v>
      </c>
      <c r="E18" s="1395">
        <v>234</v>
      </c>
      <c r="F18" s="1395">
        <v>225</v>
      </c>
      <c r="G18" s="1395">
        <v>255</v>
      </c>
      <c r="H18" s="1397">
        <v>282</v>
      </c>
      <c r="I18" s="1397">
        <v>63</v>
      </c>
    </row>
    <row r="19" spans="1:10">
      <c r="A19" s="1434" t="s">
        <v>451</v>
      </c>
      <c r="B19" s="1394">
        <v>396</v>
      </c>
      <c r="C19" s="1395">
        <v>339</v>
      </c>
      <c r="D19" s="1396">
        <v>57</v>
      </c>
      <c r="E19" s="1395">
        <v>150</v>
      </c>
      <c r="F19" s="1395">
        <v>126</v>
      </c>
      <c r="G19" s="1395">
        <v>120</v>
      </c>
      <c r="H19" s="1397">
        <v>186</v>
      </c>
      <c r="I19" s="1397">
        <v>69</v>
      </c>
    </row>
    <row r="20" spans="1:10" s="1404" customFormat="1">
      <c r="A20" s="1434" t="s">
        <v>452</v>
      </c>
      <c r="B20" s="1394">
        <v>498</v>
      </c>
      <c r="C20" s="1395">
        <v>399</v>
      </c>
      <c r="D20" s="1396">
        <v>99</v>
      </c>
      <c r="E20" s="1395">
        <v>168</v>
      </c>
      <c r="F20" s="1395">
        <v>156</v>
      </c>
      <c r="G20" s="1395">
        <v>171</v>
      </c>
      <c r="H20" s="1769">
        <v>198</v>
      </c>
      <c r="I20" s="1769">
        <v>60</v>
      </c>
    </row>
    <row r="21" spans="1:10" s="1414" customFormat="1" ht="14.25">
      <c r="A21" s="1820" t="s">
        <v>418</v>
      </c>
      <c r="B21" s="1790">
        <v>9405</v>
      </c>
      <c r="C21" s="1791">
        <v>7236</v>
      </c>
      <c r="D21" s="1791">
        <v>2166</v>
      </c>
      <c r="E21" s="1793">
        <v>1899</v>
      </c>
      <c r="F21" s="1791">
        <v>3639</v>
      </c>
      <c r="G21" s="1791">
        <v>3864</v>
      </c>
      <c r="H21" s="1698">
        <v>4938</v>
      </c>
      <c r="I21" s="1943">
        <v>1023</v>
      </c>
    </row>
    <row r="22" spans="1:10" s="1410" customFormat="1">
      <c r="A22" s="1601" t="s">
        <v>552</v>
      </c>
      <c r="B22" s="1412"/>
      <c r="C22" s="1412"/>
      <c r="D22" s="1412"/>
      <c r="E22" s="1412"/>
      <c r="F22" s="1412"/>
      <c r="G22" s="1412"/>
      <c r="H22" s="1411"/>
      <c r="I22" s="1941"/>
    </row>
    <row r="23" spans="1:10" ht="66">
      <c r="A23" s="1421" t="s">
        <v>43</v>
      </c>
      <c r="B23" s="1706" t="s">
        <v>94</v>
      </c>
      <c r="C23" s="1707" t="s">
        <v>92</v>
      </c>
      <c r="D23" s="1409" t="s">
        <v>93</v>
      </c>
      <c r="E23" s="1419" t="s">
        <v>474</v>
      </c>
      <c r="F23" s="1419" t="s">
        <v>422</v>
      </c>
      <c r="G23" s="1418" t="s">
        <v>423</v>
      </c>
      <c r="H23" s="1408"/>
      <c r="I23" s="1408"/>
    </row>
    <row r="24" spans="1:10">
      <c r="A24" s="1434" t="s">
        <v>437</v>
      </c>
      <c r="B24" s="1394">
        <v>288</v>
      </c>
      <c r="C24" s="1395">
        <v>216</v>
      </c>
      <c r="D24" s="1396">
        <v>72</v>
      </c>
      <c r="E24" s="1394">
        <v>252</v>
      </c>
      <c r="F24" s="1395">
        <v>189</v>
      </c>
      <c r="G24" s="1395">
        <v>63</v>
      </c>
      <c r="I24" s="1772"/>
      <c r="J24" s="1395"/>
    </row>
    <row r="25" spans="1:10">
      <c r="A25" s="1434" t="s">
        <v>438</v>
      </c>
      <c r="B25" s="1394">
        <v>0</v>
      </c>
      <c r="C25" s="1395">
        <v>0</v>
      </c>
      <c r="D25" s="1396">
        <v>0</v>
      </c>
      <c r="E25" s="1394">
        <v>0</v>
      </c>
      <c r="F25" s="1395">
        <v>0</v>
      </c>
      <c r="G25" s="1396">
        <v>0</v>
      </c>
      <c r="I25" s="1772"/>
      <c r="J25" s="1395"/>
    </row>
    <row r="26" spans="1:10">
      <c r="A26" s="1434" t="s">
        <v>439</v>
      </c>
      <c r="B26" s="1394">
        <v>741</v>
      </c>
      <c r="C26" s="1395">
        <v>561</v>
      </c>
      <c r="D26" s="1396">
        <v>180</v>
      </c>
      <c r="E26" s="1394">
        <v>684</v>
      </c>
      <c r="F26" s="1395">
        <v>513</v>
      </c>
      <c r="G26" s="1395">
        <v>171</v>
      </c>
      <c r="I26" s="1772"/>
      <c r="J26" s="1395"/>
    </row>
    <row r="27" spans="1:10">
      <c r="A27" s="1434" t="s">
        <v>440</v>
      </c>
      <c r="B27" s="1394">
        <v>0</v>
      </c>
      <c r="C27" s="1395">
        <v>0</v>
      </c>
      <c r="D27" s="1396">
        <v>0</v>
      </c>
      <c r="E27" s="1394">
        <v>0</v>
      </c>
      <c r="F27" s="1395">
        <v>0</v>
      </c>
      <c r="G27" s="1396">
        <v>0</v>
      </c>
      <c r="I27" s="1772"/>
      <c r="J27" s="1395"/>
    </row>
    <row r="28" spans="1:10">
      <c r="A28" s="1434" t="s">
        <v>441</v>
      </c>
      <c r="B28" s="1394">
        <v>498</v>
      </c>
      <c r="C28" s="1395">
        <v>408</v>
      </c>
      <c r="D28" s="1396">
        <v>90</v>
      </c>
      <c r="E28" s="1394">
        <v>438</v>
      </c>
      <c r="F28" s="1395">
        <v>360</v>
      </c>
      <c r="G28" s="1395">
        <v>75</v>
      </c>
      <c r="I28" s="1772"/>
      <c r="J28" s="1395"/>
    </row>
    <row r="29" spans="1:10">
      <c r="A29" s="1434" t="s">
        <v>442</v>
      </c>
      <c r="B29" s="1394">
        <v>165</v>
      </c>
      <c r="C29" s="1395">
        <v>132</v>
      </c>
      <c r="D29" s="1396">
        <v>33</v>
      </c>
      <c r="E29" s="1394">
        <v>108</v>
      </c>
      <c r="F29" s="1395">
        <v>84</v>
      </c>
      <c r="G29" s="1395">
        <v>24</v>
      </c>
      <c r="H29" s="1408"/>
      <c r="I29" s="1772"/>
      <c r="J29" s="1395"/>
    </row>
    <row r="30" spans="1:10">
      <c r="A30" s="1434" t="s">
        <v>443</v>
      </c>
      <c r="B30" s="1394">
        <v>96</v>
      </c>
      <c r="C30" s="1395">
        <v>69</v>
      </c>
      <c r="D30" s="1396">
        <v>24</v>
      </c>
      <c r="E30" s="1394">
        <v>78</v>
      </c>
      <c r="F30" s="1395">
        <v>60</v>
      </c>
      <c r="G30" s="1395">
        <v>21</v>
      </c>
      <c r="I30" s="1772"/>
      <c r="J30" s="1395"/>
    </row>
    <row r="31" spans="1:10">
      <c r="A31" s="1434" t="s">
        <v>444</v>
      </c>
      <c r="B31" s="1394">
        <v>240</v>
      </c>
      <c r="C31" s="1395">
        <v>162</v>
      </c>
      <c r="D31" s="1396">
        <v>78</v>
      </c>
      <c r="E31" s="1394">
        <v>231</v>
      </c>
      <c r="F31" s="1395">
        <v>156</v>
      </c>
      <c r="G31" s="1395">
        <v>75</v>
      </c>
      <c r="I31" s="1772"/>
      <c r="J31" s="1395"/>
    </row>
    <row r="32" spans="1:10" s="1403" customFormat="1">
      <c r="A32" s="1434" t="s">
        <v>445</v>
      </c>
      <c r="B32" s="1394">
        <v>708</v>
      </c>
      <c r="C32" s="1395">
        <v>552</v>
      </c>
      <c r="D32" s="1396">
        <v>153</v>
      </c>
      <c r="E32" s="1394">
        <v>624</v>
      </c>
      <c r="F32" s="1395">
        <v>480</v>
      </c>
      <c r="G32" s="1395">
        <v>141</v>
      </c>
      <c r="H32" s="1402"/>
      <c r="I32" s="1772"/>
      <c r="J32" s="1395"/>
    </row>
    <row r="33" spans="1:14">
      <c r="A33" s="1434" t="s">
        <v>446</v>
      </c>
      <c r="B33" s="1394">
        <v>9</v>
      </c>
      <c r="C33" s="1395">
        <v>6</v>
      </c>
      <c r="D33" s="1396">
        <v>3</v>
      </c>
      <c r="E33" s="1394">
        <v>6</v>
      </c>
      <c r="F33" s="1395">
        <v>3</v>
      </c>
      <c r="G33" s="1396">
        <v>3</v>
      </c>
      <c r="I33" s="1772"/>
      <c r="J33" s="1395"/>
    </row>
    <row r="34" spans="1:14">
      <c r="A34" s="1434" t="s">
        <v>447</v>
      </c>
      <c r="B34" s="1394">
        <v>0</v>
      </c>
      <c r="C34" s="1395">
        <v>0</v>
      </c>
      <c r="D34" s="1396">
        <v>0</v>
      </c>
      <c r="E34" s="1394">
        <v>0</v>
      </c>
      <c r="F34" s="1395">
        <v>0</v>
      </c>
      <c r="G34" s="1396">
        <v>0</v>
      </c>
      <c r="I34" s="1772"/>
      <c r="J34" s="1395"/>
    </row>
    <row r="35" spans="1:14">
      <c r="A35" s="1434" t="s">
        <v>448</v>
      </c>
      <c r="B35" s="1394">
        <v>150</v>
      </c>
      <c r="C35" s="1395">
        <v>132</v>
      </c>
      <c r="D35" s="1396">
        <v>15</v>
      </c>
      <c r="E35" s="1394">
        <v>120</v>
      </c>
      <c r="F35" s="1395">
        <v>105</v>
      </c>
      <c r="G35" s="1395">
        <v>15</v>
      </c>
      <c r="I35" s="1772"/>
      <c r="J35" s="1395"/>
    </row>
    <row r="36" spans="1:14">
      <c r="A36" s="1434" t="s">
        <v>449</v>
      </c>
      <c r="B36" s="1394">
        <v>189</v>
      </c>
      <c r="C36" s="1395">
        <v>168</v>
      </c>
      <c r="D36" s="1396">
        <v>18</v>
      </c>
      <c r="E36" s="1394">
        <v>141</v>
      </c>
      <c r="F36" s="1395">
        <v>126</v>
      </c>
      <c r="G36" s="1395">
        <v>15</v>
      </c>
      <c r="I36" s="1772"/>
      <c r="J36" s="1395"/>
    </row>
    <row r="37" spans="1:14" s="1403" customFormat="1">
      <c r="A37" s="1434" t="s">
        <v>450</v>
      </c>
      <c r="B37" s="1394">
        <v>210</v>
      </c>
      <c r="C37" s="1395">
        <v>177</v>
      </c>
      <c r="D37" s="1396">
        <v>36</v>
      </c>
      <c r="E37" s="1394">
        <v>177</v>
      </c>
      <c r="F37" s="1395">
        <v>147</v>
      </c>
      <c r="G37" s="1395">
        <v>30</v>
      </c>
      <c r="H37" s="1402"/>
      <c r="I37" s="1772"/>
      <c r="J37" s="1395"/>
    </row>
    <row r="38" spans="1:14">
      <c r="A38" s="1434" t="s">
        <v>451</v>
      </c>
      <c r="B38" s="1394">
        <v>135</v>
      </c>
      <c r="C38" s="1395">
        <v>120</v>
      </c>
      <c r="D38" s="1396">
        <v>15</v>
      </c>
      <c r="E38" s="1394">
        <v>105</v>
      </c>
      <c r="F38" s="1395">
        <v>93</v>
      </c>
      <c r="G38" s="1395">
        <v>15</v>
      </c>
      <c r="I38" s="1772"/>
      <c r="J38" s="1395"/>
    </row>
    <row r="39" spans="1:14">
      <c r="A39" s="1434" t="s">
        <v>452</v>
      </c>
      <c r="B39" s="1394">
        <v>159</v>
      </c>
      <c r="C39" s="1395">
        <v>135</v>
      </c>
      <c r="D39" s="1396">
        <v>24</v>
      </c>
      <c r="E39" s="1394">
        <v>126</v>
      </c>
      <c r="F39" s="1395">
        <v>105</v>
      </c>
      <c r="G39" s="1395">
        <v>21</v>
      </c>
      <c r="I39" s="1772"/>
      <c r="J39" s="1395"/>
    </row>
    <row r="40" spans="1:14">
      <c r="A40" s="1435" t="s">
        <v>418</v>
      </c>
      <c r="B40" s="1790">
        <v>3585</v>
      </c>
      <c r="C40" s="1791">
        <v>2838</v>
      </c>
      <c r="D40" s="1791">
        <v>747</v>
      </c>
      <c r="E40" s="1793">
        <v>3090</v>
      </c>
      <c r="F40" s="1791">
        <v>2421</v>
      </c>
      <c r="G40" s="1791">
        <v>669</v>
      </c>
      <c r="I40" s="1771"/>
      <c r="J40" s="1771"/>
      <c r="K40" s="1771"/>
      <c r="L40" s="1771"/>
      <c r="M40" s="1771"/>
      <c r="N40" s="1771"/>
    </row>
    <row r="41" spans="1:14">
      <c r="A41" s="1402" t="s">
        <v>498</v>
      </c>
      <c r="B41" s="1606"/>
      <c r="C41" s="1607"/>
      <c r="D41" s="1608"/>
      <c r="E41" s="1606"/>
      <c r="F41" s="1607"/>
      <c r="G41" s="1607"/>
    </row>
    <row r="42" spans="1:14">
      <c r="A42" s="1402" t="s">
        <v>542</v>
      </c>
    </row>
  </sheetData>
  <printOptions horizontalCentered="1"/>
  <pageMargins left="0.27559055118110237" right="0.19685039370078741" top="0.35433070866141736" bottom="0.39370078740157483" header="0.19685039370078741" footer="0.23622047244094491"/>
  <pageSetup paperSize="9" scale="95" orientation="landscape" r:id="rId1"/>
  <headerFooter alignWithMargins="0">
    <oddHeader xml:space="preserve">&amp;R
</oddHeader>
    <oddFooter>&amp;R&amp;10
&amp;12
...</oddFooter>
  </headerFooter>
  <rowBreaks count="1" manualBreakCount="1">
    <brk id="21" max="8" man="1"/>
  </rowBreaks>
  <tableParts count="2">
    <tablePart r:id="rId2"/>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Z285"/>
  <sheetViews>
    <sheetView zoomScaleNormal="100" workbookViewId="0"/>
  </sheetViews>
  <sheetFormatPr baseColWidth="10" defaultColWidth="11.42578125" defaultRowHeight="16.5"/>
  <cols>
    <col min="1" max="1" width="19.85546875" style="1575" customWidth="1"/>
    <col min="2" max="2" width="19.5703125" style="1575" customWidth="1"/>
    <col min="3" max="3" width="9.42578125" style="1571" customWidth="1"/>
    <col min="4" max="4" width="8.5703125" style="1571" customWidth="1"/>
    <col min="5" max="5" width="8" style="1571" customWidth="1"/>
    <col min="6" max="6" width="9.42578125" style="1571" customWidth="1"/>
    <col min="7" max="8" width="12.42578125" style="1571" customWidth="1"/>
    <col min="9" max="9" width="16.42578125" style="1571" customWidth="1"/>
    <col min="10" max="16384" width="11.42578125" style="1398"/>
  </cols>
  <sheetData>
    <row r="1" spans="1:9" ht="18">
      <c r="A1" s="1722" t="s">
        <v>519</v>
      </c>
      <c r="B1" s="1723"/>
      <c r="C1" s="1723"/>
      <c r="D1" s="1723"/>
      <c r="E1" s="1723"/>
      <c r="F1" s="1723"/>
      <c r="G1" s="1723"/>
      <c r="H1" s="1723"/>
      <c r="I1" s="1721"/>
    </row>
    <row r="2" spans="1:9" ht="18">
      <c r="A2" s="1724" t="s">
        <v>157</v>
      </c>
      <c r="B2" s="1723"/>
      <c r="C2" s="1723"/>
      <c r="D2" s="1723"/>
      <c r="E2" s="1723"/>
      <c r="F2" s="1723"/>
      <c r="G2" s="1723"/>
      <c r="H2" s="1723"/>
      <c r="I2" s="1721"/>
    </row>
    <row r="3" spans="1:9" ht="18">
      <c r="A3" s="1724" t="s">
        <v>552</v>
      </c>
      <c r="B3" s="1725"/>
      <c r="C3" s="1723"/>
      <c r="D3" s="1723"/>
      <c r="E3" s="1723"/>
      <c r="F3" s="1723"/>
      <c r="G3" s="1723"/>
      <c r="H3" s="1723"/>
      <c r="I3" s="1721"/>
    </row>
    <row r="4" spans="1:9" ht="66">
      <c r="A4" s="1708" t="s">
        <v>43</v>
      </c>
      <c r="B4" s="1713" t="s">
        <v>465</v>
      </c>
      <c r="C4" s="1706" t="s">
        <v>94</v>
      </c>
      <c r="D4" s="1707" t="s">
        <v>92</v>
      </c>
      <c r="E4" s="1409" t="s">
        <v>93</v>
      </c>
      <c r="F4" s="1419" t="s">
        <v>481</v>
      </c>
      <c r="G4" s="1419" t="s">
        <v>422</v>
      </c>
      <c r="H4" s="1418" t="s">
        <v>423</v>
      </c>
      <c r="I4" s="1572"/>
    </row>
    <row r="5" spans="1:9">
      <c r="A5" s="1434" t="s">
        <v>437</v>
      </c>
      <c r="B5" s="1579" t="s">
        <v>64</v>
      </c>
      <c r="C5" s="1580">
        <f>SUM(C6:C12)</f>
        <v>168</v>
      </c>
      <c r="D5" s="1789">
        <f t="shared" ref="D5:H5" si="0">SUM(D6:D12)</f>
        <v>129</v>
      </c>
      <c r="E5" s="1582">
        <f t="shared" si="0"/>
        <v>39</v>
      </c>
      <c r="F5" s="1580">
        <f t="shared" si="0"/>
        <v>123</v>
      </c>
      <c r="G5" s="1789">
        <f t="shared" si="0"/>
        <v>87</v>
      </c>
      <c r="H5" s="1582">
        <f t="shared" si="0"/>
        <v>30</v>
      </c>
      <c r="I5" s="1572"/>
    </row>
    <row r="6" spans="1:9">
      <c r="A6" s="1711" t="s">
        <v>437</v>
      </c>
      <c r="B6" s="1583" t="s">
        <v>65</v>
      </c>
      <c r="C6" s="1584">
        <v>21</v>
      </c>
      <c r="D6" s="1585">
        <v>9</v>
      </c>
      <c r="E6" s="1586">
        <v>9</v>
      </c>
      <c r="F6" s="1587">
        <v>21</v>
      </c>
      <c r="G6" s="1588">
        <v>9</v>
      </c>
      <c r="H6" s="1589">
        <v>9</v>
      </c>
      <c r="I6" s="1572"/>
    </row>
    <row r="7" spans="1:9">
      <c r="A7" s="1711" t="s">
        <v>437</v>
      </c>
      <c r="B7" s="1583" t="s">
        <v>66</v>
      </c>
      <c r="C7" s="1584">
        <v>6</v>
      </c>
      <c r="D7" s="1585">
        <v>3</v>
      </c>
      <c r="E7" s="1586">
        <v>3</v>
      </c>
      <c r="F7" s="1587">
        <v>6</v>
      </c>
      <c r="G7" s="1588">
        <v>3</v>
      </c>
      <c r="H7" s="1589">
        <v>3</v>
      </c>
      <c r="I7" s="1572"/>
    </row>
    <row r="8" spans="1:9">
      <c r="A8" s="1711" t="s">
        <v>437</v>
      </c>
      <c r="B8" s="1583" t="s">
        <v>67</v>
      </c>
      <c r="C8" s="1584">
        <v>15</v>
      </c>
      <c r="D8" s="1585">
        <v>15</v>
      </c>
      <c r="E8" s="1586">
        <v>3</v>
      </c>
      <c r="F8" s="1587">
        <v>12</v>
      </c>
      <c r="G8" s="1588">
        <v>12</v>
      </c>
      <c r="H8" s="1589">
        <v>0</v>
      </c>
      <c r="I8" s="1572"/>
    </row>
    <row r="9" spans="1:9">
      <c r="A9" s="1711" t="s">
        <v>437</v>
      </c>
      <c r="B9" s="1583" t="s">
        <v>68</v>
      </c>
      <c r="C9" s="1584">
        <v>0</v>
      </c>
      <c r="D9" s="1585">
        <v>0</v>
      </c>
      <c r="E9" s="1586">
        <v>0</v>
      </c>
      <c r="F9" s="1587">
        <v>0</v>
      </c>
      <c r="G9" s="1588">
        <v>0</v>
      </c>
      <c r="H9" s="1589">
        <v>0</v>
      </c>
      <c r="I9" s="1572"/>
    </row>
    <row r="10" spans="1:9">
      <c r="A10" s="1711" t="s">
        <v>437</v>
      </c>
      <c r="B10" s="1583" t="s">
        <v>69</v>
      </c>
      <c r="C10" s="1584">
        <v>117</v>
      </c>
      <c r="D10" s="1585">
        <v>99</v>
      </c>
      <c r="E10" s="1586">
        <v>18</v>
      </c>
      <c r="F10" s="1587">
        <v>75</v>
      </c>
      <c r="G10" s="1588">
        <v>60</v>
      </c>
      <c r="H10" s="1589">
        <v>12</v>
      </c>
      <c r="I10" s="1572"/>
    </row>
    <row r="11" spans="1:9">
      <c r="A11" s="1711" t="s">
        <v>437</v>
      </c>
      <c r="B11" s="1583" t="s">
        <v>70</v>
      </c>
      <c r="C11" s="1584">
        <v>9</v>
      </c>
      <c r="D11" s="1585">
        <v>3</v>
      </c>
      <c r="E11" s="1586">
        <v>6</v>
      </c>
      <c r="F11" s="1587">
        <v>9</v>
      </c>
      <c r="G11" s="1588">
        <v>3</v>
      </c>
      <c r="H11" s="1589">
        <v>6</v>
      </c>
      <c r="I11" s="1572"/>
    </row>
    <row r="12" spans="1:9">
      <c r="A12" s="1726" t="s">
        <v>437</v>
      </c>
      <c r="B12" s="1595" t="s">
        <v>71</v>
      </c>
      <c r="C12" s="1584">
        <v>0</v>
      </c>
      <c r="D12" s="1942">
        <v>0</v>
      </c>
      <c r="E12" s="1586">
        <v>0</v>
      </c>
      <c r="F12" s="1587">
        <v>0</v>
      </c>
      <c r="G12" s="1588">
        <v>0</v>
      </c>
      <c r="H12" s="1589">
        <v>0</v>
      </c>
      <c r="I12" s="1572"/>
    </row>
    <row r="13" spans="1:9">
      <c r="A13" s="1434" t="s">
        <v>438</v>
      </c>
      <c r="B13" s="1579" t="s">
        <v>64</v>
      </c>
      <c r="C13" s="1580">
        <f>SUM(C14:C20)</f>
        <v>96</v>
      </c>
      <c r="D13" s="1581">
        <f t="shared" ref="D13:H13" si="1">SUM(D14:D20)</f>
        <v>75</v>
      </c>
      <c r="E13" s="1582">
        <f t="shared" si="1"/>
        <v>21</v>
      </c>
      <c r="F13" s="1580">
        <f t="shared" si="1"/>
        <v>69</v>
      </c>
      <c r="G13" s="1581">
        <f t="shared" si="1"/>
        <v>48</v>
      </c>
      <c r="H13" s="1582">
        <f t="shared" si="1"/>
        <v>18</v>
      </c>
      <c r="I13" s="1572"/>
    </row>
    <row r="14" spans="1:9">
      <c r="A14" s="1711" t="s">
        <v>438</v>
      </c>
      <c r="B14" s="1583" t="s">
        <v>65</v>
      </c>
      <c r="C14" s="1584">
        <v>3</v>
      </c>
      <c r="D14" s="1585">
        <v>3</v>
      </c>
      <c r="E14" s="1586">
        <v>0</v>
      </c>
      <c r="F14" s="1587">
        <v>3</v>
      </c>
      <c r="G14" s="1588">
        <v>3</v>
      </c>
      <c r="H14" s="1589">
        <v>0</v>
      </c>
      <c r="I14" s="1572"/>
    </row>
    <row r="15" spans="1:9">
      <c r="A15" s="1711" t="s">
        <v>438</v>
      </c>
      <c r="B15" s="1583" t="s">
        <v>66</v>
      </c>
      <c r="C15" s="1584">
        <v>0</v>
      </c>
      <c r="D15" s="1585">
        <v>0</v>
      </c>
      <c r="E15" s="1586">
        <v>0</v>
      </c>
      <c r="F15" s="1587">
        <v>0</v>
      </c>
      <c r="G15" s="1588">
        <v>0</v>
      </c>
      <c r="H15" s="1589">
        <v>0</v>
      </c>
      <c r="I15" s="1572"/>
    </row>
    <row r="16" spans="1:9">
      <c r="A16" s="1711" t="s">
        <v>438</v>
      </c>
      <c r="B16" s="1583" t="s">
        <v>67</v>
      </c>
      <c r="C16" s="1584">
        <v>0</v>
      </c>
      <c r="D16" s="1585">
        <v>0</v>
      </c>
      <c r="E16" s="1586">
        <v>0</v>
      </c>
      <c r="F16" s="1587">
        <v>0</v>
      </c>
      <c r="G16" s="1588">
        <v>0</v>
      </c>
      <c r="H16" s="1589">
        <v>0</v>
      </c>
      <c r="I16" s="1572"/>
    </row>
    <row r="17" spans="1:9">
      <c r="A17" s="1711" t="s">
        <v>438</v>
      </c>
      <c r="B17" s="1583" t="s">
        <v>68</v>
      </c>
      <c r="C17" s="1584">
        <v>0</v>
      </c>
      <c r="D17" s="1585">
        <v>0</v>
      </c>
      <c r="E17" s="1586">
        <v>0</v>
      </c>
      <c r="F17" s="1587">
        <v>0</v>
      </c>
      <c r="G17" s="1588">
        <v>0</v>
      </c>
      <c r="H17" s="1589">
        <v>0</v>
      </c>
      <c r="I17" s="1572"/>
    </row>
    <row r="18" spans="1:9">
      <c r="A18" s="1711" t="s">
        <v>438</v>
      </c>
      <c r="B18" s="1583" t="s">
        <v>69</v>
      </c>
      <c r="C18" s="1584">
        <v>78</v>
      </c>
      <c r="D18" s="1585">
        <v>66</v>
      </c>
      <c r="E18" s="1586">
        <v>12</v>
      </c>
      <c r="F18" s="1587">
        <v>51</v>
      </c>
      <c r="G18" s="1588">
        <v>39</v>
      </c>
      <c r="H18" s="1589">
        <v>9</v>
      </c>
      <c r="I18" s="1572"/>
    </row>
    <row r="19" spans="1:9">
      <c r="A19" s="1711" t="s">
        <v>438</v>
      </c>
      <c r="B19" s="1583" t="s">
        <v>70</v>
      </c>
      <c r="C19" s="1584">
        <v>6</v>
      </c>
      <c r="D19" s="1585">
        <v>3</v>
      </c>
      <c r="E19" s="1586">
        <v>3</v>
      </c>
      <c r="F19" s="1587">
        <v>6</v>
      </c>
      <c r="G19" s="1588">
        <v>3</v>
      </c>
      <c r="H19" s="1589">
        <v>3</v>
      </c>
      <c r="I19" s="1572"/>
    </row>
    <row r="20" spans="1:9">
      <c r="A20" s="1711" t="s">
        <v>438</v>
      </c>
      <c r="B20" s="1591" t="s">
        <v>71</v>
      </c>
      <c r="C20" s="1584">
        <v>9</v>
      </c>
      <c r="D20" s="1585">
        <v>3</v>
      </c>
      <c r="E20" s="1586">
        <v>6</v>
      </c>
      <c r="F20" s="1587">
        <v>9</v>
      </c>
      <c r="G20" s="1588">
        <v>3</v>
      </c>
      <c r="H20" s="1589">
        <v>6</v>
      </c>
      <c r="I20" s="1572"/>
    </row>
    <row r="21" spans="1:9">
      <c r="A21" s="1434" t="s">
        <v>439</v>
      </c>
      <c r="B21" s="1579" t="s">
        <v>64</v>
      </c>
      <c r="C21" s="1580">
        <f>SUM(C22:C28)</f>
        <v>582</v>
      </c>
      <c r="D21" s="1581">
        <f t="shared" ref="D21:H21" si="2">SUM(D22:D28)</f>
        <v>486</v>
      </c>
      <c r="E21" s="1582">
        <f t="shared" si="2"/>
        <v>99</v>
      </c>
      <c r="F21" s="1580">
        <f t="shared" si="2"/>
        <v>477</v>
      </c>
      <c r="G21" s="1581">
        <f t="shared" si="2"/>
        <v>387</v>
      </c>
      <c r="H21" s="1582">
        <f t="shared" si="2"/>
        <v>90</v>
      </c>
      <c r="I21" s="1572"/>
    </row>
    <row r="22" spans="1:9">
      <c r="A22" s="1711" t="s">
        <v>439</v>
      </c>
      <c r="B22" s="1583" t="s">
        <v>65</v>
      </c>
      <c r="C22" s="1584">
        <v>24</v>
      </c>
      <c r="D22" s="1585">
        <v>12</v>
      </c>
      <c r="E22" s="1586">
        <v>12</v>
      </c>
      <c r="F22" s="1587">
        <v>21</v>
      </c>
      <c r="G22" s="1588">
        <v>9</v>
      </c>
      <c r="H22" s="1589">
        <v>12</v>
      </c>
      <c r="I22" s="1572"/>
    </row>
    <row r="23" spans="1:9">
      <c r="A23" s="1711" t="s">
        <v>439</v>
      </c>
      <c r="B23" s="1583" t="s">
        <v>66</v>
      </c>
      <c r="C23" s="1584">
        <v>21</v>
      </c>
      <c r="D23" s="1585">
        <v>12</v>
      </c>
      <c r="E23" s="1586">
        <v>9</v>
      </c>
      <c r="F23" s="1587">
        <v>21</v>
      </c>
      <c r="G23" s="1588">
        <v>9</v>
      </c>
      <c r="H23" s="1589">
        <v>9</v>
      </c>
      <c r="I23" s="1572"/>
    </row>
    <row r="24" spans="1:9">
      <c r="A24" s="1711" t="s">
        <v>439</v>
      </c>
      <c r="B24" s="1583" t="s">
        <v>67</v>
      </c>
      <c r="C24" s="1584">
        <v>36</v>
      </c>
      <c r="D24" s="1585">
        <v>27</v>
      </c>
      <c r="E24" s="1586">
        <v>9</v>
      </c>
      <c r="F24" s="1587">
        <v>33</v>
      </c>
      <c r="G24" s="1588">
        <v>27</v>
      </c>
      <c r="H24" s="1589">
        <v>9</v>
      </c>
      <c r="I24" s="1572"/>
    </row>
    <row r="25" spans="1:9">
      <c r="A25" s="1711" t="s">
        <v>439</v>
      </c>
      <c r="B25" s="1583" t="s">
        <v>68</v>
      </c>
      <c r="C25" s="1584">
        <v>15</v>
      </c>
      <c r="D25" s="1585">
        <v>12</v>
      </c>
      <c r="E25" s="1586">
        <v>3</v>
      </c>
      <c r="F25" s="1587">
        <v>15</v>
      </c>
      <c r="G25" s="1588">
        <v>12</v>
      </c>
      <c r="H25" s="1589">
        <v>3</v>
      </c>
      <c r="I25" s="1572"/>
    </row>
    <row r="26" spans="1:9">
      <c r="A26" s="1711" t="s">
        <v>439</v>
      </c>
      <c r="B26" s="1583" t="s">
        <v>69</v>
      </c>
      <c r="C26" s="1584">
        <v>471</v>
      </c>
      <c r="D26" s="1585">
        <v>414</v>
      </c>
      <c r="E26" s="1586">
        <v>57</v>
      </c>
      <c r="F26" s="1587">
        <v>372</v>
      </c>
      <c r="G26" s="1588">
        <v>321</v>
      </c>
      <c r="H26" s="1589">
        <v>51</v>
      </c>
      <c r="I26" s="1572"/>
    </row>
    <row r="27" spans="1:9">
      <c r="A27" s="1711" t="s">
        <v>439</v>
      </c>
      <c r="B27" s="1583" t="s">
        <v>70</v>
      </c>
      <c r="C27" s="1584">
        <v>9</v>
      </c>
      <c r="D27" s="1585">
        <v>6</v>
      </c>
      <c r="E27" s="1586">
        <v>3</v>
      </c>
      <c r="F27" s="1587">
        <v>9</v>
      </c>
      <c r="G27" s="1588">
        <v>6</v>
      </c>
      <c r="H27" s="1589">
        <v>3</v>
      </c>
      <c r="I27" s="1572"/>
    </row>
    <row r="28" spans="1:9">
      <c r="A28" s="1830" t="s">
        <v>439</v>
      </c>
      <c r="B28" s="1836" t="s">
        <v>71</v>
      </c>
      <c r="C28" s="1837">
        <v>6</v>
      </c>
      <c r="D28" s="1838">
        <v>3</v>
      </c>
      <c r="E28" s="1774">
        <v>6</v>
      </c>
      <c r="F28" s="1846">
        <v>6</v>
      </c>
      <c r="G28" s="1775">
        <v>3</v>
      </c>
      <c r="H28" s="1776">
        <v>3</v>
      </c>
    </row>
    <row r="29" spans="1:9">
      <c r="A29" s="1434" t="s">
        <v>440</v>
      </c>
      <c r="B29" s="1579" t="s">
        <v>64</v>
      </c>
      <c r="C29" s="1580">
        <f>SUM(C30:C36)</f>
        <v>27</v>
      </c>
      <c r="D29" s="1581">
        <f t="shared" ref="D29:H29" si="3">SUM(D30:D36)</f>
        <v>21</v>
      </c>
      <c r="E29" s="1582">
        <f t="shared" si="3"/>
        <v>6</v>
      </c>
      <c r="F29" s="1580">
        <f t="shared" si="3"/>
        <v>18</v>
      </c>
      <c r="G29" s="1581">
        <f t="shared" si="3"/>
        <v>15</v>
      </c>
      <c r="H29" s="1582">
        <f t="shared" si="3"/>
        <v>3</v>
      </c>
    </row>
    <row r="30" spans="1:9">
      <c r="A30" s="1711" t="s">
        <v>440</v>
      </c>
      <c r="B30" s="1583" t="s">
        <v>65</v>
      </c>
      <c r="C30" s="1584">
        <v>0</v>
      </c>
      <c r="D30" s="1585">
        <v>0</v>
      </c>
      <c r="E30" s="1586">
        <v>0</v>
      </c>
      <c r="F30" s="1587">
        <v>0</v>
      </c>
      <c r="G30" s="1588">
        <v>0</v>
      </c>
      <c r="H30" s="1589">
        <v>0</v>
      </c>
    </row>
    <row r="31" spans="1:9">
      <c r="A31" s="1711" t="s">
        <v>440</v>
      </c>
      <c r="B31" s="1583" t="s">
        <v>66</v>
      </c>
      <c r="C31" s="1584">
        <v>0</v>
      </c>
      <c r="D31" s="1585">
        <v>0</v>
      </c>
      <c r="E31" s="1586">
        <v>0</v>
      </c>
      <c r="F31" s="1587">
        <v>0</v>
      </c>
      <c r="G31" s="1588">
        <v>0</v>
      </c>
      <c r="H31" s="1589">
        <v>0</v>
      </c>
    </row>
    <row r="32" spans="1:9">
      <c r="A32" s="1711" t="s">
        <v>440</v>
      </c>
      <c r="B32" s="1583" t="s">
        <v>67</v>
      </c>
      <c r="C32" s="1584">
        <v>0</v>
      </c>
      <c r="D32" s="1585">
        <v>0</v>
      </c>
      <c r="E32" s="1586">
        <v>0</v>
      </c>
      <c r="F32" s="1587">
        <v>0</v>
      </c>
      <c r="G32" s="1588">
        <v>0</v>
      </c>
      <c r="H32" s="1589">
        <v>0</v>
      </c>
    </row>
    <row r="33" spans="1:8">
      <c r="A33" s="1711" t="s">
        <v>440</v>
      </c>
      <c r="B33" s="1583" t="s">
        <v>68</v>
      </c>
      <c r="C33" s="1584">
        <v>0</v>
      </c>
      <c r="D33" s="1585">
        <v>0</v>
      </c>
      <c r="E33" s="1586">
        <v>0</v>
      </c>
      <c r="F33" s="1587">
        <v>0</v>
      </c>
      <c r="G33" s="1588">
        <v>0</v>
      </c>
      <c r="H33" s="1589">
        <v>0</v>
      </c>
    </row>
    <row r="34" spans="1:8">
      <c r="A34" s="1711" t="s">
        <v>440</v>
      </c>
      <c r="B34" s="1583" t="s">
        <v>69</v>
      </c>
      <c r="C34" s="1584">
        <v>24</v>
      </c>
      <c r="D34" s="1585">
        <v>18</v>
      </c>
      <c r="E34" s="1586">
        <v>6</v>
      </c>
      <c r="F34" s="1587">
        <v>15</v>
      </c>
      <c r="G34" s="1588">
        <v>12</v>
      </c>
      <c r="H34" s="1589">
        <v>3</v>
      </c>
    </row>
    <row r="35" spans="1:8">
      <c r="A35" s="1711" t="s">
        <v>440</v>
      </c>
      <c r="B35" s="1583" t="s">
        <v>70</v>
      </c>
      <c r="C35" s="1584">
        <v>3</v>
      </c>
      <c r="D35" s="1585">
        <v>3</v>
      </c>
      <c r="E35" s="1586">
        <v>0</v>
      </c>
      <c r="F35" s="1587">
        <v>3</v>
      </c>
      <c r="G35" s="1588">
        <v>3</v>
      </c>
      <c r="H35" s="1589">
        <v>0</v>
      </c>
    </row>
    <row r="36" spans="1:8">
      <c r="A36" s="1711" t="s">
        <v>440</v>
      </c>
      <c r="B36" s="1591" t="s">
        <v>71</v>
      </c>
      <c r="C36" s="1584">
        <v>0</v>
      </c>
      <c r="D36" s="1585">
        <v>0</v>
      </c>
      <c r="E36" s="1586">
        <v>0</v>
      </c>
      <c r="F36" s="1587">
        <v>0</v>
      </c>
      <c r="G36" s="1588">
        <v>0</v>
      </c>
      <c r="H36" s="1589">
        <v>0</v>
      </c>
    </row>
    <row r="37" spans="1:8">
      <c r="A37" s="1434" t="s">
        <v>441</v>
      </c>
      <c r="B37" s="1579" t="s">
        <v>64</v>
      </c>
      <c r="C37" s="1580">
        <f>SUM(C38:C44)</f>
        <v>1308</v>
      </c>
      <c r="D37" s="1581">
        <f t="shared" ref="D37:H37" si="4">SUM(D38:D44)</f>
        <v>1092</v>
      </c>
      <c r="E37" s="1582">
        <f t="shared" si="4"/>
        <v>216</v>
      </c>
      <c r="F37" s="1580">
        <f t="shared" si="4"/>
        <v>1062</v>
      </c>
      <c r="G37" s="1581">
        <f t="shared" si="4"/>
        <v>870</v>
      </c>
      <c r="H37" s="1582">
        <f t="shared" si="4"/>
        <v>192</v>
      </c>
    </row>
    <row r="38" spans="1:8">
      <c r="A38" s="1711" t="s">
        <v>441</v>
      </c>
      <c r="B38" s="1583" t="s">
        <v>65</v>
      </c>
      <c r="C38" s="1847">
        <v>99</v>
      </c>
      <c r="D38" s="1848">
        <v>57</v>
      </c>
      <c r="E38" s="1849">
        <v>42</v>
      </c>
      <c r="F38" s="1850">
        <v>90</v>
      </c>
      <c r="G38" s="1851">
        <v>51</v>
      </c>
      <c r="H38" s="1852">
        <v>39</v>
      </c>
    </row>
    <row r="39" spans="1:8">
      <c r="A39" s="1711" t="s">
        <v>441</v>
      </c>
      <c r="B39" s="1583" t="s">
        <v>66</v>
      </c>
      <c r="C39" s="1847">
        <v>27</v>
      </c>
      <c r="D39" s="1848">
        <v>15</v>
      </c>
      <c r="E39" s="1849">
        <v>12</v>
      </c>
      <c r="F39" s="1850">
        <v>27</v>
      </c>
      <c r="G39" s="1851">
        <v>15</v>
      </c>
      <c r="H39" s="1852">
        <v>12</v>
      </c>
    </row>
    <row r="40" spans="1:8">
      <c r="A40" s="1711" t="s">
        <v>441</v>
      </c>
      <c r="B40" s="1583" t="s">
        <v>67</v>
      </c>
      <c r="C40" s="1847">
        <v>63</v>
      </c>
      <c r="D40" s="1848">
        <v>42</v>
      </c>
      <c r="E40" s="1849">
        <v>21</v>
      </c>
      <c r="F40" s="1850">
        <v>57</v>
      </c>
      <c r="G40" s="1851">
        <v>36</v>
      </c>
      <c r="H40" s="1852">
        <v>21</v>
      </c>
    </row>
    <row r="41" spans="1:8">
      <c r="A41" s="1711" t="s">
        <v>441</v>
      </c>
      <c r="B41" s="1583" t="s">
        <v>68</v>
      </c>
      <c r="C41" s="1847">
        <v>3</v>
      </c>
      <c r="D41" s="1848">
        <v>3</v>
      </c>
      <c r="E41" s="1849">
        <v>0</v>
      </c>
      <c r="F41" s="1850">
        <v>3</v>
      </c>
      <c r="G41" s="1851">
        <v>3</v>
      </c>
      <c r="H41" s="1852">
        <v>0</v>
      </c>
    </row>
    <row r="42" spans="1:8">
      <c r="A42" s="1711" t="s">
        <v>441</v>
      </c>
      <c r="B42" s="1583" t="s">
        <v>69</v>
      </c>
      <c r="C42" s="1847">
        <v>1026</v>
      </c>
      <c r="D42" s="1848">
        <v>930</v>
      </c>
      <c r="E42" s="1849">
        <v>96</v>
      </c>
      <c r="F42" s="1850">
        <v>807</v>
      </c>
      <c r="G42" s="1851">
        <v>723</v>
      </c>
      <c r="H42" s="1852">
        <v>84</v>
      </c>
    </row>
    <row r="43" spans="1:8">
      <c r="A43" s="1711" t="s">
        <v>441</v>
      </c>
      <c r="B43" s="1583" t="s">
        <v>70</v>
      </c>
      <c r="C43" s="1584">
        <v>66</v>
      </c>
      <c r="D43" s="1585">
        <v>36</v>
      </c>
      <c r="E43" s="1586">
        <v>30</v>
      </c>
      <c r="F43" s="1587">
        <v>57</v>
      </c>
      <c r="G43" s="1588">
        <v>33</v>
      </c>
      <c r="H43" s="1589">
        <v>24</v>
      </c>
    </row>
    <row r="44" spans="1:8">
      <c r="A44" s="1711" t="s">
        <v>441</v>
      </c>
      <c r="B44" s="1591" t="s">
        <v>71</v>
      </c>
      <c r="C44" s="1584">
        <v>24</v>
      </c>
      <c r="D44" s="1585">
        <v>9</v>
      </c>
      <c r="E44" s="1586">
        <v>15</v>
      </c>
      <c r="F44" s="1587">
        <v>21</v>
      </c>
      <c r="G44" s="1588">
        <v>9</v>
      </c>
      <c r="H44" s="1589">
        <v>12</v>
      </c>
    </row>
    <row r="45" spans="1:8">
      <c r="A45" s="1434" t="s">
        <v>442</v>
      </c>
      <c r="B45" s="1579" t="s">
        <v>64</v>
      </c>
      <c r="C45" s="1580">
        <f>SUM(C46:C53)</f>
        <v>276</v>
      </c>
      <c r="D45" s="1581">
        <f t="shared" ref="D45:H45" si="5">SUM(D46:D53)</f>
        <v>228</v>
      </c>
      <c r="E45" s="1582">
        <f t="shared" si="5"/>
        <v>48</v>
      </c>
      <c r="F45" s="1580">
        <f t="shared" si="5"/>
        <v>258</v>
      </c>
      <c r="G45" s="1581">
        <f t="shared" si="5"/>
        <v>210</v>
      </c>
      <c r="H45" s="1582">
        <f t="shared" si="5"/>
        <v>48</v>
      </c>
    </row>
    <row r="46" spans="1:8">
      <c r="A46" s="1711" t="s">
        <v>442</v>
      </c>
      <c r="B46" s="1583" t="s">
        <v>65</v>
      </c>
      <c r="C46" s="1584">
        <v>36</v>
      </c>
      <c r="D46" s="1585">
        <v>21</v>
      </c>
      <c r="E46" s="1586">
        <v>15</v>
      </c>
      <c r="F46" s="1587">
        <v>33</v>
      </c>
      <c r="G46" s="1588">
        <v>18</v>
      </c>
      <c r="H46" s="1589">
        <v>15</v>
      </c>
    </row>
    <row r="47" spans="1:8">
      <c r="A47" s="1711" t="s">
        <v>442</v>
      </c>
      <c r="B47" s="1583" t="s">
        <v>66</v>
      </c>
      <c r="C47" s="1584">
        <v>6</v>
      </c>
      <c r="D47" s="1585">
        <v>6</v>
      </c>
      <c r="E47" s="1586">
        <v>0</v>
      </c>
      <c r="F47" s="1587">
        <v>6</v>
      </c>
      <c r="G47" s="1588">
        <v>6</v>
      </c>
      <c r="H47" s="1589">
        <v>0</v>
      </c>
    </row>
    <row r="48" spans="1:8">
      <c r="A48" s="1711" t="s">
        <v>442</v>
      </c>
      <c r="B48" s="1583" t="s">
        <v>67</v>
      </c>
      <c r="C48" s="1584">
        <v>12</v>
      </c>
      <c r="D48" s="1585">
        <v>6</v>
      </c>
      <c r="E48" s="1586">
        <v>6</v>
      </c>
      <c r="F48" s="1587">
        <v>12</v>
      </c>
      <c r="G48" s="1588">
        <v>6</v>
      </c>
      <c r="H48" s="1589">
        <v>6</v>
      </c>
    </row>
    <row r="49" spans="1:8">
      <c r="A49" s="1711" t="s">
        <v>442</v>
      </c>
      <c r="B49" s="1583" t="s">
        <v>68</v>
      </c>
      <c r="C49" s="1584">
        <v>3</v>
      </c>
      <c r="D49" s="1585">
        <v>3</v>
      </c>
      <c r="E49" s="1586">
        <v>0</v>
      </c>
      <c r="F49" s="1587">
        <v>3</v>
      </c>
      <c r="G49" s="1588">
        <v>3</v>
      </c>
      <c r="H49" s="1589">
        <v>0</v>
      </c>
    </row>
    <row r="50" spans="1:8">
      <c r="A50" s="1711" t="s">
        <v>442</v>
      </c>
      <c r="B50" s="1583" t="s">
        <v>69</v>
      </c>
      <c r="C50" s="1584">
        <v>210</v>
      </c>
      <c r="D50" s="1585">
        <v>183</v>
      </c>
      <c r="E50" s="1586">
        <v>27</v>
      </c>
      <c r="F50" s="1587">
        <v>195</v>
      </c>
      <c r="G50" s="1588">
        <v>168</v>
      </c>
      <c r="H50" s="1589">
        <v>27</v>
      </c>
    </row>
    <row r="51" spans="1:8">
      <c r="A51" s="1711" t="s">
        <v>442</v>
      </c>
      <c r="B51" s="1583" t="s">
        <v>70</v>
      </c>
      <c r="C51" s="1584">
        <v>9</v>
      </c>
      <c r="D51" s="1585">
        <v>9</v>
      </c>
      <c r="E51" s="1586">
        <v>0</v>
      </c>
      <c r="F51" s="1587">
        <v>9</v>
      </c>
      <c r="G51" s="1588">
        <v>9</v>
      </c>
      <c r="H51" s="1589">
        <v>0</v>
      </c>
    </row>
    <row r="52" spans="1:8">
      <c r="A52" s="1711" t="s">
        <v>442</v>
      </c>
      <c r="B52" s="1583" t="s">
        <v>71</v>
      </c>
      <c r="C52" s="1584">
        <v>0</v>
      </c>
      <c r="D52" s="1585">
        <v>0</v>
      </c>
      <c r="E52" s="1586">
        <v>0</v>
      </c>
      <c r="F52" s="1587">
        <v>0</v>
      </c>
      <c r="G52" s="1588">
        <v>0</v>
      </c>
      <c r="H52" s="1589">
        <v>0</v>
      </c>
    </row>
    <row r="53" spans="1:8">
      <c r="A53" s="1711" t="s">
        <v>442</v>
      </c>
      <c r="B53" s="1583" t="s">
        <v>356</v>
      </c>
      <c r="C53" s="1587">
        <v>0</v>
      </c>
      <c r="D53" s="1590">
        <v>0</v>
      </c>
      <c r="E53" s="1587">
        <v>0</v>
      </c>
      <c r="F53" s="1587">
        <v>0</v>
      </c>
      <c r="G53" s="1592">
        <v>0</v>
      </c>
      <c r="H53" s="1593">
        <v>0</v>
      </c>
    </row>
    <row r="54" spans="1:8">
      <c r="A54" s="1434" t="s">
        <v>443</v>
      </c>
      <c r="B54" s="1579" t="s">
        <v>64</v>
      </c>
      <c r="C54" s="1580">
        <f>SUM(C55:C61)</f>
        <v>174</v>
      </c>
      <c r="D54" s="1581">
        <f t="shared" ref="D54:H54" si="6">SUM(D55:D61)</f>
        <v>141</v>
      </c>
      <c r="E54" s="1582">
        <f t="shared" si="6"/>
        <v>36</v>
      </c>
      <c r="F54" s="1580">
        <f t="shared" si="6"/>
        <v>138</v>
      </c>
      <c r="G54" s="1581">
        <f t="shared" si="6"/>
        <v>102</v>
      </c>
      <c r="H54" s="1582">
        <f t="shared" si="6"/>
        <v>33</v>
      </c>
    </row>
    <row r="55" spans="1:8">
      <c r="A55" s="1711" t="s">
        <v>443</v>
      </c>
      <c r="B55" s="1583" t="s">
        <v>65</v>
      </c>
      <c r="C55" s="1584">
        <v>18</v>
      </c>
      <c r="D55" s="1585">
        <v>9</v>
      </c>
      <c r="E55" s="1586">
        <v>12</v>
      </c>
      <c r="F55" s="1587">
        <v>15</v>
      </c>
      <c r="G55" s="1588">
        <v>6</v>
      </c>
      <c r="H55" s="1589">
        <v>9</v>
      </c>
    </row>
    <row r="56" spans="1:8">
      <c r="A56" s="1711" t="s">
        <v>443</v>
      </c>
      <c r="B56" s="1583" t="s">
        <v>66</v>
      </c>
      <c r="C56" s="1584">
        <v>6</v>
      </c>
      <c r="D56" s="1585">
        <v>3</v>
      </c>
      <c r="E56" s="1586">
        <v>3</v>
      </c>
      <c r="F56" s="1587">
        <v>6</v>
      </c>
      <c r="G56" s="1588">
        <v>3</v>
      </c>
      <c r="H56" s="1589">
        <v>3</v>
      </c>
    </row>
    <row r="57" spans="1:8">
      <c r="A57" s="1711" t="s">
        <v>443</v>
      </c>
      <c r="B57" s="1583" t="s">
        <v>67</v>
      </c>
      <c r="C57" s="1584">
        <v>9</v>
      </c>
      <c r="D57" s="1585">
        <v>6</v>
      </c>
      <c r="E57" s="1586">
        <v>3</v>
      </c>
      <c r="F57" s="1587">
        <v>6</v>
      </c>
      <c r="G57" s="1588">
        <v>3</v>
      </c>
      <c r="H57" s="1589">
        <v>3</v>
      </c>
    </row>
    <row r="58" spans="1:8">
      <c r="A58" s="1711" t="s">
        <v>443</v>
      </c>
      <c r="B58" s="1583" t="s">
        <v>68</v>
      </c>
      <c r="C58" s="1584">
        <v>6</v>
      </c>
      <c r="D58" s="1585">
        <v>6</v>
      </c>
      <c r="E58" s="1586">
        <v>0</v>
      </c>
      <c r="F58" s="1587">
        <v>6</v>
      </c>
      <c r="G58" s="1588">
        <v>3</v>
      </c>
      <c r="H58" s="1589">
        <v>0</v>
      </c>
    </row>
    <row r="59" spans="1:8">
      <c r="A59" s="1711" t="s">
        <v>443</v>
      </c>
      <c r="B59" s="1583" t="s">
        <v>69</v>
      </c>
      <c r="C59" s="1584">
        <v>129</v>
      </c>
      <c r="D59" s="1585">
        <v>111</v>
      </c>
      <c r="E59" s="1586">
        <v>18</v>
      </c>
      <c r="F59" s="1587">
        <v>102</v>
      </c>
      <c r="G59" s="1588">
        <v>84</v>
      </c>
      <c r="H59" s="1589">
        <v>18</v>
      </c>
    </row>
    <row r="60" spans="1:8">
      <c r="A60" s="1711" t="s">
        <v>443</v>
      </c>
      <c r="B60" s="1583" t="s">
        <v>70</v>
      </c>
      <c r="C60" s="1584">
        <v>6</v>
      </c>
      <c r="D60" s="1585">
        <v>6</v>
      </c>
      <c r="E60" s="1586">
        <v>0</v>
      </c>
      <c r="F60" s="1587">
        <v>3</v>
      </c>
      <c r="G60" s="1588">
        <v>3</v>
      </c>
      <c r="H60" s="1589">
        <v>0</v>
      </c>
    </row>
    <row r="61" spans="1:8">
      <c r="A61" s="1830" t="s">
        <v>443</v>
      </c>
      <c r="B61" s="1836" t="s">
        <v>71</v>
      </c>
      <c r="C61" s="1837">
        <v>0</v>
      </c>
      <c r="D61" s="1838">
        <v>0</v>
      </c>
      <c r="E61" s="1774">
        <v>0</v>
      </c>
      <c r="F61" s="1846">
        <v>0</v>
      </c>
      <c r="G61" s="1775">
        <v>0</v>
      </c>
      <c r="H61" s="1776">
        <v>0</v>
      </c>
    </row>
    <row r="62" spans="1:8">
      <c r="A62" s="1811" t="s">
        <v>444</v>
      </c>
      <c r="B62" s="1844" t="s">
        <v>64</v>
      </c>
      <c r="C62" s="1842">
        <f>SUM(C63:C69)</f>
        <v>591</v>
      </c>
      <c r="D62" s="1789">
        <f t="shared" ref="D62:H62" si="7">SUM(D63:D69)</f>
        <v>450</v>
      </c>
      <c r="E62" s="1845">
        <f t="shared" si="7"/>
        <v>138</v>
      </c>
      <c r="F62" s="1842">
        <f t="shared" si="7"/>
        <v>525</v>
      </c>
      <c r="G62" s="1789">
        <f t="shared" si="7"/>
        <v>399</v>
      </c>
      <c r="H62" s="1845">
        <f t="shared" si="7"/>
        <v>129</v>
      </c>
    </row>
    <row r="63" spans="1:8">
      <c r="A63" s="1711" t="s">
        <v>444</v>
      </c>
      <c r="B63" s="1583" t="s">
        <v>65</v>
      </c>
      <c r="C63" s="1584">
        <v>69</v>
      </c>
      <c r="D63" s="1585">
        <v>33</v>
      </c>
      <c r="E63" s="1586">
        <v>36</v>
      </c>
      <c r="F63" s="1587">
        <v>66</v>
      </c>
      <c r="G63" s="1588">
        <v>30</v>
      </c>
      <c r="H63" s="1589">
        <v>36</v>
      </c>
    </row>
    <row r="64" spans="1:8">
      <c r="A64" s="1711" t="s">
        <v>444</v>
      </c>
      <c r="B64" s="1583" t="s">
        <v>66</v>
      </c>
      <c r="C64" s="1584">
        <v>33</v>
      </c>
      <c r="D64" s="1585">
        <v>18</v>
      </c>
      <c r="E64" s="1586">
        <v>15</v>
      </c>
      <c r="F64" s="1587">
        <v>30</v>
      </c>
      <c r="G64" s="1588">
        <v>15</v>
      </c>
      <c r="H64" s="1589">
        <v>15</v>
      </c>
    </row>
    <row r="65" spans="1:8">
      <c r="A65" s="1711" t="s">
        <v>444</v>
      </c>
      <c r="B65" s="1583" t="s">
        <v>67</v>
      </c>
      <c r="C65" s="1584">
        <v>24</v>
      </c>
      <c r="D65" s="1585">
        <v>18</v>
      </c>
      <c r="E65" s="1586">
        <v>6</v>
      </c>
      <c r="F65" s="1587">
        <v>21</v>
      </c>
      <c r="G65" s="1588">
        <v>18</v>
      </c>
      <c r="H65" s="1589">
        <v>6</v>
      </c>
    </row>
    <row r="66" spans="1:8">
      <c r="A66" s="1711" t="s">
        <v>444</v>
      </c>
      <c r="B66" s="1583" t="s">
        <v>68</v>
      </c>
      <c r="C66" s="1584">
        <v>18</v>
      </c>
      <c r="D66" s="1585">
        <v>15</v>
      </c>
      <c r="E66" s="1586">
        <v>0</v>
      </c>
      <c r="F66" s="1587">
        <v>15</v>
      </c>
      <c r="G66" s="1588">
        <v>15</v>
      </c>
      <c r="H66" s="1589">
        <v>0</v>
      </c>
    </row>
    <row r="67" spans="1:8">
      <c r="A67" s="1711" t="s">
        <v>444</v>
      </c>
      <c r="B67" s="1583" t="s">
        <v>69</v>
      </c>
      <c r="C67" s="1584">
        <v>417</v>
      </c>
      <c r="D67" s="1585">
        <v>354</v>
      </c>
      <c r="E67" s="1586">
        <v>63</v>
      </c>
      <c r="F67" s="1587">
        <v>363</v>
      </c>
      <c r="G67" s="1588">
        <v>309</v>
      </c>
      <c r="H67" s="1589">
        <v>54</v>
      </c>
    </row>
    <row r="68" spans="1:8">
      <c r="A68" s="1711" t="s">
        <v>444</v>
      </c>
      <c r="B68" s="1583" t="s">
        <v>70</v>
      </c>
      <c r="C68" s="1584">
        <v>15</v>
      </c>
      <c r="D68" s="1585">
        <v>6</v>
      </c>
      <c r="E68" s="1586">
        <v>9</v>
      </c>
      <c r="F68" s="1587">
        <v>15</v>
      </c>
      <c r="G68" s="1588">
        <v>6</v>
      </c>
      <c r="H68" s="1589">
        <v>9</v>
      </c>
    </row>
    <row r="69" spans="1:8">
      <c r="A69" s="1711" t="s">
        <v>444</v>
      </c>
      <c r="B69" s="1591" t="s">
        <v>71</v>
      </c>
      <c r="C69" s="1584">
        <v>15</v>
      </c>
      <c r="D69" s="1585">
        <v>6</v>
      </c>
      <c r="E69" s="1586">
        <v>9</v>
      </c>
      <c r="F69" s="1587">
        <v>15</v>
      </c>
      <c r="G69" s="1588">
        <v>6</v>
      </c>
      <c r="H69" s="1589">
        <v>9</v>
      </c>
    </row>
    <row r="70" spans="1:8">
      <c r="A70" s="1434" t="s">
        <v>445</v>
      </c>
      <c r="B70" s="1594" t="s">
        <v>64</v>
      </c>
      <c r="C70" s="1580">
        <f>SUM(C71:C77)</f>
        <v>807</v>
      </c>
      <c r="D70" s="1581">
        <f t="shared" ref="D70:H70" si="8">SUM(D71:D77)</f>
        <v>597</v>
      </c>
      <c r="E70" s="1582">
        <f t="shared" si="8"/>
        <v>201</v>
      </c>
      <c r="F70" s="1580">
        <f t="shared" si="8"/>
        <v>645</v>
      </c>
      <c r="G70" s="1581">
        <f t="shared" si="8"/>
        <v>459</v>
      </c>
      <c r="H70" s="1582">
        <f t="shared" si="8"/>
        <v>186</v>
      </c>
    </row>
    <row r="71" spans="1:8">
      <c r="A71" s="1711" t="s">
        <v>445</v>
      </c>
      <c r="B71" s="1583" t="s">
        <v>65</v>
      </c>
      <c r="C71" s="1584">
        <v>117</v>
      </c>
      <c r="D71" s="1585">
        <v>48</v>
      </c>
      <c r="E71" s="1586">
        <v>66</v>
      </c>
      <c r="F71" s="1587">
        <v>93</v>
      </c>
      <c r="G71" s="1588">
        <v>33</v>
      </c>
      <c r="H71" s="1589">
        <v>60</v>
      </c>
    </row>
    <row r="72" spans="1:8">
      <c r="A72" s="1711" t="s">
        <v>445</v>
      </c>
      <c r="B72" s="1583" t="s">
        <v>66</v>
      </c>
      <c r="C72" s="1584">
        <v>51</v>
      </c>
      <c r="D72" s="1585">
        <v>24</v>
      </c>
      <c r="E72" s="1586">
        <v>24</v>
      </c>
      <c r="F72" s="1587">
        <v>48</v>
      </c>
      <c r="G72" s="1588">
        <v>24</v>
      </c>
      <c r="H72" s="1589">
        <v>24</v>
      </c>
    </row>
    <row r="73" spans="1:8">
      <c r="A73" s="1711" t="s">
        <v>445</v>
      </c>
      <c r="B73" s="1583" t="s">
        <v>67</v>
      </c>
      <c r="C73" s="1584">
        <v>27</v>
      </c>
      <c r="D73" s="1585">
        <v>18</v>
      </c>
      <c r="E73" s="1586">
        <v>6</v>
      </c>
      <c r="F73" s="1587">
        <v>24</v>
      </c>
      <c r="G73" s="1588">
        <v>18</v>
      </c>
      <c r="H73" s="1589">
        <v>6</v>
      </c>
    </row>
    <row r="74" spans="1:8">
      <c r="A74" s="1711" t="s">
        <v>445</v>
      </c>
      <c r="B74" s="1583" t="s">
        <v>68</v>
      </c>
      <c r="C74" s="1584">
        <v>3</v>
      </c>
      <c r="D74" s="1585">
        <v>3</v>
      </c>
      <c r="E74" s="1586">
        <v>0</v>
      </c>
      <c r="F74" s="1587">
        <v>3</v>
      </c>
      <c r="G74" s="1588">
        <v>3</v>
      </c>
      <c r="H74" s="1589">
        <v>0</v>
      </c>
    </row>
    <row r="75" spans="1:8">
      <c r="A75" s="1711" t="s">
        <v>445</v>
      </c>
      <c r="B75" s="1583" t="s">
        <v>69</v>
      </c>
      <c r="C75" s="1584">
        <v>579</v>
      </c>
      <c r="D75" s="1585">
        <v>498</v>
      </c>
      <c r="E75" s="1586">
        <v>81</v>
      </c>
      <c r="F75" s="1587">
        <v>447</v>
      </c>
      <c r="G75" s="1588">
        <v>375</v>
      </c>
      <c r="H75" s="1589">
        <v>72</v>
      </c>
    </row>
    <row r="76" spans="1:8">
      <c r="A76" s="1711" t="s">
        <v>445</v>
      </c>
      <c r="B76" s="1583" t="s">
        <v>70</v>
      </c>
      <c r="C76" s="1584">
        <v>12</v>
      </c>
      <c r="D76" s="1585">
        <v>3</v>
      </c>
      <c r="E76" s="1586">
        <v>9</v>
      </c>
      <c r="F76" s="1587">
        <v>12</v>
      </c>
      <c r="G76" s="1588">
        <v>3</v>
      </c>
      <c r="H76" s="1589">
        <v>9</v>
      </c>
    </row>
    <row r="77" spans="1:8">
      <c r="A77" s="1711" t="s">
        <v>445</v>
      </c>
      <c r="B77" s="1591" t="s">
        <v>71</v>
      </c>
      <c r="C77" s="1584">
        <v>18</v>
      </c>
      <c r="D77" s="1585">
        <v>3</v>
      </c>
      <c r="E77" s="1586">
        <v>15</v>
      </c>
      <c r="F77" s="1587">
        <v>18</v>
      </c>
      <c r="G77" s="1588">
        <v>3</v>
      </c>
      <c r="H77" s="1589">
        <v>15</v>
      </c>
    </row>
    <row r="78" spans="1:8">
      <c r="A78" s="1434" t="s">
        <v>446</v>
      </c>
      <c r="B78" s="1579" t="s">
        <v>64</v>
      </c>
      <c r="C78" s="1580">
        <f>SUM(C79:C85)</f>
        <v>69</v>
      </c>
      <c r="D78" s="1581">
        <f t="shared" ref="D78:H78" si="9">SUM(D79:D85)</f>
        <v>57</v>
      </c>
      <c r="E78" s="1582">
        <f t="shared" si="9"/>
        <v>6</v>
      </c>
      <c r="F78" s="1580">
        <f t="shared" si="9"/>
        <v>54</v>
      </c>
      <c r="G78" s="1581">
        <f t="shared" si="9"/>
        <v>45</v>
      </c>
      <c r="H78" s="1582">
        <f t="shared" si="9"/>
        <v>3</v>
      </c>
    </row>
    <row r="79" spans="1:8">
      <c r="A79" s="1711" t="s">
        <v>446</v>
      </c>
      <c r="B79" s="1583" t="s">
        <v>65</v>
      </c>
      <c r="C79" s="1584">
        <v>9</v>
      </c>
      <c r="D79" s="1585">
        <v>6</v>
      </c>
      <c r="E79" s="1586">
        <v>3</v>
      </c>
      <c r="F79" s="1587">
        <v>6</v>
      </c>
      <c r="G79" s="1588">
        <v>6</v>
      </c>
      <c r="H79" s="1589">
        <v>0</v>
      </c>
    </row>
    <row r="80" spans="1:8">
      <c r="A80" s="1711" t="s">
        <v>446</v>
      </c>
      <c r="B80" s="1583" t="s">
        <v>66</v>
      </c>
      <c r="C80" s="1584">
        <v>3</v>
      </c>
      <c r="D80" s="1585">
        <v>0</v>
      </c>
      <c r="E80" s="1586">
        <v>0</v>
      </c>
      <c r="F80" s="1587">
        <v>3</v>
      </c>
      <c r="G80" s="1588">
        <v>0</v>
      </c>
      <c r="H80" s="1589">
        <v>0</v>
      </c>
    </row>
    <row r="81" spans="1:8">
      <c r="A81" s="1711" t="s">
        <v>446</v>
      </c>
      <c r="B81" s="1583" t="s">
        <v>67</v>
      </c>
      <c r="C81" s="1584">
        <v>3</v>
      </c>
      <c r="D81" s="1585">
        <v>0</v>
      </c>
      <c r="E81" s="1586">
        <v>0</v>
      </c>
      <c r="F81" s="1587">
        <v>3</v>
      </c>
      <c r="G81" s="1588">
        <v>0</v>
      </c>
      <c r="H81" s="1589">
        <v>0</v>
      </c>
    </row>
    <row r="82" spans="1:8">
      <c r="A82" s="1711" t="s">
        <v>446</v>
      </c>
      <c r="B82" s="1583" t="s">
        <v>68</v>
      </c>
      <c r="C82" s="1584">
        <v>0</v>
      </c>
      <c r="D82" s="1585">
        <v>0</v>
      </c>
      <c r="E82" s="1586">
        <v>0</v>
      </c>
      <c r="F82" s="1587">
        <v>0</v>
      </c>
      <c r="G82" s="1588">
        <v>0</v>
      </c>
      <c r="H82" s="1589">
        <v>0</v>
      </c>
    </row>
    <row r="83" spans="1:8">
      <c r="A83" s="1711" t="s">
        <v>446</v>
      </c>
      <c r="B83" s="1583" t="s">
        <v>69</v>
      </c>
      <c r="C83" s="1584">
        <v>54</v>
      </c>
      <c r="D83" s="1585">
        <v>51</v>
      </c>
      <c r="E83" s="1586">
        <v>3</v>
      </c>
      <c r="F83" s="1587">
        <v>42</v>
      </c>
      <c r="G83" s="1588">
        <v>39</v>
      </c>
      <c r="H83" s="1589">
        <v>3</v>
      </c>
    </row>
    <row r="84" spans="1:8">
      <c r="A84" s="1711" t="s">
        <v>446</v>
      </c>
      <c r="B84" s="1583" t="s">
        <v>70</v>
      </c>
      <c r="C84" s="1584">
        <v>0</v>
      </c>
      <c r="D84" s="1585">
        <v>0</v>
      </c>
      <c r="E84" s="1586">
        <v>0</v>
      </c>
      <c r="F84" s="1587">
        <v>0</v>
      </c>
      <c r="G84" s="1588">
        <v>0</v>
      </c>
      <c r="H84" s="1589">
        <v>0</v>
      </c>
    </row>
    <row r="85" spans="1:8">
      <c r="A85" s="1711" t="s">
        <v>446</v>
      </c>
      <c r="B85" s="1591" t="s">
        <v>71</v>
      </c>
      <c r="C85" s="1584">
        <v>0</v>
      </c>
      <c r="D85" s="1585">
        <v>0</v>
      </c>
      <c r="E85" s="1586">
        <v>0</v>
      </c>
      <c r="F85" s="1587">
        <v>0</v>
      </c>
      <c r="G85" s="1588">
        <v>0</v>
      </c>
      <c r="H85" s="1589">
        <v>0</v>
      </c>
    </row>
    <row r="86" spans="1:8">
      <c r="A86" s="1434" t="s">
        <v>447</v>
      </c>
      <c r="B86" s="1579" t="s">
        <v>64</v>
      </c>
      <c r="C86" s="1580">
        <f>SUM(C87:C93)</f>
        <v>174</v>
      </c>
      <c r="D86" s="1581">
        <f t="shared" ref="D86" si="10">SUM(D87:D93)</f>
        <v>129</v>
      </c>
      <c r="E86" s="1582">
        <f t="shared" ref="E86" si="11">SUM(E87:E93)</f>
        <v>48</v>
      </c>
      <c r="F86" s="1580">
        <f t="shared" ref="F86" si="12">SUM(F87:F93)</f>
        <v>153</v>
      </c>
      <c r="G86" s="1581">
        <f t="shared" ref="G86" si="13">SUM(G87:G93)</f>
        <v>114</v>
      </c>
      <c r="H86" s="1582">
        <f t="shared" ref="H86" si="14">SUM(H87:H93)</f>
        <v>42</v>
      </c>
    </row>
    <row r="87" spans="1:8">
      <c r="A87" s="1711" t="s">
        <v>447</v>
      </c>
      <c r="B87" s="1583" t="s">
        <v>65</v>
      </c>
      <c r="C87" s="1584">
        <v>9</v>
      </c>
      <c r="D87" s="1585">
        <v>3</v>
      </c>
      <c r="E87" s="1586">
        <v>6</v>
      </c>
      <c r="F87" s="1587">
        <v>9</v>
      </c>
      <c r="G87" s="1588">
        <v>3</v>
      </c>
      <c r="H87" s="1589">
        <v>6</v>
      </c>
    </row>
    <row r="88" spans="1:8">
      <c r="A88" s="1711" t="s">
        <v>447</v>
      </c>
      <c r="B88" s="1583" t="s">
        <v>66</v>
      </c>
      <c r="C88" s="1584">
        <v>0</v>
      </c>
      <c r="D88" s="1585">
        <v>0</v>
      </c>
      <c r="E88" s="1586">
        <v>0</v>
      </c>
      <c r="F88" s="1587">
        <v>0</v>
      </c>
      <c r="G88" s="1588">
        <v>0</v>
      </c>
      <c r="H88" s="1589">
        <v>0</v>
      </c>
    </row>
    <row r="89" spans="1:8">
      <c r="A89" s="1711" t="s">
        <v>447</v>
      </c>
      <c r="B89" s="1583" t="s">
        <v>67</v>
      </c>
      <c r="C89" s="1584">
        <v>3</v>
      </c>
      <c r="D89" s="1585">
        <v>0</v>
      </c>
      <c r="E89" s="1586">
        <v>3</v>
      </c>
      <c r="F89" s="1587">
        <v>3</v>
      </c>
      <c r="G89" s="1588">
        <v>0</v>
      </c>
      <c r="H89" s="1589">
        <v>3</v>
      </c>
    </row>
    <row r="90" spans="1:8">
      <c r="A90" s="1711" t="s">
        <v>447</v>
      </c>
      <c r="B90" s="1583" t="s">
        <v>68</v>
      </c>
      <c r="C90" s="1584">
        <v>0</v>
      </c>
      <c r="D90" s="1585">
        <v>0</v>
      </c>
      <c r="E90" s="1586">
        <v>0</v>
      </c>
      <c r="F90" s="1587">
        <v>0</v>
      </c>
      <c r="G90" s="1588">
        <v>0</v>
      </c>
      <c r="H90" s="1589">
        <v>0</v>
      </c>
    </row>
    <row r="91" spans="1:8">
      <c r="A91" s="1711" t="s">
        <v>447</v>
      </c>
      <c r="B91" s="1583" t="s">
        <v>69</v>
      </c>
      <c r="C91" s="1584">
        <v>159</v>
      </c>
      <c r="D91" s="1585">
        <v>123</v>
      </c>
      <c r="E91" s="1586">
        <v>36</v>
      </c>
      <c r="F91" s="1587">
        <v>138</v>
      </c>
      <c r="G91" s="1588">
        <v>108</v>
      </c>
      <c r="H91" s="1589">
        <v>30</v>
      </c>
    </row>
    <row r="92" spans="1:8">
      <c r="A92" s="1711" t="s">
        <v>447</v>
      </c>
      <c r="B92" s="1583" t="s">
        <v>70</v>
      </c>
      <c r="C92" s="1584">
        <v>0</v>
      </c>
      <c r="D92" s="1585">
        <v>0</v>
      </c>
      <c r="E92" s="1586">
        <v>0</v>
      </c>
      <c r="F92" s="1587">
        <v>0</v>
      </c>
      <c r="G92" s="1588">
        <v>0</v>
      </c>
      <c r="H92" s="1589">
        <v>0</v>
      </c>
    </row>
    <row r="93" spans="1:8">
      <c r="A93" s="1830" t="s">
        <v>447</v>
      </c>
      <c r="B93" s="1836" t="s">
        <v>71</v>
      </c>
      <c r="C93" s="1837">
        <v>3</v>
      </c>
      <c r="D93" s="1838">
        <v>3</v>
      </c>
      <c r="E93" s="1774">
        <v>3</v>
      </c>
      <c r="F93" s="1846">
        <v>3</v>
      </c>
      <c r="G93" s="1775">
        <v>3</v>
      </c>
      <c r="H93" s="1776">
        <v>3</v>
      </c>
    </row>
    <row r="94" spans="1:8">
      <c r="A94" s="1811" t="s">
        <v>448</v>
      </c>
      <c r="B94" s="1844" t="s">
        <v>64</v>
      </c>
      <c r="C94" s="1580">
        <f>SUM(C95:C101)</f>
        <v>99</v>
      </c>
      <c r="D94" s="1581">
        <f t="shared" ref="D94" si="15">SUM(D95:D101)</f>
        <v>87</v>
      </c>
      <c r="E94" s="1582">
        <f t="shared" ref="E94" si="16">SUM(E95:E101)</f>
        <v>15</v>
      </c>
      <c r="F94" s="1580">
        <f t="shared" ref="F94" si="17">SUM(F95:F101)</f>
        <v>72</v>
      </c>
      <c r="G94" s="1581">
        <f t="shared" ref="G94" si="18">SUM(G95:G101)</f>
        <v>54</v>
      </c>
      <c r="H94" s="1582">
        <f t="shared" ref="H94" si="19">SUM(H95:H101)</f>
        <v>15</v>
      </c>
    </row>
    <row r="95" spans="1:8">
      <c r="A95" s="1711" t="s">
        <v>448</v>
      </c>
      <c r="B95" s="1583" t="s">
        <v>65</v>
      </c>
      <c r="C95" s="1584">
        <v>12</v>
      </c>
      <c r="D95" s="1585">
        <v>6</v>
      </c>
      <c r="E95" s="1586">
        <v>6</v>
      </c>
      <c r="F95" s="1587">
        <v>9</v>
      </c>
      <c r="G95" s="1588">
        <v>3</v>
      </c>
      <c r="H95" s="1589">
        <v>6</v>
      </c>
    </row>
    <row r="96" spans="1:8">
      <c r="A96" s="1711" t="s">
        <v>448</v>
      </c>
      <c r="B96" s="1583" t="s">
        <v>66</v>
      </c>
      <c r="C96" s="1584">
        <v>3</v>
      </c>
      <c r="D96" s="1585">
        <v>3</v>
      </c>
      <c r="E96" s="1586">
        <v>0</v>
      </c>
      <c r="F96" s="1587">
        <v>3</v>
      </c>
      <c r="G96" s="1588">
        <v>0</v>
      </c>
      <c r="H96" s="1589">
        <v>0</v>
      </c>
    </row>
    <row r="97" spans="1:9">
      <c r="A97" s="1711" t="s">
        <v>448</v>
      </c>
      <c r="B97" s="1583" t="s">
        <v>67</v>
      </c>
      <c r="C97" s="1584">
        <v>9</v>
      </c>
      <c r="D97" s="1585">
        <v>9</v>
      </c>
      <c r="E97" s="1586">
        <v>3</v>
      </c>
      <c r="F97" s="1587">
        <v>9</v>
      </c>
      <c r="G97" s="1588">
        <v>6</v>
      </c>
      <c r="H97" s="1589">
        <v>3</v>
      </c>
    </row>
    <row r="98" spans="1:9">
      <c r="A98" s="1711" t="s">
        <v>448</v>
      </c>
      <c r="B98" s="1583" t="s">
        <v>68</v>
      </c>
      <c r="C98" s="1584">
        <v>0</v>
      </c>
      <c r="D98" s="1585">
        <v>0</v>
      </c>
      <c r="E98" s="1586">
        <v>0</v>
      </c>
      <c r="F98" s="1587">
        <v>0</v>
      </c>
      <c r="G98" s="1588">
        <v>0</v>
      </c>
      <c r="H98" s="1589">
        <v>0</v>
      </c>
    </row>
    <row r="99" spans="1:9">
      <c r="A99" s="1711" t="s">
        <v>448</v>
      </c>
      <c r="B99" s="1583" t="s">
        <v>69</v>
      </c>
      <c r="C99" s="1584">
        <v>75</v>
      </c>
      <c r="D99" s="1585">
        <v>69</v>
      </c>
      <c r="E99" s="1586">
        <v>6</v>
      </c>
      <c r="F99" s="1587">
        <v>51</v>
      </c>
      <c r="G99" s="1588">
        <v>45</v>
      </c>
      <c r="H99" s="1589">
        <v>6</v>
      </c>
    </row>
    <row r="100" spans="1:9">
      <c r="A100" s="1711" t="s">
        <v>448</v>
      </c>
      <c r="B100" s="1583" t="s">
        <v>70</v>
      </c>
      <c r="C100" s="1584">
        <v>0</v>
      </c>
      <c r="D100" s="1585">
        <v>0</v>
      </c>
      <c r="E100" s="1586">
        <v>0</v>
      </c>
      <c r="F100" s="1587">
        <v>0</v>
      </c>
      <c r="G100" s="1588">
        <v>0</v>
      </c>
      <c r="H100" s="1589">
        <v>0</v>
      </c>
    </row>
    <row r="101" spans="1:9">
      <c r="A101" s="1711" t="s">
        <v>448</v>
      </c>
      <c r="B101" s="1591" t="s">
        <v>71</v>
      </c>
      <c r="C101" s="1584">
        <v>0</v>
      </c>
      <c r="D101" s="1585">
        <v>0</v>
      </c>
      <c r="E101" s="1586">
        <v>0</v>
      </c>
      <c r="F101" s="1587">
        <v>0</v>
      </c>
      <c r="G101" s="1588">
        <v>0</v>
      </c>
      <c r="H101" s="1589">
        <v>0</v>
      </c>
    </row>
    <row r="102" spans="1:9">
      <c r="A102" s="1434" t="s">
        <v>449</v>
      </c>
      <c r="B102" s="1594" t="s">
        <v>64</v>
      </c>
      <c r="C102" s="1580">
        <f>SUM(C103:C109)</f>
        <v>48</v>
      </c>
      <c r="D102" s="1581">
        <f t="shared" ref="D102:H102" si="20">SUM(D103:D109)</f>
        <v>42</v>
      </c>
      <c r="E102" s="1582">
        <f t="shared" si="20"/>
        <v>6</v>
      </c>
      <c r="F102" s="1580">
        <f t="shared" si="20"/>
        <v>33</v>
      </c>
      <c r="G102" s="1581">
        <f t="shared" si="20"/>
        <v>27</v>
      </c>
      <c r="H102" s="1582">
        <f t="shared" si="20"/>
        <v>6</v>
      </c>
    </row>
    <row r="103" spans="1:9">
      <c r="A103" s="1711" t="s">
        <v>449</v>
      </c>
      <c r="B103" s="1583" t="s">
        <v>65</v>
      </c>
      <c r="C103" s="1584">
        <v>6</v>
      </c>
      <c r="D103" s="1585">
        <v>3</v>
      </c>
      <c r="E103" s="1586">
        <v>3</v>
      </c>
      <c r="F103" s="1587">
        <v>6</v>
      </c>
      <c r="G103" s="1588">
        <v>3</v>
      </c>
      <c r="H103" s="1589">
        <v>3</v>
      </c>
      <c r="I103" s="1573"/>
    </row>
    <row r="104" spans="1:9">
      <c r="A104" s="1711" t="s">
        <v>449</v>
      </c>
      <c r="B104" s="1583" t="s">
        <v>66</v>
      </c>
      <c r="C104" s="1584">
        <v>0</v>
      </c>
      <c r="D104" s="1585">
        <v>0</v>
      </c>
      <c r="E104" s="1586">
        <v>0</v>
      </c>
      <c r="F104" s="1587">
        <v>0</v>
      </c>
      <c r="G104" s="1588">
        <v>0</v>
      </c>
      <c r="H104" s="1589">
        <v>0</v>
      </c>
      <c r="I104" s="1573"/>
    </row>
    <row r="105" spans="1:9">
      <c r="A105" s="1711" t="s">
        <v>449</v>
      </c>
      <c r="B105" s="1583" t="s">
        <v>67</v>
      </c>
      <c r="C105" s="1584">
        <v>0</v>
      </c>
      <c r="D105" s="1585">
        <v>0</v>
      </c>
      <c r="E105" s="1586">
        <v>0</v>
      </c>
      <c r="F105" s="1587">
        <v>0</v>
      </c>
      <c r="G105" s="1588">
        <v>0</v>
      </c>
      <c r="H105" s="1589">
        <v>0</v>
      </c>
      <c r="I105" s="1573"/>
    </row>
    <row r="106" spans="1:9">
      <c r="A106" s="1711" t="s">
        <v>449</v>
      </c>
      <c r="B106" s="1583" t="s">
        <v>68</v>
      </c>
      <c r="C106" s="1584">
        <v>0</v>
      </c>
      <c r="D106" s="1585">
        <v>0</v>
      </c>
      <c r="E106" s="1586">
        <v>0</v>
      </c>
      <c r="F106" s="1587">
        <v>0</v>
      </c>
      <c r="G106" s="1588">
        <v>0</v>
      </c>
      <c r="H106" s="1589">
        <v>0</v>
      </c>
      <c r="I106" s="1573"/>
    </row>
    <row r="107" spans="1:9">
      <c r="A107" s="1711" t="s">
        <v>449</v>
      </c>
      <c r="B107" s="1583" t="s">
        <v>69</v>
      </c>
      <c r="C107" s="1584">
        <v>42</v>
      </c>
      <c r="D107" s="1585">
        <v>39</v>
      </c>
      <c r="E107" s="1586">
        <v>3</v>
      </c>
      <c r="F107" s="1587">
        <v>27</v>
      </c>
      <c r="G107" s="1588">
        <v>24</v>
      </c>
      <c r="H107" s="1589">
        <v>3</v>
      </c>
      <c r="I107" s="1573"/>
    </row>
    <row r="108" spans="1:9">
      <c r="A108" s="1711" t="s">
        <v>449</v>
      </c>
      <c r="B108" s="1583" t="s">
        <v>70</v>
      </c>
      <c r="C108" s="1584">
        <v>0</v>
      </c>
      <c r="D108" s="1585">
        <v>0</v>
      </c>
      <c r="E108" s="1586">
        <v>0</v>
      </c>
      <c r="F108" s="1587">
        <v>0</v>
      </c>
      <c r="G108" s="1588">
        <v>0</v>
      </c>
      <c r="H108" s="1589">
        <v>0</v>
      </c>
      <c r="I108" s="1573"/>
    </row>
    <row r="109" spans="1:9">
      <c r="A109" s="1711" t="s">
        <v>449</v>
      </c>
      <c r="B109" s="1591" t="s">
        <v>71</v>
      </c>
      <c r="C109" s="1584">
        <v>0</v>
      </c>
      <c r="D109" s="1585">
        <v>0</v>
      </c>
      <c r="E109" s="1586">
        <v>0</v>
      </c>
      <c r="F109" s="1587">
        <v>0</v>
      </c>
      <c r="G109" s="1588">
        <v>0</v>
      </c>
      <c r="H109" s="1589">
        <v>0</v>
      </c>
      <c r="I109" s="1573"/>
    </row>
    <row r="110" spans="1:9" s="1400" customFormat="1">
      <c r="A110" s="1434" t="s">
        <v>450</v>
      </c>
      <c r="B110" s="1579" t="s">
        <v>64</v>
      </c>
      <c r="C110" s="1580">
        <f>SUM(C111:C117)</f>
        <v>189</v>
      </c>
      <c r="D110" s="1581">
        <f t="shared" ref="D110:H110" si="21">SUM(D111:D117)</f>
        <v>135</v>
      </c>
      <c r="E110" s="1582">
        <f t="shared" si="21"/>
        <v>54</v>
      </c>
      <c r="F110" s="1580">
        <f t="shared" si="21"/>
        <v>156</v>
      </c>
      <c r="G110" s="1581">
        <f t="shared" si="21"/>
        <v>114</v>
      </c>
      <c r="H110" s="1582">
        <f t="shared" si="21"/>
        <v>48</v>
      </c>
      <c r="I110" s="1574"/>
    </row>
    <row r="111" spans="1:9">
      <c r="A111" s="1711" t="s">
        <v>450</v>
      </c>
      <c r="B111" s="1583" t="s">
        <v>65</v>
      </c>
      <c r="C111" s="1584">
        <v>21</v>
      </c>
      <c r="D111" s="1585">
        <v>6</v>
      </c>
      <c r="E111" s="1586">
        <v>15</v>
      </c>
      <c r="F111" s="1587">
        <v>18</v>
      </c>
      <c r="G111" s="1588">
        <v>6</v>
      </c>
      <c r="H111" s="1589">
        <v>15</v>
      </c>
    </row>
    <row r="112" spans="1:9">
      <c r="A112" s="1711" t="s">
        <v>450</v>
      </c>
      <c r="B112" s="1583" t="s">
        <v>66</v>
      </c>
      <c r="C112" s="1584">
        <v>9</v>
      </c>
      <c r="D112" s="1585">
        <v>6</v>
      </c>
      <c r="E112" s="1586">
        <v>6</v>
      </c>
      <c r="F112" s="1587">
        <v>9</v>
      </c>
      <c r="G112" s="1588">
        <v>6</v>
      </c>
      <c r="H112" s="1589">
        <v>6</v>
      </c>
    </row>
    <row r="113" spans="1:26">
      <c r="A113" s="1711" t="s">
        <v>450</v>
      </c>
      <c r="B113" s="1583" t="s">
        <v>67</v>
      </c>
      <c r="C113" s="1584">
        <v>6</v>
      </c>
      <c r="D113" s="1585">
        <v>6</v>
      </c>
      <c r="E113" s="1586">
        <v>0</v>
      </c>
      <c r="F113" s="1587">
        <v>6</v>
      </c>
      <c r="G113" s="1588">
        <v>6</v>
      </c>
      <c r="H113" s="1589">
        <v>0</v>
      </c>
    </row>
    <row r="114" spans="1:26">
      <c r="A114" s="1711" t="s">
        <v>450</v>
      </c>
      <c r="B114" s="1583" t="s">
        <v>68</v>
      </c>
      <c r="C114" s="1584">
        <v>6</v>
      </c>
      <c r="D114" s="1585">
        <v>3</v>
      </c>
      <c r="E114" s="1586">
        <v>0</v>
      </c>
      <c r="F114" s="1587">
        <v>3</v>
      </c>
      <c r="G114" s="1588">
        <v>3</v>
      </c>
      <c r="H114" s="1589">
        <v>0</v>
      </c>
    </row>
    <row r="115" spans="1:26">
      <c r="A115" s="1711" t="s">
        <v>450</v>
      </c>
      <c r="B115" s="1583" t="s">
        <v>69</v>
      </c>
      <c r="C115" s="1584">
        <v>141</v>
      </c>
      <c r="D115" s="1585">
        <v>111</v>
      </c>
      <c r="E115" s="1586">
        <v>30</v>
      </c>
      <c r="F115" s="1587">
        <v>114</v>
      </c>
      <c r="G115" s="1588">
        <v>90</v>
      </c>
      <c r="H115" s="1589">
        <v>24</v>
      </c>
    </row>
    <row r="116" spans="1:26" s="1571" customFormat="1">
      <c r="A116" s="1711" t="s">
        <v>450</v>
      </c>
      <c r="B116" s="1583" t="s">
        <v>70</v>
      </c>
      <c r="C116" s="1584">
        <v>6</v>
      </c>
      <c r="D116" s="1585">
        <v>3</v>
      </c>
      <c r="E116" s="1586">
        <v>3</v>
      </c>
      <c r="F116" s="1587">
        <v>6</v>
      </c>
      <c r="G116" s="1588">
        <v>3</v>
      </c>
      <c r="H116" s="1589">
        <v>3</v>
      </c>
      <c r="J116" s="1398"/>
      <c r="K116" s="1398"/>
      <c r="L116" s="1398"/>
      <c r="M116" s="1398"/>
      <c r="N116" s="1398"/>
      <c r="O116" s="1398"/>
      <c r="P116" s="1398"/>
      <c r="Q116" s="1398"/>
      <c r="R116" s="1398"/>
      <c r="S116" s="1398"/>
      <c r="T116" s="1398"/>
      <c r="U116" s="1398"/>
      <c r="V116" s="1398"/>
      <c r="W116" s="1398"/>
      <c r="X116" s="1398"/>
      <c r="Y116" s="1398"/>
      <c r="Z116" s="1398"/>
    </row>
    <row r="117" spans="1:26" s="1571" customFormat="1">
      <c r="A117" s="1711" t="s">
        <v>450</v>
      </c>
      <c r="B117" s="1591" t="s">
        <v>71</v>
      </c>
      <c r="C117" s="1584">
        <v>0</v>
      </c>
      <c r="D117" s="1585">
        <v>0</v>
      </c>
      <c r="E117" s="1586">
        <v>0</v>
      </c>
      <c r="F117" s="1587">
        <v>0</v>
      </c>
      <c r="G117" s="1588">
        <v>0</v>
      </c>
      <c r="H117" s="1589">
        <v>0</v>
      </c>
      <c r="J117" s="1398"/>
      <c r="K117" s="1398"/>
      <c r="L117" s="1398"/>
      <c r="M117" s="1398"/>
      <c r="N117" s="1398"/>
      <c r="O117" s="1398"/>
      <c r="P117" s="1398"/>
      <c r="Q117" s="1398"/>
      <c r="R117" s="1398"/>
      <c r="S117" s="1398"/>
      <c r="T117" s="1398"/>
      <c r="U117" s="1398"/>
      <c r="V117" s="1398"/>
      <c r="W117" s="1398"/>
      <c r="X117" s="1398"/>
      <c r="Y117" s="1398"/>
      <c r="Z117" s="1398"/>
    </row>
    <row r="118" spans="1:26" s="1571" customFormat="1">
      <c r="A118" s="1434" t="s">
        <v>451</v>
      </c>
      <c r="B118" s="1579" t="s">
        <v>64</v>
      </c>
      <c r="C118" s="1580">
        <f>SUM(C119:C125)</f>
        <v>72</v>
      </c>
      <c r="D118" s="1581">
        <f t="shared" ref="D118" si="22">SUM(D119:D125)</f>
        <v>57</v>
      </c>
      <c r="E118" s="1582">
        <f t="shared" ref="E118" si="23">SUM(E119:E125)</f>
        <v>15</v>
      </c>
      <c r="F118" s="1580">
        <f t="shared" ref="F118" si="24">SUM(F119:F125)</f>
        <v>42</v>
      </c>
      <c r="G118" s="1581">
        <f t="shared" ref="G118" si="25">SUM(G119:G125)</f>
        <v>33</v>
      </c>
      <c r="H118" s="1582">
        <f t="shared" ref="H118" si="26">SUM(H119:H125)</f>
        <v>9</v>
      </c>
      <c r="J118" s="1398"/>
      <c r="K118" s="1398"/>
      <c r="L118" s="1398"/>
      <c r="M118" s="1398"/>
      <c r="N118" s="1398"/>
      <c r="O118" s="1398"/>
      <c r="P118" s="1398"/>
      <c r="Q118" s="1398"/>
      <c r="R118" s="1398"/>
      <c r="S118" s="1398"/>
      <c r="T118" s="1398"/>
      <c r="U118" s="1398"/>
      <c r="V118" s="1398"/>
      <c r="W118" s="1398"/>
      <c r="X118" s="1398"/>
      <c r="Y118" s="1398"/>
      <c r="Z118" s="1398"/>
    </row>
    <row r="119" spans="1:26" s="1571" customFormat="1">
      <c r="A119" s="1711" t="s">
        <v>451</v>
      </c>
      <c r="B119" s="1583" t="s">
        <v>65</v>
      </c>
      <c r="C119" s="1584">
        <v>12</v>
      </c>
      <c r="D119" s="1585">
        <v>9</v>
      </c>
      <c r="E119" s="1586">
        <v>3</v>
      </c>
      <c r="F119" s="1587">
        <v>9</v>
      </c>
      <c r="G119" s="1588">
        <v>6</v>
      </c>
      <c r="H119" s="1589">
        <v>3</v>
      </c>
      <c r="J119" s="1398"/>
      <c r="K119" s="1398"/>
      <c r="L119" s="1398"/>
      <c r="M119" s="1398"/>
      <c r="N119" s="1398"/>
      <c r="O119" s="1398"/>
      <c r="P119" s="1398"/>
      <c r="Q119" s="1398"/>
      <c r="R119" s="1398"/>
      <c r="S119" s="1398"/>
      <c r="T119" s="1398"/>
      <c r="U119" s="1398"/>
      <c r="V119" s="1398"/>
      <c r="W119" s="1398"/>
      <c r="X119" s="1398"/>
      <c r="Y119" s="1398"/>
      <c r="Z119" s="1398"/>
    </row>
    <row r="120" spans="1:26" s="1571" customFormat="1">
      <c r="A120" s="1711" t="s">
        <v>451</v>
      </c>
      <c r="B120" s="1583" t="s">
        <v>66</v>
      </c>
      <c r="C120" s="1584">
        <v>0</v>
      </c>
      <c r="D120" s="1585">
        <v>0</v>
      </c>
      <c r="E120" s="1586">
        <v>0</v>
      </c>
      <c r="F120" s="1587">
        <v>0</v>
      </c>
      <c r="G120" s="1588">
        <v>0</v>
      </c>
      <c r="H120" s="1589">
        <v>0</v>
      </c>
      <c r="J120" s="1398"/>
      <c r="K120" s="1398"/>
      <c r="L120" s="1398"/>
      <c r="M120" s="1398"/>
      <c r="N120" s="1398"/>
      <c r="O120" s="1398"/>
      <c r="P120" s="1398"/>
      <c r="Q120" s="1398"/>
      <c r="R120" s="1398"/>
      <c r="S120" s="1398"/>
      <c r="T120" s="1398"/>
      <c r="U120" s="1398"/>
      <c r="V120" s="1398"/>
      <c r="W120" s="1398"/>
      <c r="X120" s="1398"/>
      <c r="Y120" s="1398"/>
      <c r="Z120" s="1398"/>
    </row>
    <row r="121" spans="1:26" s="1571" customFormat="1">
      <c r="A121" s="1711" t="s">
        <v>451</v>
      </c>
      <c r="B121" s="1583" t="s">
        <v>67</v>
      </c>
      <c r="C121" s="1584">
        <v>3</v>
      </c>
      <c r="D121" s="1585">
        <v>3</v>
      </c>
      <c r="E121" s="1586">
        <v>0</v>
      </c>
      <c r="F121" s="1587">
        <v>3</v>
      </c>
      <c r="G121" s="1588">
        <v>3</v>
      </c>
      <c r="H121" s="1589">
        <v>0</v>
      </c>
      <c r="J121" s="1398"/>
      <c r="K121" s="1398"/>
      <c r="L121" s="1398"/>
      <c r="M121" s="1398"/>
      <c r="N121" s="1398"/>
      <c r="O121" s="1398"/>
      <c r="P121" s="1398"/>
      <c r="Q121" s="1398"/>
      <c r="R121" s="1398"/>
      <c r="S121" s="1398"/>
      <c r="T121" s="1398"/>
      <c r="U121" s="1398"/>
      <c r="V121" s="1398"/>
      <c r="W121" s="1398"/>
      <c r="X121" s="1398"/>
      <c r="Y121" s="1398"/>
      <c r="Z121" s="1398"/>
    </row>
    <row r="122" spans="1:26" s="1571" customFormat="1">
      <c r="A122" s="1711" t="s">
        <v>451</v>
      </c>
      <c r="B122" s="1583" t="s">
        <v>68</v>
      </c>
      <c r="C122" s="1584">
        <v>0</v>
      </c>
      <c r="D122" s="1585">
        <v>0</v>
      </c>
      <c r="E122" s="1586">
        <v>0</v>
      </c>
      <c r="F122" s="1587">
        <v>0</v>
      </c>
      <c r="G122" s="1588">
        <v>0</v>
      </c>
      <c r="H122" s="1589">
        <v>0</v>
      </c>
      <c r="J122" s="1398"/>
      <c r="K122" s="1398"/>
      <c r="L122" s="1398"/>
      <c r="M122" s="1398"/>
      <c r="N122" s="1398"/>
      <c r="O122" s="1398"/>
      <c r="P122" s="1398"/>
      <c r="Q122" s="1398"/>
      <c r="R122" s="1398"/>
      <c r="S122" s="1398"/>
      <c r="T122" s="1398"/>
      <c r="U122" s="1398"/>
      <c r="V122" s="1398"/>
      <c r="W122" s="1398"/>
      <c r="X122" s="1398"/>
      <c r="Y122" s="1398"/>
      <c r="Z122" s="1398"/>
    </row>
    <row r="123" spans="1:26" s="1571" customFormat="1">
      <c r="A123" s="1711" t="s">
        <v>451</v>
      </c>
      <c r="B123" s="1583" t="s">
        <v>69</v>
      </c>
      <c r="C123" s="1584">
        <v>57</v>
      </c>
      <c r="D123" s="1585">
        <v>45</v>
      </c>
      <c r="E123" s="1586">
        <v>12</v>
      </c>
      <c r="F123" s="1587">
        <v>30</v>
      </c>
      <c r="G123" s="1588">
        <v>24</v>
      </c>
      <c r="H123" s="1589">
        <v>6</v>
      </c>
      <c r="J123" s="1398"/>
      <c r="K123" s="1398"/>
      <c r="L123" s="1398"/>
      <c r="M123" s="1398"/>
      <c r="N123" s="1398"/>
      <c r="O123" s="1398"/>
      <c r="P123" s="1398"/>
      <c r="Q123" s="1398"/>
      <c r="R123" s="1398"/>
      <c r="S123" s="1398"/>
      <c r="T123" s="1398"/>
      <c r="U123" s="1398"/>
      <c r="V123" s="1398"/>
      <c r="W123" s="1398"/>
      <c r="X123" s="1398"/>
      <c r="Y123" s="1398"/>
      <c r="Z123" s="1398"/>
    </row>
    <row r="124" spans="1:26" s="1571" customFormat="1">
      <c r="A124" s="1711" t="s">
        <v>451</v>
      </c>
      <c r="B124" s="1583" t="s">
        <v>70</v>
      </c>
      <c r="C124" s="1584">
        <v>0</v>
      </c>
      <c r="D124" s="1585">
        <v>0</v>
      </c>
      <c r="E124" s="1586">
        <v>0</v>
      </c>
      <c r="F124" s="1587">
        <v>0</v>
      </c>
      <c r="G124" s="1588">
        <v>0</v>
      </c>
      <c r="H124" s="1589">
        <v>0</v>
      </c>
      <c r="J124" s="1398"/>
      <c r="K124" s="1398"/>
      <c r="L124" s="1398"/>
      <c r="M124" s="1398"/>
      <c r="N124" s="1398"/>
      <c r="O124" s="1398"/>
      <c r="P124" s="1398"/>
      <c r="Q124" s="1398"/>
      <c r="R124" s="1398"/>
      <c r="S124" s="1398"/>
      <c r="T124" s="1398"/>
      <c r="U124" s="1398"/>
      <c r="V124" s="1398"/>
      <c r="W124" s="1398"/>
      <c r="X124" s="1398"/>
      <c r="Y124" s="1398"/>
      <c r="Z124" s="1398"/>
    </row>
    <row r="125" spans="1:26" s="1571" customFormat="1">
      <c r="A125" s="1830" t="s">
        <v>451</v>
      </c>
      <c r="B125" s="1836" t="s">
        <v>71</v>
      </c>
      <c r="C125" s="1837">
        <v>0</v>
      </c>
      <c r="D125" s="1838">
        <v>0</v>
      </c>
      <c r="E125" s="1774">
        <v>0</v>
      </c>
      <c r="F125" s="1846">
        <v>0</v>
      </c>
      <c r="G125" s="1775">
        <v>0</v>
      </c>
      <c r="H125" s="1776">
        <v>0</v>
      </c>
      <c r="J125" s="1398"/>
      <c r="K125" s="1398"/>
      <c r="L125" s="1398"/>
      <c r="M125" s="1398"/>
      <c r="N125" s="1398"/>
      <c r="O125" s="1398"/>
      <c r="P125" s="1398"/>
      <c r="Q125" s="1398"/>
      <c r="R125" s="1398"/>
      <c r="S125" s="1398"/>
      <c r="T125" s="1398"/>
      <c r="U125" s="1398"/>
      <c r="V125" s="1398"/>
      <c r="W125" s="1398"/>
      <c r="X125" s="1398"/>
      <c r="Y125" s="1398"/>
      <c r="Z125" s="1398"/>
    </row>
    <row r="126" spans="1:26" s="1571" customFormat="1">
      <c r="A126" s="1434" t="s">
        <v>452</v>
      </c>
      <c r="B126" s="1579" t="s">
        <v>64</v>
      </c>
      <c r="C126" s="1580">
        <f>SUM(C127:C133)</f>
        <v>84</v>
      </c>
      <c r="D126" s="1581">
        <f t="shared" ref="D126" si="27">SUM(D127:D133)</f>
        <v>60</v>
      </c>
      <c r="E126" s="1582">
        <f t="shared" ref="E126" si="28">SUM(E127:E133)</f>
        <v>18</v>
      </c>
      <c r="F126" s="1580">
        <f t="shared" ref="F126" si="29">SUM(F127:F133)</f>
        <v>54</v>
      </c>
      <c r="G126" s="1581">
        <f t="shared" ref="G126" si="30">SUM(G127:G133)</f>
        <v>33</v>
      </c>
      <c r="H126" s="1582">
        <f t="shared" ref="H126" si="31">SUM(H127:H133)</f>
        <v>18</v>
      </c>
      <c r="J126" s="1398"/>
      <c r="K126" s="1398"/>
      <c r="L126" s="1398"/>
      <c r="M126" s="1398"/>
      <c r="N126" s="1398"/>
      <c r="O126" s="1398"/>
      <c r="P126" s="1398"/>
      <c r="Q126" s="1398"/>
      <c r="R126" s="1398"/>
      <c r="S126" s="1398"/>
      <c r="T126" s="1398"/>
      <c r="U126" s="1398"/>
      <c r="V126" s="1398"/>
      <c r="W126" s="1398"/>
      <c r="X126" s="1398"/>
      <c r="Y126" s="1398"/>
      <c r="Z126" s="1398"/>
    </row>
    <row r="127" spans="1:26" s="1571" customFormat="1">
      <c r="A127" s="1711" t="s">
        <v>452</v>
      </c>
      <c r="B127" s="1583" t="s">
        <v>65</v>
      </c>
      <c r="C127" s="1584">
        <v>9</v>
      </c>
      <c r="D127" s="1585">
        <v>6</v>
      </c>
      <c r="E127" s="1586">
        <v>3</v>
      </c>
      <c r="F127" s="1587">
        <v>6</v>
      </c>
      <c r="G127" s="1588">
        <v>3</v>
      </c>
      <c r="H127" s="1589">
        <v>3</v>
      </c>
      <c r="J127" s="1398"/>
      <c r="K127" s="1398"/>
      <c r="L127" s="1398"/>
      <c r="M127" s="1398"/>
      <c r="N127" s="1398"/>
      <c r="O127" s="1398"/>
      <c r="P127" s="1398"/>
      <c r="Q127" s="1398"/>
      <c r="R127" s="1398"/>
      <c r="S127" s="1398"/>
      <c r="T127" s="1398"/>
      <c r="U127" s="1398"/>
      <c r="V127" s="1398"/>
      <c r="W127" s="1398"/>
      <c r="X127" s="1398"/>
      <c r="Y127" s="1398"/>
      <c r="Z127" s="1398"/>
    </row>
    <row r="128" spans="1:26" s="1571" customFormat="1">
      <c r="A128" s="1711" t="s">
        <v>452</v>
      </c>
      <c r="B128" s="1583" t="s">
        <v>66</v>
      </c>
      <c r="C128" s="1584">
        <v>0</v>
      </c>
      <c r="D128" s="1585">
        <v>0</v>
      </c>
      <c r="E128" s="1586">
        <v>0</v>
      </c>
      <c r="F128" s="1587">
        <v>0</v>
      </c>
      <c r="G128" s="1588">
        <v>0</v>
      </c>
      <c r="H128" s="1589">
        <v>0</v>
      </c>
      <c r="J128" s="1398"/>
      <c r="K128" s="1398"/>
      <c r="L128" s="1398"/>
      <c r="M128" s="1398"/>
      <c r="N128" s="1398"/>
      <c r="O128" s="1398"/>
      <c r="P128" s="1398"/>
      <c r="Q128" s="1398"/>
      <c r="R128" s="1398"/>
      <c r="S128" s="1398"/>
      <c r="T128" s="1398"/>
      <c r="U128" s="1398"/>
      <c r="V128" s="1398"/>
      <c r="W128" s="1398"/>
      <c r="X128" s="1398"/>
      <c r="Y128" s="1398"/>
      <c r="Z128" s="1398"/>
    </row>
    <row r="129" spans="1:26" s="1571" customFormat="1">
      <c r="A129" s="1711" t="s">
        <v>452</v>
      </c>
      <c r="B129" s="1583" t="s">
        <v>67</v>
      </c>
      <c r="C129" s="1584">
        <v>3</v>
      </c>
      <c r="D129" s="1585">
        <v>0</v>
      </c>
      <c r="E129" s="1586">
        <v>3</v>
      </c>
      <c r="F129" s="1587">
        <v>3</v>
      </c>
      <c r="G129" s="1588">
        <v>0</v>
      </c>
      <c r="H129" s="1589">
        <v>3</v>
      </c>
      <c r="J129" s="1398"/>
      <c r="K129" s="1398"/>
      <c r="L129" s="1398"/>
      <c r="M129" s="1398"/>
      <c r="N129" s="1398"/>
      <c r="O129" s="1398"/>
      <c r="P129" s="1398"/>
      <c r="Q129" s="1398"/>
      <c r="R129" s="1398"/>
      <c r="S129" s="1398"/>
      <c r="T129" s="1398"/>
      <c r="U129" s="1398"/>
      <c r="V129" s="1398"/>
      <c r="W129" s="1398"/>
      <c r="X129" s="1398"/>
      <c r="Y129" s="1398"/>
      <c r="Z129" s="1398"/>
    </row>
    <row r="130" spans="1:26" s="1571" customFormat="1">
      <c r="A130" s="1711" t="s">
        <v>452</v>
      </c>
      <c r="B130" s="1583" t="s">
        <v>68</v>
      </c>
      <c r="C130" s="1584">
        <v>0</v>
      </c>
      <c r="D130" s="1585">
        <v>0</v>
      </c>
      <c r="E130" s="1586">
        <v>0</v>
      </c>
      <c r="F130" s="1587">
        <v>0</v>
      </c>
      <c r="G130" s="1588">
        <v>0</v>
      </c>
      <c r="H130" s="1589">
        <v>0</v>
      </c>
      <c r="J130" s="1398"/>
      <c r="K130" s="1398"/>
      <c r="L130" s="1398"/>
      <c r="M130" s="1398"/>
      <c r="N130" s="1398"/>
      <c r="O130" s="1398"/>
      <c r="P130" s="1398"/>
      <c r="Q130" s="1398"/>
      <c r="R130" s="1398"/>
      <c r="S130" s="1398"/>
      <c r="T130" s="1398"/>
      <c r="U130" s="1398"/>
      <c r="V130" s="1398"/>
      <c r="W130" s="1398"/>
      <c r="X130" s="1398"/>
      <c r="Y130" s="1398"/>
      <c r="Z130" s="1398"/>
    </row>
    <row r="131" spans="1:26" s="1571" customFormat="1">
      <c r="A131" s="1711" t="s">
        <v>452</v>
      </c>
      <c r="B131" s="1583" t="s">
        <v>69</v>
      </c>
      <c r="C131" s="1584">
        <v>66</v>
      </c>
      <c r="D131" s="1585">
        <v>54</v>
      </c>
      <c r="E131" s="1586">
        <v>12</v>
      </c>
      <c r="F131" s="1587">
        <v>42</v>
      </c>
      <c r="G131" s="1588">
        <v>30</v>
      </c>
      <c r="H131" s="1589">
        <v>12</v>
      </c>
      <c r="J131" s="1398"/>
      <c r="K131" s="1398"/>
      <c r="L131" s="1398"/>
      <c r="M131" s="1398"/>
      <c r="N131" s="1398"/>
      <c r="O131" s="1398"/>
      <c r="P131" s="1398"/>
      <c r="Q131" s="1398"/>
      <c r="R131" s="1398"/>
      <c r="S131" s="1398"/>
      <c r="T131" s="1398"/>
      <c r="U131" s="1398"/>
      <c r="V131" s="1398"/>
      <c r="W131" s="1398"/>
      <c r="X131" s="1398"/>
      <c r="Y131" s="1398"/>
      <c r="Z131" s="1398"/>
    </row>
    <row r="132" spans="1:26" s="1571" customFormat="1">
      <c r="A132" s="1711" t="s">
        <v>452</v>
      </c>
      <c r="B132" s="1583" t="s">
        <v>70</v>
      </c>
      <c r="C132" s="1584">
        <v>3</v>
      </c>
      <c r="D132" s="1585">
        <v>0</v>
      </c>
      <c r="E132" s="1586">
        <v>0</v>
      </c>
      <c r="F132" s="1587">
        <v>0</v>
      </c>
      <c r="G132" s="1588">
        <v>0</v>
      </c>
      <c r="H132" s="1589">
        <v>0</v>
      </c>
      <c r="J132" s="1398"/>
      <c r="K132" s="1398"/>
      <c r="L132" s="1398"/>
      <c r="M132" s="1398"/>
      <c r="N132" s="1398"/>
      <c r="O132" s="1398"/>
      <c r="P132" s="1398"/>
      <c r="Q132" s="1398"/>
      <c r="R132" s="1398"/>
      <c r="S132" s="1398"/>
      <c r="T132" s="1398"/>
      <c r="U132" s="1398"/>
      <c r="V132" s="1398"/>
      <c r="W132" s="1398"/>
      <c r="X132" s="1398"/>
      <c r="Y132" s="1398"/>
      <c r="Z132" s="1398"/>
    </row>
    <row r="133" spans="1:26" s="1571" customFormat="1">
      <c r="A133" s="1711" t="s">
        <v>452</v>
      </c>
      <c r="B133" s="1591" t="s">
        <v>71</v>
      </c>
      <c r="C133" s="1584">
        <v>3</v>
      </c>
      <c r="D133" s="1585">
        <v>0</v>
      </c>
      <c r="E133" s="1586">
        <v>0</v>
      </c>
      <c r="F133" s="1587">
        <v>3</v>
      </c>
      <c r="G133" s="1588">
        <v>0</v>
      </c>
      <c r="H133" s="1589">
        <v>0</v>
      </c>
      <c r="J133" s="1398"/>
      <c r="K133" s="1398"/>
      <c r="L133" s="1398"/>
      <c r="M133" s="1398"/>
      <c r="N133" s="1398"/>
      <c r="O133" s="1398"/>
      <c r="P133" s="1398"/>
      <c r="Q133" s="1398"/>
      <c r="R133" s="1398"/>
      <c r="S133" s="1398"/>
      <c r="T133" s="1398"/>
      <c r="U133" s="1398"/>
      <c r="V133" s="1398"/>
      <c r="W133" s="1398"/>
      <c r="X133" s="1398"/>
      <c r="Y133" s="1398"/>
      <c r="Z133" s="1398"/>
    </row>
    <row r="134" spans="1:26" s="1571" customFormat="1">
      <c r="A134" s="1531" t="s">
        <v>418</v>
      </c>
      <c r="B134" s="1579" t="s">
        <v>64</v>
      </c>
      <c r="C134" s="1580">
        <v>4770</v>
      </c>
      <c r="D134" s="1581">
        <f t="shared" ref="D134:G134" si="32">SUM(D135:D142)</f>
        <v>3795</v>
      </c>
      <c r="E134" s="1582">
        <v>975</v>
      </c>
      <c r="F134" s="1580">
        <f t="shared" si="32"/>
        <v>3876</v>
      </c>
      <c r="G134" s="1581">
        <f t="shared" si="32"/>
        <v>2997</v>
      </c>
      <c r="H134" s="1582">
        <v>879</v>
      </c>
      <c r="J134" s="1398"/>
      <c r="K134" s="1398"/>
      <c r="L134" s="1398"/>
      <c r="M134" s="1398"/>
      <c r="N134" s="1398"/>
      <c r="O134" s="1398"/>
      <c r="P134" s="1398"/>
      <c r="Q134" s="1398"/>
      <c r="R134" s="1398"/>
      <c r="S134" s="1398"/>
      <c r="T134" s="1398"/>
      <c r="U134" s="1398"/>
      <c r="V134" s="1398"/>
      <c r="W134" s="1398"/>
      <c r="X134" s="1398"/>
      <c r="Y134" s="1398"/>
      <c r="Z134" s="1398"/>
    </row>
    <row r="135" spans="1:26" s="1571" customFormat="1">
      <c r="A135" s="1712" t="s">
        <v>418</v>
      </c>
      <c r="B135" s="1583" t="s">
        <v>65</v>
      </c>
      <c r="C135" s="1847">
        <v>462</v>
      </c>
      <c r="D135" s="1848">
        <v>231</v>
      </c>
      <c r="E135" s="1849">
        <v>231</v>
      </c>
      <c r="F135" s="1850">
        <v>402</v>
      </c>
      <c r="G135" s="1851">
        <v>189</v>
      </c>
      <c r="H135" s="1852">
        <v>213</v>
      </c>
      <c r="J135" s="1398"/>
      <c r="K135" s="1398"/>
      <c r="L135" s="1398"/>
      <c r="M135" s="1398"/>
      <c r="N135" s="1398"/>
      <c r="O135" s="1398"/>
      <c r="P135" s="1398"/>
      <c r="Q135" s="1398"/>
      <c r="R135" s="1398"/>
      <c r="S135" s="1398"/>
      <c r="T135" s="1398"/>
      <c r="U135" s="1398"/>
      <c r="V135" s="1398"/>
      <c r="W135" s="1398"/>
      <c r="X135" s="1398"/>
      <c r="Y135" s="1398"/>
      <c r="Z135" s="1398"/>
    </row>
    <row r="136" spans="1:26" s="1571" customFormat="1">
      <c r="A136" s="1712" t="s">
        <v>418</v>
      </c>
      <c r="B136" s="1583" t="s">
        <v>66</v>
      </c>
      <c r="C136" s="1847">
        <v>171</v>
      </c>
      <c r="D136" s="1848">
        <v>90</v>
      </c>
      <c r="E136" s="1849">
        <v>78</v>
      </c>
      <c r="F136" s="1850">
        <v>159</v>
      </c>
      <c r="G136" s="1851">
        <v>84</v>
      </c>
      <c r="H136" s="1852">
        <v>78</v>
      </c>
      <c r="J136" s="1398"/>
      <c r="K136" s="1398"/>
      <c r="L136" s="1398"/>
      <c r="M136" s="1398"/>
      <c r="N136" s="1398"/>
      <c r="O136" s="1398"/>
      <c r="P136" s="1398"/>
      <c r="Q136" s="1398"/>
      <c r="R136" s="1398"/>
      <c r="S136" s="1398"/>
      <c r="T136" s="1398"/>
      <c r="U136" s="1398"/>
      <c r="V136" s="1398"/>
      <c r="W136" s="1398"/>
      <c r="X136" s="1398"/>
      <c r="Y136" s="1398"/>
      <c r="Z136" s="1398"/>
    </row>
    <row r="137" spans="1:26" s="1571" customFormat="1">
      <c r="A137" s="1712" t="s">
        <v>418</v>
      </c>
      <c r="B137" s="1583" t="s">
        <v>67</v>
      </c>
      <c r="C137" s="1847">
        <v>210</v>
      </c>
      <c r="D137" s="1848">
        <v>147</v>
      </c>
      <c r="E137" s="1849">
        <v>63</v>
      </c>
      <c r="F137" s="1850">
        <v>192</v>
      </c>
      <c r="G137" s="1851">
        <v>135</v>
      </c>
      <c r="H137" s="1852">
        <v>57</v>
      </c>
      <c r="J137" s="1398"/>
      <c r="K137" s="1398"/>
      <c r="L137" s="1398"/>
      <c r="M137" s="1398"/>
      <c r="N137" s="1398"/>
      <c r="O137" s="1398"/>
      <c r="P137" s="1398"/>
      <c r="Q137" s="1398"/>
      <c r="R137" s="1398"/>
      <c r="S137" s="1398"/>
      <c r="T137" s="1398"/>
      <c r="U137" s="1398"/>
      <c r="V137" s="1398"/>
      <c r="W137" s="1398"/>
      <c r="X137" s="1398"/>
      <c r="Y137" s="1398"/>
      <c r="Z137" s="1398"/>
    </row>
    <row r="138" spans="1:26" s="1571" customFormat="1">
      <c r="A138" s="1712" t="s">
        <v>418</v>
      </c>
      <c r="B138" s="1583" t="s">
        <v>68</v>
      </c>
      <c r="C138" s="1847">
        <v>54</v>
      </c>
      <c r="D138" s="1848">
        <v>45</v>
      </c>
      <c r="E138" s="1849">
        <v>9</v>
      </c>
      <c r="F138" s="1850">
        <v>48</v>
      </c>
      <c r="G138" s="1851">
        <v>39</v>
      </c>
      <c r="H138" s="1852">
        <v>9</v>
      </c>
      <c r="J138" s="1398"/>
      <c r="K138" s="1398"/>
      <c r="L138" s="1398"/>
      <c r="M138" s="1398"/>
      <c r="N138" s="1398"/>
      <c r="O138" s="1398"/>
      <c r="P138" s="1398"/>
      <c r="Q138" s="1398"/>
      <c r="R138" s="1398"/>
      <c r="S138" s="1398"/>
      <c r="T138" s="1398"/>
      <c r="U138" s="1398"/>
      <c r="V138" s="1398"/>
      <c r="W138" s="1398"/>
      <c r="X138" s="1398"/>
      <c r="Y138" s="1398"/>
      <c r="Z138" s="1398"/>
    </row>
    <row r="139" spans="1:26" s="1571" customFormat="1">
      <c r="A139" s="1712" t="s">
        <v>418</v>
      </c>
      <c r="B139" s="1583" t="s">
        <v>69</v>
      </c>
      <c r="C139" s="1847">
        <v>3648</v>
      </c>
      <c r="D139" s="1848">
        <v>3171</v>
      </c>
      <c r="E139" s="1849">
        <v>474</v>
      </c>
      <c r="F139" s="1850">
        <v>2868</v>
      </c>
      <c r="G139" s="1851">
        <v>2454</v>
      </c>
      <c r="H139" s="1852">
        <v>414</v>
      </c>
      <c r="J139" s="1398"/>
      <c r="K139" s="1398"/>
      <c r="L139" s="1398"/>
      <c r="M139" s="1398"/>
      <c r="N139" s="1398"/>
      <c r="O139" s="1398"/>
      <c r="P139" s="1398"/>
      <c r="Q139" s="1398"/>
      <c r="R139" s="1398"/>
      <c r="S139" s="1398"/>
      <c r="T139" s="1398"/>
      <c r="U139" s="1398"/>
      <c r="V139" s="1398"/>
      <c r="W139" s="1398"/>
      <c r="X139" s="1398"/>
      <c r="Y139" s="1398"/>
      <c r="Z139" s="1398"/>
    </row>
    <row r="140" spans="1:26" s="1571" customFormat="1">
      <c r="A140" s="1712" t="s">
        <v>418</v>
      </c>
      <c r="B140" s="1583" t="s">
        <v>70</v>
      </c>
      <c r="C140" s="1847">
        <v>144</v>
      </c>
      <c r="D140" s="1848">
        <v>81</v>
      </c>
      <c r="E140" s="1849">
        <v>63</v>
      </c>
      <c r="F140" s="1850">
        <v>129</v>
      </c>
      <c r="G140" s="1851">
        <v>69</v>
      </c>
      <c r="H140" s="1852">
        <v>57</v>
      </c>
      <c r="J140" s="1398"/>
      <c r="K140" s="1398"/>
      <c r="L140" s="1398"/>
      <c r="M140" s="1398"/>
      <c r="N140" s="1398"/>
      <c r="O140" s="1398"/>
      <c r="P140" s="1398"/>
      <c r="Q140" s="1398"/>
      <c r="R140" s="1398"/>
      <c r="S140" s="1398"/>
      <c r="T140" s="1398"/>
      <c r="U140" s="1398"/>
      <c r="V140" s="1398"/>
      <c r="W140" s="1398"/>
      <c r="X140" s="1398"/>
      <c r="Y140" s="1398"/>
      <c r="Z140" s="1398"/>
    </row>
    <row r="141" spans="1:26" s="1571" customFormat="1">
      <c r="A141" s="1712" t="s">
        <v>418</v>
      </c>
      <c r="B141" s="1591" t="s">
        <v>71</v>
      </c>
      <c r="C141" s="1847">
        <v>84</v>
      </c>
      <c r="D141" s="1848">
        <v>30</v>
      </c>
      <c r="E141" s="1849">
        <v>54</v>
      </c>
      <c r="F141" s="1850">
        <v>78</v>
      </c>
      <c r="G141" s="1851">
        <v>27</v>
      </c>
      <c r="H141" s="1852">
        <v>48</v>
      </c>
      <c r="J141" s="1398"/>
      <c r="K141" s="1398"/>
      <c r="L141" s="1398"/>
      <c r="M141" s="1398"/>
      <c r="N141" s="1398"/>
      <c r="O141" s="1398"/>
      <c r="P141" s="1398"/>
      <c r="Q141" s="1398"/>
      <c r="R141" s="1398"/>
      <c r="S141" s="1398"/>
      <c r="T141" s="1398"/>
      <c r="U141" s="1398"/>
      <c r="V141" s="1398"/>
      <c r="W141" s="1398"/>
      <c r="X141" s="1398"/>
      <c r="Y141" s="1398"/>
      <c r="Z141" s="1398"/>
    </row>
    <row r="142" spans="1:26" s="1571" customFormat="1">
      <c r="A142" s="1712" t="s">
        <v>418</v>
      </c>
      <c r="B142" s="1591" t="s">
        <v>356</v>
      </c>
      <c r="C142" s="1719">
        <v>0</v>
      </c>
      <c r="D142" s="1777">
        <v>0</v>
      </c>
      <c r="E142" s="1774">
        <v>0</v>
      </c>
      <c r="F142" s="1590">
        <v>0</v>
      </c>
      <c r="G142" s="1775">
        <v>0</v>
      </c>
      <c r="H142" s="1776">
        <v>0</v>
      </c>
      <c r="J142" s="1398"/>
      <c r="K142" s="1398"/>
      <c r="L142" s="1398"/>
      <c r="M142" s="1398"/>
      <c r="N142" s="1398"/>
      <c r="O142" s="1398"/>
      <c r="P142" s="1398"/>
      <c r="Q142" s="1398"/>
      <c r="R142" s="1398"/>
      <c r="S142" s="1398"/>
      <c r="T142" s="1398"/>
      <c r="U142" s="1398"/>
      <c r="V142" s="1398"/>
      <c r="W142" s="1398"/>
      <c r="X142" s="1398"/>
      <c r="Y142" s="1398"/>
      <c r="Z142" s="1398"/>
    </row>
    <row r="143" spans="1:26" s="1571" customFormat="1">
      <c r="A143" s="1402" t="s">
        <v>498</v>
      </c>
      <c r="B143" s="1575"/>
      <c r="J143" s="1398"/>
      <c r="K143" s="1398"/>
      <c r="L143" s="1398"/>
      <c r="M143" s="1398"/>
      <c r="N143" s="1398"/>
      <c r="O143" s="1398"/>
      <c r="P143" s="1398"/>
      <c r="Q143" s="1398"/>
      <c r="R143" s="1398"/>
      <c r="S143" s="1398"/>
      <c r="T143" s="1398"/>
      <c r="U143" s="1398"/>
      <c r="V143" s="1398"/>
      <c r="W143" s="1398"/>
      <c r="X143" s="1398"/>
      <c r="Y143" s="1398"/>
      <c r="Z143" s="1398"/>
    </row>
    <row r="144" spans="1:26" s="1571" customFormat="1">
      <c r="A144" s="1402" t="s">
        <v>542</v>
      </c>
      <c r="B144" s="1575"/>
      <c r="J144" s="1398"/>
      <c r="K144" s="1398"/>
      <c r="L144" s="1398"/>
      <c r="M144" s="1398"/>
      <c r="N144" s="1398"/>
      <c r="O144" s="1398"/>
      <c r="P144" s="1398"/>
      <c r="Q144" s="1398"/>
      <c r="R144" s="1398"/>
      <c r="S144" s="1398"/>
      <c r="T144" s="1398"/>
      <c r="U144" s="1398"/>
      <c r="V144" s="1398"/>
      <c r="W144" s="1398"/>
      <c r="X144" s="1398"/>
      <c r="Y144" s="1398"/>
      <c r="Z144" s="1398"/>
    </row>
    <row r="145" spans="1:26" s="1571" customFormat="1">
      <c r="A145" s="1575"/>
      <c r="B145" s="1575"/>
      <c r="J145" s="1398"/>
      <c r="K145" s="1398"/>
      <c r="L145" s="1398"/>
      <c r="M145" s="1398"/>
      <c r="N145" s="1398"/>
      <c r="O145" s="1398"/>
      <c r="P145" s="1398"/>
      <c r="Q145" s="1398"/>
      <c r="R145" s="1398"/>
      <c r="S145" s="1398"/>
      <c r="T145" s="1398"/>
      <c r="U145" s="1398"/>
      <c r="V145" s="1398"/>
      <c r="W145" s="1398"/>
      <c r="X145" s="1398"/>
      <c r="Y145" s="1398"/>
      <c r="Z145" s="1398"/>
    </row>
    <row r="146" spans="1:26" s="1571" customFormat="1">
      <c r="A146" s="1575"/>
      <c r="B146" s="1575"/>
      <c r="J146" s="1398"/>
      <c r="K146" s="1398"/>
      <c r="L146" s="1398"/>
      <c r="M146" s="1398"/>
      <c r="N146" s="1398"/>
      <c r="O146" s="1398"/>
      <c r="P146" s="1398"/>
      <c r="Q146" s="1398"/>
      <c r="R146" s="1398"/>
      <c r="S146" s="1398"/>
      <c r="T146" s="1398"/>
      <c r="U146" s="1398"/>
      <c r="V146" s="1398"/>
      <c r="W146" s="1398"/>
      <c r="X146" s="1398"/>
      <c r="Y146" s="1398"/>
      <c r="Z146" s="1398"/>
    </row>
    <row r="147" spans="1:26" s="1571" customFormat="1">
      <c r="A147" s="1575"/>
      <c r="B147" s="1575"/>
      <c r="J147" s="1398"/>
      <c r="K147" s="1398"/>
      <c r="L147" s="1398"/>
      <c r="M147" s="1398"/>
      <c r="N147" s="1398"/>
      <c r="O147" s="1398"/>
      <c r="P147" s="1398"/>
      <c r="Q147" s="1398"/>
      <c r="R147" s="1398"/>
      <c r="S147" s="1398"/>
      <c r="T147" s="1398"/>
      <c r="U147" s="1398"/>
      <c r="V147" s="1398"/>
      <c r="W147" s="1398"/>
      <c r="X147" s="1398"/>
      <c r="Y147" s="1398"/>
      <c r="Z147" s="1398"/>
    </row>
    <row r="148" spans="1:26" s="1571" customFormat="1">
      <c r="A148" s="1575"/>
      <c r="B148" s="1575"/>
      <c r="J148" s="1398"/>
      <c r="K148" s="1398"/>
      <c r="L148" s="1398"/>
      <c r="M148" s="1398"/>
      <c r="N148" s="1398"/>
      <c r="O148" s="1398"/>
      <c r="P148" s="1398"/>
      <c r="Q148" s="1398"/>
      <c r="R148" s="1398"/>
      <c r="S148" s="1398"/>
      <c r="T148" s="1398"/>
      <c r="U148" s="1398"/>
      <c r="V148" s="1398"/>
      <c r="W148" s="1398"/>
      <c r="X148" s="1398"/>
      <c r="Y148" s="1398"/>
      <c r="Z148" s="1398"/>
    </row>
    <row r="149" spans="1:26" s="1571" customFormat="1">
      <c r="A149" s="1575"/>
      <c r="B149" s="1575"/>
      <c r="J149" s="1398"/>
      <c r="K149" s="1398"/>
      <c r="L149" s="1398"/>
      <c r="M149" s="1398"/>
      <c r="N149" s="1398"/>
      <c r="O149" s="1398"/>
      <c r="P149" s="1398"/>
      <c r="Q149" s="1398"/>
      <c r="R149" s="1398"/>
      <c r="S149" s="1398"/>
      <c r="T149" s="1398"/>
      <c r="U149" s="1398"/>
      <c r="V149" s="1398"/>
      <c r="W149" s="1398"/>
      <c r="X149" s="1398"/>
      <c r="Y149" s="1398"/>
      <c r="Z149" s="1398"/>
    </row>
    <row r="150" spans="1:26" s="1571" customFormat="1">
      <c r="A150" s="1575"/>
      <c r="B150" s="1575"/>
      <c r="J150" s="1398"/>
      <c r="K150" s="1398"/>
      <c r="L150" s="1398"/>
      <c r="M150" s="1398"/>
      <c r="N150" s="1398"/>
      <c r="O150" s="1398"/>
      <c r="P150" s="1398"/>
      <c r="Q150" s="1398"/>
      <c r="R150" s="1398"/>
      <c r="S150" s="1398"/>
      <c r="T150" s="1398"/>
      <c r="U150" s="1398"/>
      <c r="V150" s="1398"/>
      <c r="W150" s="1398"/>
      <c r="X150" s="1398"/>
      <c r="Y150" s="1398"/>
      <c r="Z150" s="1398"/>
    </row>
    <row r="151" spans="1:26" s="1571" customFormat="1">
      <c r="A151" s="1575"/>
      <c r="B151" s="1575"/>
      <c r="J151" s="1398"/>
      <c r="K151" s="1398"/>
      <c r="L151" s="1398"/>
      <c r="M151" s="1398"/>
      <c r="N151" s="1398"/>
      <c r="O151" s="1398"/>
      <c r="P151" s="1398"/>
      <c r="Q151" s="1398"/>
      <c r="R151" s="1398"/>
      <c r="S151" s="1398"/>
      <c r="T151" s="1398"/>
      <c r="U151" s="1398"/>
      <c r="V151" s="1398"/>
      <c r="W151" s="1398"/>
      <c r="X151" s="1398"/>
      <c r="Y151" s="1398"/>
      <c r="Z151" s="1398"/>
    </row>
    <row r="152" spans="1:26" s="1571" customFormat="1">
      <c r="A152" s="1575"/>
      <c r="B152" s="1575"/>
      <c r="J152" s="1398"/>
      <c r="K152" s="1398"/>
      <c r="L152" s="1398"/>
      <c r="M152" s="1398"/>
      <c r="N152" s="1398"/>
      <c r="O152" s="1398"/>
      <c r="P152" s="1398"/>
      <c r="Q152" s="1398"/>
      <c r="R152" s="1398"/>
      <c r="S152" s="1398"/>
      <c r="T152" s="1398"/>
      <c r="U152" s="1398"/>
      <c r="V152" s="1398"/>
      <c r="W152" s="1398"/>
      <c r="X152" s="1398"/>
      <c r="Y152" s="1398"/>
      <c r="Z152" s="1398"/>
    </row>
    <row r="153" spans="1:26" s="1571" customFormat="1">
      <c r="A153" s="1575"/>
      <c r="B153" s="1575"/>
      <c r="J153" s="1398"/>
      <c r="K153" s="1398"/>
      <c r="L153" s="1398"/>
      <c r="M153" s="1398"/>
      <c r="N153" s="1398"/>
      <c r="O153" s="1398"/>
      <c r="P153" s="1398"/>
      <c r="Q153" s="1398"/>
      <c r="R153" s="1398"/>
      <c r="S153" s="1398"/>
      <c r="T153" s="1398"/>
      <c r="U153" s="1398"/>
      <c r="V153" s="1398"/>
      <c r="W153" s="1398"/>
      <c r="X153" s="1398"/>
      <c r="Y153" s="1398"/>
      <c r="Z153" s="1398"/>
    </row>
    <row r="154" spans="1:26" s="1571" customFormat="1">
      <c r="A154" s="1575"/>
      <c r="B154" s="1575"/>
      <c r="J154" s="1398"/>
      <c r="K154" s="1398"/>
      <c r="L154" s="1398"/>
      <c r="M154" s="1398"/>
      <c r="N154" s="1398"/>
      <c r="O154" s="1398"/>
      <c r="P154" s="1398"/>
      <c r="Q154" s="1398"/>
      <c r="R154" s="1398"/>
      <c r="S154" s="1398"/>
      <c r="T154" s="1398"/>
      <c r="U154" s="1398"/>
      <c r="V154" s="1398"/>
      <c r="W154" s="1398"/>
      <c r="X154" s="1398"/>
      <c r="Y154" s="1398"/>
      <c r="Z154" s="1398"/>
    </row>
    <row r="155" spans="1:26" s="1571" customFormat="1">
      <c r="A155" s="1575"/>
      <c r="B155" s="1575"/>
      <c r="J155" s="1398"/>
      <c r="K155" s="1398"/>
      <c r="L155" s="1398"/>
      <c r="M155" s="1398"/>
      <c r="N155" s="1398"/>
      <c r="O155" s="1398"/>
      <c r="P155" s="1398"/>
      <c r="Q155" s="1398"/>
      <c r="R155" s="1398"/>
      <c r="S155" s="1398"/>
      <c r="T155" s="1398"/>
      <c r="U155" s="1398"/>
      <c r="V155" s="1398"/>
      <c r="W155" s="1398"/>
      <c r="X155" s="1398"/>
      <c r="Y155" s="1398"/>
      <c r="Z155" s="1398"/>
    </row>
    <row r="156" spans="1:26" s="1571" customFormat="1">
      <c r="A156" s="1575"/>
      <c r="B156" s="1575"/>
      <c r="J156" s="1398"/>
      <c r="K156" s="1398"/>
      <c r="L156" s="1398"/>
      <c r="M156" s="1398"/>
      <c r="N156" s="1398"/>
      <c r="O156" s="1398"/>
      <c r="P156" s="1398"/>
      <c r="Q156" s="1398"/>
      <c r="R156" s="1398"/>
      <c r="S156" s="1398"/>
      <c r="T156" s="1398"/>
      <c r="U156" s="1398"/>
      <c r="V156" s="1398"/>
      <c r="W156" s="1398"/>
      <c r="X156" s="1398"/>
      <c r="Y156" s="1398"/>
      <c r="Z156" s="1398"/>
    </row>
    <row r="157" spans="1:26" s="1571" customFormat="1">
      <c r="A157" s="1575"/>
      <c r="B157" s="1575"/>
      <c r="J157" s="1398"/>
      <c r="K157" s="1398"/>
      <c r="L157" s="1398"/>
      <c r="M157" s="1398"/>
      <c r="N157" s="1398"/>
      <c r="O157" s="1398"/>
      <c r="P157" s="1398"/>
      <c r="Q157" s="1398"/>
      <c r="R157" s="1398"/>
      <c r="S157" s="1398"/>
      <c r="T157" s="1398"/>
      <c r="U157" s="1398"/>
      <c r="V157" s="1398"/>
      <c r="W157" s="1398"/>
      <c r="X157" s="1398"/>
      <c r="Y157" s="1398"/>
      <c r="Z157" s="1398"/>
    </row>
    <row r="158" spans="1:26" s="1571" customFormat="1">
      <c r="A158" s="1575"/>
      <c r="B158" s="1575"/>
      <c r="J158" s="1398"/>
      <c r="K158" s="1398"/>
      <c r="L158" s="1398"/>
      <c r="M158" s="1398"/>
      <c r="N158" s="1398"/>
      <c r="O158" s="1398"/>
      <c r="P158" s="1398"/>
      <c r="Q158" s="1398"/>
      <c r="R158" s="1398"/>
      <c r="S158" s="1398"/>
      <c r="T158" s="1398"/>
      <c r="U158" s="1398"/>
      <c r="V158" s="1398"/>
      <c r="W158" s="1398"/>
      <c r="X158" s="1398"/>
      <c r="Y158" s="1398"/>
      <c r="Z158" s="1398"/>
    </row>
    <row r="159" spans="1:26" s="1571" customFormat="1">
      <c r="A159" s="1575"/>
      <c r="B159" s="1575"/>
      <c r="J159" s="1398"/>
      <c r="K159" s="1398"/>
      <c r="L159" s="1398"/>
      <c r="M159" s="1398"/>
      <c r="N159" s="1398"/>
      <c r="O159" s="1398"/>
      <c r="P159" s="1398"/>
      <c r="Q159" s="1398"/>
      <c r="R159" s="1398"/>
      <c r="S159" s="1398"/>
      <c r="T159" s="1398"/>
      <c r="U159" s="1398"/>
      <c r="V159" s="1398"/>
      <c r="W159" s="1398"/>
      <c r="X159" s="1398"/>
      <c r="Y159" s="1398"/>
      <c r="Z159" s="1398"/>
    </row>
    <row r="160" spans="1:26" s="1571" customFormat="1">
      <c r="A160" s="1575"/>
      <c r="B160" s="1575"/>
      <c r="J160" s="1398"/>
      <c r="K160" s="1398"/>
      <c r="L160" s="1398"/>
      <c r="M160" s="1398"/>
      <c r="N160" s="1398"/>
      <c r="O160" s="1398"/>
      <c r="P160" s="1398"/>
      <c r="Q160" s="1398"/>
      <c r="R160" s="1398"/>
      <c r="S160" s="1398"/>
      <c r="T160" s="1398"/>
      <c r="U160" s="1398"/>
      <c r="V160" s="1398"/>
      <c r="W160" s="1398"/>
      <c r="X160" s="1398"/>
      <c r="Y160" s="1398"/>
      <c r="Z160" s="1398"/>
    </row>
    <row r="161" spans="1:26" s="1571" customFormat="1">
      <c r="A161" s="1575"/>
      <c r="B161" s="1575"/>
      <c r="J161" s="1398"/>
      <c r="K161" s="1398"/>
      <c r="L161" s="1398"/>
      <c r="M161" s="1398"/>
      <c r="N161" s="1398"/>
      <c r="O161" s="1398"/>
      <c r="P161" s="1398"/>
      <c r="Q161" s="1398"/>
      <c r="R161" s="1398"/>
      <c r="S161" s="1398"/>
      <c r="T161" s="1398"/>
      <c r="U161" s="1398"/>
      <c r="V161" s="1398"/>
      <c r="W161" s="1398"/>
      <c r="X161" s="1398"/>
      <c r="Y161" s="1398"/>
      <c r="Z161" s="1398"/>
    </row>
    <row r="162" spans="1:26" s="1571" customFormat="1">
      <c r="A162" s="1575"/>
      <c r="B162" s="1575"/>
      <c r="J162" s="1398"/>
      <c r="K162" s="1398"/>
      <c r="L162" s="1398"/>
      <c r="M162" s="1398"/>
      <c r="N162" s="1398"/>
      <c r="O162" s="1398"/>
      <c r="P162" s="1398"/>
      <c r="Q162" s="1398"/>
      <c r="R162" s="1398"/>
      <c r="S162" s="1398"/>
      <c r="T162" s="1398"/>
      <c r="U162" s="1398"/>
      <c r="V162" s="1398"/>
      <c r="W162" s="1398"/>
      <c r="X162" s="1398"/>
      <c r="Y162" s="1398"/>
      <c r="Z162" s="1398"/>
    </row>
    <row r="163" spans="1:26" s="1571" customFormat="1">
      <c r="A163" s="1575"/>
      <c r="B163" s="1575"/>
      <c r="J163" s="1398"/>
      <c r="K163" s="1398"/>
      <c r="L163" s="1398"/>
      <c r="M163" s="1398"/>
      <c r="N163" s="1398"/>
      <c r="O163" s="1398"/>
      <c r="P163" s="1398"/>
      <c r="Q163" s="1398"/>
      <c r="R163" s="1398"/>
      <c r="S163" s="1398"/>
      <c r="T163" s="1398"/>
      <c r="U163" s="1398"/>
      <c r="V163" s="1398"/>
      <c r="W163" s="1398"/>
      <c r="X163" s="1398"/>
      <c r="Y163" s="1398"/>
      <c r="Z163" s="1398"/>
    </row>
    <row r="164" spans="1:26" s="1571" customFormat="1">
      <c r="A164" s="1575"/>
      <c r="B164" s="1575"/>
      <c r="J164" s="1398"/>
      <c r="K164" s="1398"/>
      <c r="L164" s="1398"/>
      <c r="M164" s="1398"/>
      <c r="N164" s="1398"/>
      <c r="O164" s="1398"/>
      <c r="P164" s="1398"/>
      <c r="Q164" s="1398"/>
      <c r="R164" s="1398"/>
      <c r="S164" s="1398"/>
      <c r="T164" s="1398"/>
      <c r="U164" s="1398"/>
      <c r="V164" s="1398"/>
      <c r="W164" s="1398"/>
      <c r="X164" s="1398"/>
      <c r="Y164" s="1398"/>
      <c r="Z164" s="1398"/>
    </row>
    <row r="165" spans="1:26" s="1571" customFormat="1">
      <c r="A165" s="1575"/>
      <c r="B165" s="1575"/>
      <c r="J165" s="1398"/>
      <c r="K165" s="1398"/>
      <c r="L165" s="1398"/>
      <c r="M165" s="1398"/>
      <c r="N165" s="1398"/>
      <c r="O165" s="1398"/>
      <c r="P165" s="1398"/>
      <c r="Q165" s="1398"/>
      <c r="R165" s="1398"/>
      <c r="S165" s="1398"/>
      <c r="T165" s="1398"/>
      <c r="U165" s="1398"/>
      <c r="V165" s="1398"/>
      <c r="W165" s="1398"/>
      <c r="X165" s="1398"/>
      <c r="Y165" s="1398"/>
      <c r="Z165" s="1398"/>
    </row>
    <row r="166" spans="1:26" s="1571" customFormat="1">
      <c r="A166" s="1575"/>
      <c r="B166" s="1575"/>
      <c r="J166" s="1398"/>
      <c r="K166" s="1398"/>
      <c r="L166" s="1398"/>
      <c r="M166" s="1398"/>
      <c r="N166" s="1398"/>
      <c r="O166" s="1398"/>
      <c r="P166" s="1398"/>
      <c r="Q166" s="1398"/>
      <c r="R166" s="1398"/>
      <c r="S166" s="1398"/>
      <c r="T166" s="1398"/>
      <c r="U166" s="1398"/>
      <c r="V166" s="1398"/>
      <c r="W166" s="1398"/>
      <c r="X166" s="1398"/>
      <c r="Y166" s="1398"/>
      <c r="Z166" s="1398"/>
    </row>
    <row r="167" spans="1:26" s="1571" customFormat="1">
      <c r="A167" s="1575"/>
      <c r="B167" s="1575"/>
      <c r="J167" s="1398"/>
      <c r="K167" s="1398"/>
      <c r="L167" s="1398"/>
      <c r="M167" s="1398"/>
      <c r="N167" s="1398"/>
      <c r="O167" s="1398"/>
      <c r="P167" s="1398"/>
      <c r="Q167" s="1398"/>
      <c r="R167" s="1398"/>
      <c r="S167" s="1398"/>
      <c r="T167" s="1398"/>
      <c r="U167" s="1398"/>
      <c r="V167" s="1398"/>
      <c r="W167" s="1398"/>
      <c r="X167" s="1398"/>
      <c r="Y167" s="1398"/>
      <c r="Z167" s="1398"/>
    </row>
    <row r="168" spans="1:26" s="1571" customFormat="1">
      <c r="A168" s="1575"/>
      <c r="B168" s="1575"/>
      <c r="J168" s="1398"/>
      <c r="K168" s="1398"/>
      <c r="L168" s="1398"/>
      <c r="M168" s="1398"/>
      <c r="N168" s="1398"/>
      <c r="O168" s="1398"/>
      <c r="P168" s="1398"/>
      <c r="Q168" s="1398"/>
      <c r="R168" s="1398"/>
      <c r="S168" s="1398"/>
      <c r="T168" s="1398"/>
      <c r="U168" s="1398"/>
      <c r="V168" s="1398"/>
      <c r="W168" s="1398"/>
      <c r="X168" s="1398"/>
      <c r="Y168" s="1398"/>
      <c r="Z168" s="1398"/>
    </row>
    <row r="169" spans="1:26" s="1571" customFormat="1">
      <c r="A169" s="1575"/>
      <c r="B169" s="1575"/>
      <c r="J169" s="1398"/>
      <c r="K169" s="1398"/>
      <c r="L169" s="1398"/>
      <c r="M169" s="1398"/>
      <c r="N169" s="1398"/>
      <c r="O169" s="1398"/>
      <c r="P169" s="1398"/>
      <c r="Q169" s="1398"/>
      <c r="R169" s="1398"/>
      <c r="S169" s="1398"/>
      <c r="T169" s="1398"/>
      <c r="U169" s="1398"/>
      <c r="V169" s="1398"/>
      <c r="W169" s="1398"/>
      <c r="X169" s="1398"/>
      <c r="Y169" s="1398"/>
      <c r="Z169" s="1398"/>
    </row>
    <row r="170" spans="1:26" s="1571" customFormat="1">
      <c r="A170" s="1575"/>
      <c r="B170" s="1575"/>
      <c r="J170" s="1398"/>
      <c r="K170" s="1398"/>
      <c r="L170" s="1398"/>
      <c r="M170" s="1398"/>
      <c r="N170" s="1398"/>
      <c r="O170" s="1398"/>
      <c r="P170" s="1398"/>
      <c r="Q170" s="1398"/>
      <c r="R170" s="1398"/>
      <c r="S170" s="1398"/>
      <c r="T170" s="1398"/>
      <c r="U170" s="1398"/>
      <c r="V170" s="1398"/>
      <c r="W170" s="1398"/>
      <c r="X170" s="1398"/>
      <c r="Y170" s="1398"/>
      <c r="Z170" s="1398"/>
    </row>
    <row r="171" spans="1:26" s="1571" customFormat="1">
      <c r="A171" s="1575"/>
      <c r="B171" s="1575"/>
      <c r="J171" s="1398"/>
      <c r="K171" s="1398"/>
      <c r="L171" s="1398"/>
      <c r="M171" s="1398"/>
      <c r="N171" s="1398"/>
      <c r="O171" s="1398"/>
      <c r="P171" s="1398"/>
      <c r="Q171" s="1398"/>
      <c r="R171" s="1398"/>
      <c r="S171" s="1398"/>
      <c r="T171" s="1398"/>
      <c r="U171" s="1398"/>
      <c r="V171" s="1398"/>
      <c r="W171" s="1398"/>
      <c r="X171" s="1398"/>
      <c r="Y171" s="1398"/>
      <c r="Z171" s="1398"/>
    </row>
    <row r="172" spans="1:26" s="1571" customFormat="1">
      <c r="A172" s="1575"/>
      <c r="B172" s="1575"/>
      <c r="J172" s="1398"/>
      <c r="K172" s="1398"/>
      <c r="L172" s="1398"/>
      <c r="M172" s="1398"/>
      <c r="N172" s="1398"/>
      <c r="O172" s="1398"/>
      <c r="P172" s="1398"/>
      <c r="Q172" s="1398"/>
      <c r="R172" s="1398"/>
      <c r="S172" s="1398"/>
      <c r="T172" s="1398"/>
      <c r="U172" s="1398"/>
      <c r="V172" s="1398"/>
      <c r="W172" s="1398"/>
      <c r="X172" s="1398"/>
      <c r="Y172" s="1398"/>
      <c r="Z172" s="1398"/>
    </row>
    <row r="173" spans="1:26" s="1571" customFormat="1">
      <c r="A173" s="1575"/>
      <c r="B173" s="1575"/>
      <c r="J173" s="1398"/>
      <c r="K173" s="1398"/>
      <c r="L173" s="1398"/>
      <c r="M173" s="1398"/>
      <c r="N173" s="1398"/>
      <c r="O173" s="1398"/>
      <c r="P173" s="1398"/>
      <c r="Q173" s="1398"/>
      <c r="R173" s="1398"/>
      <c r="S173" s="1398"/>
      <c r="T173" s="1398"/>
      <c r="U173" s="1398"/>
      <c r="V173" s="1398"/>
      <c r="W173" s="1398"/>
      <c r="X173" s="1398"/>
      <c r="Y173" s="1398"/>
      <c r="Z173" s="1398"/>
    </row>
    <row r="174" spans="1:26" s="1571" customFormat="1">
      <c r="A174" s="1575"/>
      <c r="B174" s="1575"/>
      <c r="J174" s="1398"/>
      <c r="K174" s="1398"/>
      <c r="L174" s="1398"/>
      <c r="M174" s="1398"/>
      <c r="N174" s="1398"/>
      <c r="O174" s="1398"/>
      <c r="P174" s="1398"/>
      <c r="Q174" s="1398"/>
      <c r="R174" s="1398"/>
      <c r="S174" s="1398"/>
      <c r="T174" s="1398"/>
      <c r="U174" s="1398"/>
      <c r="V174" s="1398"/>
      <c r="W174" s="1398"/>
      <c r="X174" s="1398"/>
      <c r="Y174" s="1398"/>
      <c r="Z174" s="1398"/>
    </row>
    <row r="175" spans="1:26" s="1571" customFormat="1">
      <c r="A175" s="1575"/>
      <c r="B175" s="1575"/>
      <c r="J175" s="1398"/>
      <c r="K175" s="1398"/>
      <c r="L175" s="1398"/>
      <c r="M175" s="1398"/>
      <c r="N175" s="1398"/>
      <c r="O175" s="1398"/>
      <c r="P175" s="1398"/>
      <c r="Q175" s="1398"/>
      <c r="R175" s="1398"/>
      <c r="S175" s="1398"/>
      <c r="T175" s="1398"/>
      <c r="U175" s="1398"/>
      <c r="V175" s="1398"/>
      <c r="W175" s="1398"/>
      <c r="X175" s="1398"/>
      <c r="Y175" s="1398"/>
      <c r="Z175" s="1398"/>
    </row>
    <row r="176" spans="1:26" s="1571" customFormat="1">
      <c r="A176" s="1575"/>
      <c r="B176" s="1575"/>
      <c r="J176" s="1398"/>
      <c r="K176" s="1398"/>
      <c r="L176" s="1398"/>
      <c r="M176" s="1398"/>
      <c r="N176" s="1398"/>
      <c r="O176" s="1398"/>
      <c r="P176" s="1398"/>
      <c r="Q176" s="1398"/>
      <c r="R176" s="1398"/>
      <c r="S176" s="1398"/>
      <c r="T176" s="1398"/>
      <c r="U176" s="1398"/>
      <c r="V176" s="1398"/>
      <c r="W176" s="1398"/>
      <c r="X176" s="1398"/>
      <c r="Y176" s="1398"/>
      <c r="Z176" s="1398"/>
    </row>
    <row r="177" spans="1:26" s="1571" customFormat="1">
      <c r="A177" s="1575"/>
      <c r="B177" s="1575"/>
      <c r="J177" s="1398"/>
      <c r="K177" s="1398"/>
      <c r="L177" s="1398"/>
      <c r="M177" s="1398"/>
      <c r="N177" s="1398"/>
      <c r="O177" s="1398"/>
      <c r="P177" s="1398"/>
      <c r="Q177" s="1398"/>
      <c r="R177" s="1398"/>
      <c r="S177" s="1398"/>
      <c r="T177" s="1398"/>
      <c r="U177" s="1398"/>
      <c r="V177" s="1398"/>
      <c r="W177" s="1398"/>
      <c r="X177" s="1398"/>
      <c r="Y177" s="1398"/>
      <c r="Z177" s="1398"/>
    </row>
    <row r="178" spans="1:26" s="1571" customFormat="1">
      <c r="A178" s="1575"/>
      <c r="B178" s="1575"/>
      <c r="J178" s="1398"/>
      <c r="K178" s="1398"/>
      <c r="L178" s="1398"/>
      <c r="M178" s="1398"/>
      <c r="N178" s="1398"/>
      <c r="O178" s="1398"/>
      <c r="P178" s="1398"/>
      <c r="Q178" s="1398"/>
      <c r="R178" s="1398"/>
      <c r="S178" s="1398"/>
      <c r="T178" s="1398"/>
      <c r="U178" s="1398"/>
      <c r="V178" s="1398"/>
      <c r="W178" s="1398"/>
      <c r="X178" s="1398"/>
      <c r="Y178" s="1398"/>
      <c r="Z178" s="1398"/>
    </row>
    <row r="179" spans="1:26" s="1571" customFormat="1">
      <c r="A179" s="1575"/>
      <c r="B179" s="1575"/>
      <c r="J179" s="1398"/>
      <c r="K179" s="1398"/>
      <c r="L179" s="1398"/>
      <c r="M179" s="1398"/>
      <c r="N179" s="1398"/>
      <c r="O179" s="1398"/>
      <c r="P179" s="1398"/>
      <c r="Q179" s="1398"/>
      <c r="R179" s="1398"/>
      <c r="S179" s="1398"/>
      <c r="T179" s="1398"/>
      <c r="U179" s="1398"/>
      <c r="V179" s="1398"/>
      <c r="W179" s="1398"/>
      <c r="X179" s="1398"/>
      <c r="Y179" s="1398"/>
      <c r="Z179" s="1398"/>
    </row>
    <row r="180" spans="1:26" s="1571" customFormat="1">
      <c r="A180" s="1575"/>
      <c r="B180" s="1575"/>
      <c r="J180" s="1398"/>
      <c r="K180" s="1398"/>
      <c r="L180" s="1398"/>
      <c r="M180" s="1398"/>
      <c r="N180" s="1398"/>
      <c r="O180" s="1398"/>
      <c r="P180" s="1398"/>
      <c r="Q180" s="1398"/>
      <c r="R180" s="1398"/>
      <c r="S180" s="1398"/>
      <c r="T180" s="1398"/>
      <c r="U180" s="1398"/>
      <c r="V180" s="1398"/>
      <c r="W180" s="1398"/>
      <c r="X180" s="1398"/>
      <c r="Y180" s="1398"/>
      <c r="Z180" s="1398"/>
    </row>
    <row r="181" spans="1:26" s="1571" customFormat="1">
      <c r="A181" s="1575"/>
      <c r="B181" s="1575"/>
      <c r="J181" s="1398"/>
      <c r="K181" s="1398"/>
      <c r="L181" s="1398"/>
      <c r="M181" s="1398"/>
      <c r="N181" s="1398"/>
      <c r="O181" s="1398"/>
      <c r="P181" s="1398"/>
      <c r="Q181" s="1398"/>
      <c r="R181" s="1398"/>
      <c r="S181" s="1398"/>
      <c r="T181" s="1398"/>
      <c r="U181" s="1398"/>
      <c r="V181" s="1398"/>
      <c r="W181" s="1398"/>
      <c r="X181" s="1398"/>
      <c r="Y181" s="1398"/>
      <c r="Z181" s="1398"/>
    </row>
    <row r="182" spans="1:26" s="1571" customFormat="1">
      <c r="A182" s="1575"/>
      <c r="B182" s="1575"/>
      <c r="J182" s="1398"/>
      <c r="K182" s="1398"/>
      <c r="L182" s="1398"/>
      <c r="M182" s="1398"/>
      <c r="N182" s="1398"/>
      <c r="O182" s="1398"/>
      <c r="P182" s="1398"/>
      <c r="Q182" s="1398"/>
      <c r="R182" s="1398"/>
      <c r="S182" s="1398"/>
      <c r="T182" s="1398"/>
      <c r="U182" s="1398"/>
      <c r="V182" s="1398"/>
      <c r="W182" s="1398"/>
      <c r="X182" s="1398"/>
      <c r="Y182" s="1398"/>
      <c r="Z182" s="1398"/>
    </row>
    <row r="183" spans="1:26" s="1571" customFormat="1">
      <c r="A183" s="1575"/>
      <c r="B183" s="1575"/>
      <c r="J183" s="1398"/>
      <c r="K183" s="1398"/>
      <c r="L183" s="1398"/>
      <c r="M183" s="1398"/>
      <c r="N183" s="1398"/>
      <c r="O183" s="1398"/>
      <c r="P183" s="1398"/>
      <c r="Q183" s="1398"/>
      <c r="R183" s="1398"/>
      <c r="S183" s="1398"/>
      <c r="T183" s="1398"/>
      <c r="U183" s="1398"/>
      <c r="V183" s="1398"/>
      <c r="W183" s="1398"/>
      <c r="X183" s="1398"/>
      <c r="Y183" s="1398"/>
      <c r="Z183" s="1398"/>
    </row>
    <row r="184" spans="1:26" s="1571" customFormat="1">
      <c r="A184" s="1575"/>
      <c r="B184" s="1575"/>
      <c r="J184" s="1398"/>
      <c r="K184" s="1398"/>
      <c r="L184" s="1398"/>
      <c r="M184" s="1398"/>
      <c r="N184" s="1398"/>
      <c r="O184" s="1398"/>
      <c r="P184" s="1398"/>
      <c r="Q184" s="1398"/>
      <c r="R184" s="1398"/>
      <c r="S184" s="1398"/>
      <c r="T184" s="1398"/>
      <c r="U184" s="1398"/>
      <c r="V184" s="1398"/>
      <c r="W184" s="1398"/>
      <c r="X184" s="1398"/>
      <c r="Y184" s="1398"/>
      <c r="Z184" s="1398"/>
    </row>
    <row r="185" spans="1:26" s="1571" customFormat="1">
      <c r="A185" s="1575"/>
      <c r="B185" s="1575"/>
      <c r="J185" s="1398"/>
      <c r="K185" s="1398"/>
      <c r="L185" s="1398"/>
      <c r="M185" s="1398"/>
      <c r="N185" s="1398"/>
      <c r="O185" s="1398"/>
      <c r="P185" s="1398"/>
      <c r="Q185" s="1398"/>
      <c r="R185" s="1398"/>
      <c r="S185" s="1398"/>
      <c r="T185" s="1398"/>
      <c r="U185" s="1398"/>
      <c r="V185" s="1398"/>
      <c r="W185" s="1398"/>
      <c r="X185" s="1398"/>
      <c r="Y185" s="1398"/>
      <c r="Z185" s="1398"/>
    </row>
    <row r="186" spans="1:26" s="1571" customFormat="1">
      <c r="A186" s="1575"/>
      <c r="B186" s="1575"/>
      <c r="J186" s="1398"/>
      <c r="K186" s="1398"/>
      <c r="L186" s="1398"/>
      <c r="M186" s="1398"/>
      <c r="N186" s="1398"/>
      <c r="O186" s="1398"/>
      <c r="P186" s="1398"/>
      <c r="Q186" s="1398"/>
      <c r="R186" s="1398"/>
      <c r="S186" s="1398"/>
      <c r="T186" s="1398"/>
      <c r="U186" s="1398"/>
      <c r="V186" s="1398"/>
      <c r="W186" s="1398"/>
      <c r="X186" s="1398"/>
      <c r="Y186" s="1398"/>
      <c r="Z186" s="1398"/>
    </row>
    <row r="187" spans="1:26" s="1571" customFormat="1">
      <c r="A187" s="1575"/>
      <c r="B187" s="1575"/>
      <c r="J187" s="1398"/>
      <c r="K187" s="1398"/>
      <c r="L187" s="1398"/>
      <c r="M187" s="1398"/>
      <c r="N187" s="1398"/>
      <c r="O187" s="1398"/>
      <c r="P187" s="1398"/>
      <c r="Q187" s="1398"/>
      <c r="R187" s="1398"/>
      <c r="S187" s="1398"/>
      <c r="T187" s="1398"/>
      <c r="U187" s="1398"/>
      <c r="V187" s="1398"/>
      <c r="W187" s="1398"/>
      <c r="X187" s="1398"/>
      <c r="Y187" s="1398"/>
      <c r="Z187" s="1398"/>
    </row>
    <row r="188" spans="1:26" s="1571" customFormat="1">
      <c r="A188" s="1575"/>
      <c r="B188" s="1575"/>
      <c r="J188" s="1398"/>
      <c r="K188" s="1398"/>
      <c r="L188" s="1398"/>
      <c r="M188" s="1398"/>
      <c r="N188" s="1398"/>
      <c r="O188" s="1398"/>
      <c r="P188" s="1398"/>
      <c r="Q188" s="1398"/>
      <c r="R188" s="1398"/>
      <c r="S188" s="1398"/>
      <c r="T188" s="1398"/>
      <c r="U188" s="1398"/>
      <c r="V188" s="1398"/>
      <c r="W188" s="1398"/>
      <c r="X188" s="1398"/>
      <c r="Y188" s="1398"/>
      <c r="Z188" s="1398"/>
    </row>
    <row r="189" spans="1:26" s="1571" customFormat="1">
      <c r="A189" s="1575"/>
      <c r="B189" s="1575"/>
      <c r="J189" s="1398"/>
      <c r="K189" s="1398"/>
      <c r="L189" s="1398"/>
      <c r="M189" s="1398"/>
      <c r="N189" s="1398"/>
      <c r="O189" s="1398"/>
      <c r="P189" s="1398"/>
      <c r="Q189" s="1398"/>
      <c r="R189" s="1398"/>
      <c r="S189" s="1398"/>
      <c r="T189" s="1398"/>
      <c r="U189" s="1398"/>
      <c r="V189" s="1398"/>
      <c r="W189" s="1398"/>
      <c r="X189" s="1398"/>
      <c r="Y189" s="1398"/>
      <c r="Z189" s="1398"/>
    </row>
    <row r="190" spans="1:26" s="1571" customFormat="1">
      <c r="A190" s="1575"/>
      <c r="B190" s="1575"/>
      <c r="J190" s="1398"/>
      <c r="K190" s="1398"/>
      <c r="L190" s="1398"/>
      <c r="M190" s="1398"/>
      <c r="N190" s="1398"/>
      <c r="O190" s="1398"/>
      <c r="P190" s="1398"/>
      <c r="Q190" s="1398"/>
      <c r="R190" s="1398"/>
      <c r="S190" s="1398"/>
      <c r="T190" s="1398"/>
      <c r="U190" s="1398"/>
      <c r="V190" s="1398"/>
      <c r="W190" s="1398"/>
      <c r="X190" s="1398"/>
      <c r="Y190" s="1398"/>
      <c r="Z190" s="1398"/>
    </row>
    <row r="191" spans="1:26" s="1571" customFormat="1">
      <c r="A191" s="1575"/>
      <c r="B191" s="1575"/>
      <c r="J191" s="1398"/>
      <c r="K191" s="1398"/>
      <c r="L191" s="1398"/>
      <c r="M191" s="1398"/>
      <c r="N191" s="1398"/>
      <c r="O191" s="1398"/>
      <c r="P191" s="1398"/>
      <c r="Q191" s="1398"/>
      <c r="R191" s="1398"/>
      <c r="S191" s="1398"/>
      <c r="T191" s="1398"/>
      <c r="U191" s="1398"/>
      <c r="V191" s="1398"/>
      <c r="W191" s="1398"/>
      <c r="X191" s="1398"/>
      <c r="Y191" s="1398"/>
      <c r="Z191" s="1398"/>
    </row>
    <row r="192" spans="1:26" s="1571" customFormat="1">
      <c r="A192" s="1575"/>
      <c r="B192" s="1575"/>
      <c r="J192" s="1398"/>
      <c r="K192" s="1398"/>
      <c r="L192" s="1398"/>
      <c r="M192" s="1398"/>
      <c r="N192" s="1398"/>
      <c r="O192" s="1398"/>
      <c r="P192" s="1398"/>
      <c r="Q192" s="1398"/>
      <c r="R192" s="1398"/>
      <c r="S192" s="1398"/>
      <c r="T192" s="1398"/>
      <c r="U192" s="1398"/>
      <c r="V192" s="1398"/>
      <c r="W192" s="1398"/>
      <c r="X192" s="1398"/>
      <c r="Y192" s="1398"/>
      <c r="Z192" s="1398"/>
    </row>
    <row r="193" spans="1:26" s="1571" customFormat="1">
      <c r="A193" s="1575"/>
      <c r="B193" s="1575"/>
      <c r="J193" s="1398"/>
      <c r="K193" s="1398"/>
      <c r="L193" s="1398"/>
      <c r="M193" s="1398"/>
      <c r="N193" s="1398"/>
      <c r="O193" s="1398"/>
      <c r="P193" s="1398"/>
      <c r="Q193" s="1398"/>
      <c r="R193" s="1398"/>
      <c r="S193" s="1398"/>
      <c r="T193" s="1398"/>
      <c r="U193" s="1398"/>
      <c r="V193" s="1398"/>
      <c r="W193" s="1398"/>
      <c r="X193" s="1398"/>
      <c r="Y193" s="1398"/>
      <c r="Z193" s="1398"/>
    </row>
    <row r="194" spans="1:26" s="1571" customFormat="1">
      <c r="A194" s="1575"/>
      <c r="B194" s="1575"/>
      <c r="J194" s="1398"/>
      <c r="K194" s="1398"/>
      <c r="L194" s="1398"/>
      <c r="M194" s="1398"/>
      <c r="N194" s="1398"/>
      <c r="O194" s="1398"/>
      <c r="P194" s="1398"/>
      <c r="Q194" s="1398"/>
      <c r="R194" s="1398"/>
      <c r="S194" s="1398"/>
      <c r="T194" s="1398"/>
      <c r="U194" s="1398"/>
      <c r="V194" s="1398"/>
      <c r="W194" s="1398"/>
      <c r="X194" s="1398"/>
      <c r="Y194" s="1398"/>
      <c r="Z194" s="1398"/>
    </row>
    <row r="195" spans="1:26" s="1571" customFormat="1">
      <c r="A195" s="1575"/>
      <c r="B195" s="1575"/>
      <c r="J195" s="1398"/>
      <c r="K195" s="1398"/>
      <c r="L195" s="1398"/>
      <c r="M195" s="1398"/>
      <c r="N195" s="1398"/>
      <c r="O195" s="1398"/>
      <c r="P195" s="1398"/>
      <c r="Q195" s="1398"/>
      <c r="R195" s="1398"/>
      <c r="S195" s="1398"/>
      <c r="T195" s="1398"/>
      <c r="U195" s="1398"/>
      <c r="V195" s="1398"/>
      <c r="W195" s="1398"/>
      <c r="X195" s="1398"/>
      <c r="Y195" s="1398"/>
      <c r="Z195" s="1398"/>
    </row>
    <row r="196" spans="1:26" s="1571" customFormat="1">
      <c r="A196" s="1575"/>
      <c r="B196" s="1575"/>
      <c r="J196" s="1398"/>
      <c r="K196" s="1398"/>
      <c r="L196" s="1398"/>
      <c r="M196" s="1398"/>
      <c r="N196" s="1398"/>
      <c r="O196" s="1398"/>
      <c r="P196" s="1398"/>
      <c r="Q196" s="1398"/>
      <c r="R196" s="1398"/>
      <c r="S196" s="1398"/>
      <c r="T196" s="1398"/>
      <c r="U196" s="1398"/>
      <c r="V196" s="1398"/>
      <c r="W196" s="1398"/>
      <c r="X196" s="1398"/>
      <c r="Y196" s="1398"/>
      <c r="Z196" s="1398"/>
    </row>
    <row r="197" spans="1:26" s="1571" customFormat="1">
      <c r="A197" s="1575"/>
      <c r="B197" s="1575"/>
      <c r="J197" s="1398"/>
      <c r="K197" s="1398"/>
      <c r="L197" s="1398"/>
      <c r="M197" s="1398"/>
      <c r="N197" s="1398"/>
      <c r="O197" s="1398"/>
      <c r="P197" s="1398"/>
      <c r="Q197" s="1398"/>
      <c r="R197" s="1398"/>
      <c r="S197" s="1398"/>
      <c r="T197" s="1398"/>
      <c r="U197" s="1398"/>
      <c r="V197" s="1398"/>
      <c r="W197" s="1398"/>
      <c r="X197" s="1398"/>
      <c r="Y197" s="1398"/>
      <c r="Z197" s="1398"/>
    </row>
    <row r="198" spans="1:26" s="1571" customFormat="1">
      <c r="A198" s="1575"/>
      <c r="B198" s="1575"/>
      <c r="J198" s="1398"/>
      <c r="K198" s="1398"/>
      <c r="L198" s="1398"/>
      <c r="M198" s="1398"/>
      <c r="N198" s="1398"/>
      <c r="O198" s="1398"/>
      <c r="P198" s="1398"/>
      <c r="Q198" s="1398"/>
      <c r="R198" s="1398"/>
      <c r="S198" s="1398"/>
      <c r="T198" s="1398"/>
      <c r="U198" s="1398"/>
      <c r="V198" s="1398"/>
      <c r="W198" s="1398"/>
      <c r="X198" s="1398"/>
      <c r="Y198" s="1398"/>
      <c r="Z198" s="1398"/>
    </row>
    <row r="199" spans="1:26" s="1571" customFormat="1">
      <c r="A199" s="1575"/>
      <c r="B199" s="1575"/>
      <c r="J199" s="1398"/>
      <c r="K199" s="1398"/>
      <c r="L199" s="1398"/>
      <c r="M199" s="1398"/>
      <c r="N199" s="1398"/>
      <c r="O199" s="1398"/>
      <c r="P199" s="1398"/>
      <c r="Q199" s="1398"/>
      <c r="R199" s="1398"/>
      <c r="S199" s="1398"/>
      <c r="T199" s="1398"/>
      <c r="U199" s="1398"/>
      <c r="V199" s="1398"/>
      <c r="W199" s="1398"/>
      <c r="X199" s="1398"/>
      <c r="Y199" s="1398"/>
      <c r="Z199" s="1398"/>
    </row>
    <row r="200" spans="1:26" s="1571" customFormat="1">
      <c r="A200" s="1575"/>
      <c r="B200" s="1575"/>
      <c r="J200" s="1398"/>
      <c r="K200" s="1398"/>
      <c r="L200" s="1398"/>
      <c r="M200" s="1398"/>
      <c r="N200" s="1398"/>
      <c r="O200" s="1398"/>
      <c r="P200" s="1398"/>
      <c r="Q200" s="1398"/>
      <c r="R200" s="1398"/>
      <c r="S200" s="1398"/>
      <c r="T200" s="1398"/>
      <c r="U200" s="1398"/>
      <c r="V200" s="1398"/>
      <c r="W200" s="1398"/>
      <c r="X200" s="1398"/>
      <c r="Y200" s="1398"/>
      <c r="Z200" s="1398"/>
    </row>
    <row r="201" spans="1:26" s="1571" customFormat="1">
      <c r="A201" s="1575"/>
      <c r="B201" s="1575"/>
      <c r="J201" s="1398"/>
      <c r="K201" s="1398"/>
      <c r="L201" s="1398"/>
      <c r="M201" s="1398"/>
      <c r="N201" s="1398"/>
      <c r="O201" s="1398"/>
      <c r="P201" s="1398"/>
      <c r="Q201" s="1398"/>
      <c r="R201" s="1398"/>
      <c r="S201" s="1398"/>
      <c r="T201" s="1398"/>
      <c r="U201" s="1398"/>
      <c r="V201" s="1398"/>
      <c r="W201" s="1398"/>
      <c r="X201" s="1398"/>
      <c r="Y201" s="1398"/>
      <c r="Z201" s="1398"/>
    </row>
    <row r="202" spans="1:26" s="1571" customFormat="1">
      <c r="A202" s="1575"/>
      <c r="B202" s="1575"/>
      <c r="J202" s="1398"/>
      <c r="K202" s="1398"/>
      <c r="L202" s="1398"/>
      <c r="M202" s="1398"/>
      <c r="N202" s="1398"/>
      <c r="O202" s="1398"/>
      <c r="P202" s="1398"/>
      <c r="Q202" s="1398"/>
      <c r="R202" s="1398"/>
      <c r="S202" s="1398"/>
      <c r="T202" s="1398"/>
      <c r="U202" s="1398"/>
      <c r="V202" s="1398"/>
      <c r="W202" s="1398"/>
      <c r="X202" s="1398"/>
      <c r="Y202" s="1398"/>
      <c r="Z202" s="1398"/>
    </row>
    <row r="203" spans="1:26" s="1571" customFormat="1">
      <c r="A203" s="1575"/>
      <c r="B203" s="1575"/>
      <c r="J203" s="1398"/>
      <c r="K203" s="1398"/>
      <c r="L203" s="1398"/>
      <c r="M203" s="1398"/>
      <c r="N203" s="1398"/>
      <c r="O203" s="1398"/>
      <c r="P203" s="1398"/>
      <c r="Q203" s="1398"/>
      <c r="R203" s="1398"/>
      <c r="S203" s="1398"/>
      <c r="T203" s="1398"/>
      <c r="U203" s="1398"/>
      <c r="V203" s="1398"/>
      <c r="W203" s="1398"/>
      <c r="X203" s="1398"/>
      <c r="Y203" s="1398"/>
      <c r="Z203" s="1398"/>
    </row>
    <row r="204" spans="1:26" s="1571" customFormat="1">
      <c r="A204" s="1575"/>
      <c r="B204" s="1575"/>
      <c r="J204" s="1398"/>
      <c r="K204" s="1398"/>
      <c r="L204" s="1398"/>
      <c r="M204" s="1398"/>
      <c r="N204" s="1398"/>
      <c r="O204" s="1398"/>
      <c r="P204" s="1398"/>
      <c r="Q204" s="1398"/>
      <c r="R204" s="1398"/>
      <c r="S204" s="1398"/>
      <c r="T204" s="1398"/>
      <c r="U204" s="1398"/>
      <c r="V204" s="1398"/>
      <c r="W204" s="1398"/>
      <c r="X204" s="1398"/>
      <c r="Y204" s="1398"/>
      <c r="Z204" s="1398"/>
    </row>
    <row r="205" spans="1:26" s="1571" customFormat="1">
      <c r="A205" s="1575"/>
      <c r="B205" s="1575"/>
      <c r="J205" s="1398"/>
      <c r="K205" s="1398"/>
      <c r="L205" s="1398"/>
      <c r="M205" s="1398"/>
      <c r="N205" s="1398"/>
      <c r="O205" s="1398"/>
      <c r="P205" s="1398"/>
      <c r="Q205" s="1398"/>
      <c r="R205" s="1398"/>
      <c r="S205" s="1398"/>
      <c r="T205" s="1398"/>
      <c r="U205" s="1398"/>
      <c r="V205" s="1398"/>
      <c r="W205" s="1398"/>
      <c r="X205" s="1398"/>
      <c r="Y205" s="1398"/>
      <c r="Z205" s="1398"/>
    </row>
    <row r="206" spans="1:26" s="1571" customFormat="1">
      <c r="A206" s="1575"/>
      <c r="B206" s="1575"/>
      <c r="J206" s="1398"/>
      <c r="K206" s="1398"/>
      <c r="L206" s="1398"/>
      <c r="M206" s="1398"/>
      <c r="N206" s="1398"/>
      <c r="O206" s="1398"/>
      <c r="P206" s="1398"/>
      <c r="Q206" s="1398"/>
      <c r="R206" s="1398"/>
      <c r="S206" s="1398"/>
      <c r="T206" s="1398"/>
      <c r="U206" s="1398"/>
      <c r="V206" s="1398"/>
      <c r="W206" s="1398"/>
      <c r="X206" s="1398"/>
      <c r="Y206" s="1398"/>
      <c r="Z206" s="1398"/>
    </row>
    <row r="207" spans="1:26" s="1571" customFormat="1">
      <c r="A207" s="1575"/>
      <c r="B207" s="1575"/>
      <c r="J207" s="1398"/>
      <c r="K207" s="1398"/>
      <c r="L207" s="1398"/>
      <c r="M207" s="1398"/>
      <c r="N207" s="1398"/>
      <c r="O207" s="1398"/>
      <c r="P207" s="1398"/>
      <c r="Q207" s="1398"/>
      <c r="R207" s="1398"/>
      <c r="S207" s="1398"/>
      <c r="T207" s="1398"/>
      <c r="U207" s="1398"/>
      <c r="V207" s="1398"/>
      <c r="W207" s="1398"/>
      <c r="X207" s="1398"/>
      <c r="Y207" s="1398"/>
      <c r="Z207" s="1398"/>
    </row>
    <row r="208" spans="1:26" s="1571" customFormat="1">
      <c r="A208" s="1575"/>
      <c r="B208" s="1575"/>
      <c r="J208" s="1398"/>
      <c r="K208" s="1398"/>
      <c r="L208" s="1398"/>
      <c r="M208" s="1398"/>
      <c r="N208" s="1398"/>
      <c r="O208" s="1398"/>
      <c r="P208" s="1398"/>
      <c r="Q208" s="1398"/>
      <c r="R208" s="1398"/>
      <c r="S208" s="1398"/>
      <c r="T208" s="1398"/>
      <c r="U208" s="1398"/>
      <c r="V208" s="1398"/>
      <c r="W208" s="1398"/>
      <c r="X208" s="1398"/>
      <c r="Y208" s="1398"/>
      <c r="Z208" s="1398"/>
    </row>
    <row r="209" spans="1:26" s="1571" customFormat="1">
      <c r="A209" s="1575"/>
      <c r="B209" s="1575"/>
      <c r="J209" s="1398"/>
      <c r="K209" s="1398"/>
      <c r="L209" s="1398"/>
      <c r="M209" s="1398"/>
      <c r="N209" s="1398"/>
      <c r="O209" s="1398"/>
      <c r="P209" s="1398"/>
      <c r="Q209" s="1398"/>
      <c r="R209" s="1398"/>
      <c r="S209" s="1398"/>
      <c r="T209" s="1398"/>
      <c r="U209" s="1398"/>
      <c r="V209" s="1398"/>
      <c r="W209" s="1398"/>
      <c r="X209" s="1398"/>
      <c r="Y209" s="1398"/>
      <c r="Z209" s="1398"/>
    </row>
    <row r="210" spans="1:26" s="1571" customFormat="1">
      <c r="A210" s="1575"/>
      <c r="B210" s="1575"/>
      <c r="J210" s="1398"/>
      <c r="K210" s="1398"/>
      <c r="L210" s="1398"/>
      <c r="M210" s="1398"/>
      <c r="N210" s="1398"/>
      <c r="O210" s="1398"/>
      <c r="P210" s="1398"/>
      <c r="Q210" s="1398"/>
      <c r="R210" s="1398"/>
      <c r="S210" s="1398"/>
      <c r="T210" s="1398"/>
      <c r="U210" s="1398"/>
      <c r="V210" s="1398"/>
      <c r="W210" s="1398"/>
      <c r="X210" s="1398"/>
      <c r="Y210" s="1398"/>
      <c r="Z210" s="1398"/>
    </row>
    <row r="211" spans="1:26" s="1571" customFormat="1">
      <c r="A211" s="1575"/>
      <c r="B211" s="1575"/>
      <c r="J211" s="1398"/>
      <c r="K211" s="1398"/>
      <c r="L211" s="1398"/>
      <c r="M211" s="1398"/>
      <c r="N211" s="1398"/>
      <c r="O211" s="1398"/>
      <c r="P211" s="1398"/>
      <c r="Q211" s="1398"/>
      <c r="R211" s="1398"/>
      <c r="S211" s="1398"/>
      <c r="T211" s="1398"/>
      <c r="U211" s="1398"/>
      <c r="V211" s="1398"/>
      <c r="W211" s="1398"/>
      <c r="X211" s="1398"/>
      <c r="Y211" s="1398"/>
      <c r="Z211" s="1398"/>
    </row>
    <row r="212" spans="1:26" s="1571" customFormat="1">
      <c r="A212" s="1575"/>
      <c r="B212" s="1575"/>
      <c r="J212" s="1398"/>
      <c r="K212" s="1398"/>
      <c r="L212" s="1398"/>
      <c r="M212" s="1398"/>
      <c r="N212" s="1398"/>
      <c r="O212" s="1398"/>
      <c r="P212" s="1398"/>
      <c r="Q212" s="1398"/>
      <c r="R212" s="1398"/>
      <c r="S212" s="1398"/>
      <c r="T212" s="1398"/>
      <c r="U212" s="1398"/>
      <c r="V212" s="1398"/>
      <c r="W212" s="1398"/>
      <c r="X212" s="1398"/>
      <c r="Y212" s="1398"/>
      <c r="Z212" s="1398"/>
    </row>
    <row r="213" spans="1:26" s="1571" customFormat="1">
      <c r="A213" s="1575"/>
      <c r="B213" s="1575"/>
      <c r="J213" s="1398"/>
      <c r="K213" s="1398"/>
      <c r="L213" s="1398"/>
      <c r="M213" s="1398"/>
      <c r="N213" s="1398"/>
      <c r="O213" s="1398"/>
      <c r="P213" s="1398"/>
      <c r="Q213" s="1398"/>
      <c r="R213" s="1398"/>
      <c r="S213" s="1398"/>
      <c r="T213" s="1398"/>
      <c r="U213" s="1398"/>
      <c r="V213" s="1398"/>
      <c r="W213" s="1398"/>
      <c r="X213" s="1398"/>
      <c r="Y213" s="1398"/>
      <c r="Z213" s="1398"/>
    </row>
    <row r="214" spans="1:26" s="1571" customFormat="1">
      <c r="A214" s="1575"/>
      <c r="B214" s="1575"/>
      <c r="J214" s="1398"/>
      <c r="K214" s="1398"/>
      <c r="L214" s="1398"/>
      <c r="M214" s="1398"/>
      <c r="N214" s="1398"/>
      <c r="O214" s="1398"/>
      <c r="P214" s="1398"/>
      <c r="Q214" s="1398"/>
      <c r="R214" s="1398"/>
      <c r="S214" s="1398"/>
      <c r="T214" s="1398"/>
      <c r="U214" s="1398"/>
      <c r="V214" s="1398"/>
      <c r="W214" s="1398"/>
      <c r="X214" s="1398"/>
      <c r="Y214" s="1398"/>
      <c r="Z214" s="1398"/>
    </row>
    <row r="215" spans="1:26" s="1571" customFormat="1">
      <c r="A215" s="1575"/>
      <c r="B215" s="1575"/>
      <c r="J215" s="1398"/>
      <c r="K215" s="1398"/>
      <c r="L215" s="1398"/>
      <c r="M215" s="1398"/>
      <c r="N215" s="1398"/>
      <c r="O215" s="1398"/>
      <c r="P215" s="1398"/>
      <c r="Q215" s="1398"/>
      <c r="R215" s="1398"/>
      <c r="S215" s="1398"/>
      <c r="T215" s="1398"/>
      <c r="U215" s="1398"/>
      <c r="V215" s="1398"/>
      <c r="W215" s="1398"/>
      <c r="X215" s="1398"/>
      <c r="Y215" s="1398"/>
      <c r="Z215" s="1398"/>
    </row>
    <row r="216" spans="1:26" s="1571" customFormat="1">
      <c r="A216" s="1575"/>
      <c r="B216" s="1575"/>
      <c r="J216" s="1398"/>
      <c r="K216" s="1398"/>
      <c r="L216" s="1398"/>
      <c r="M216" s="1398"/>
      <c r="N216" s="1398"/>
      <c r="O216" s="1398"/>
      <c r="P216" s="1398"/>
      <c r="Q216" s="1398"/>
      <c r="R216" s="1398"/>
      <c r="S216" s="1398"/>
      <c r="T216" s="1398"/>
      <c r="U216" s="1398"/>
      <c r="V216" s="1398"/>
      <c r="W216" s="1398"/>
      <c r="X216" s="1398"/>
      <c r="Y216" s="1398"/>
      <c r="Z216" s="1398"/>
    </row>
    <row r="217" spans="1:26" s="1571" customFormat="1">
      <c r="A217" s="1575"/>
      <c r="B217" s="1575"/>
      <c r="J217" s="1398"/>
      <c r="K217" s="1398"/>
      <c r="L217" s="1398"/>
      <c r="M217" s="1398"/>
      <c r="N217" s="1398"/>
      <c r="O217" s="1398"/>
      <c r="P217" s="1398"/>
      <c r="Q217" s="1398"/>
      <c r="R217" s="1398"/>
      <c r="S217" s="1398"/>
      <c r="T217" s="1398"/>
      <c r="U217" s="1398"/>
      <c r="V217" s="1398"/>
      <c r="W217" s="1398"/>
      <c r="X217" s="1398"/>
      <c r="Y217" s="1398"/>
      <c r="Z217" s="1398"/>
    </row>
    <row r="218" spans="1:26" s="1571" customFormat="1">
      <c r="A218" s="1575"/>
      <c r="B218" s="1575"/>
      <c r="J218" s="1398"/>
      <c r="K218" s="1398"/>
      <c r="L218" s="1398"/>
      <c r="M218" s="1398"/>
      <c r="N218" s="1398"/>
      <c r="O218" s="1398"/>
      <c r="P218" s="1398"/>
      <c r="Q218" s="1398"/>
      <c r="R218" s="1398"/>
      <c r="S218" s="1398"/>
      <c r="T218" s="1398"/>
      <c r="U218" s="1398"/>
      <c r="V218" s="1398"/>
      <c r="W218" s="1398"/>
      <c r="X218" s="1398"/>
      <c r="Y218" s="1398"/>
      <c r="Z218" s="1398"/>
    </row>
    <row r="219" spans="1:26" s="1571" customFormat="1">
      <c r="A219" s="1575"/>
      <c r="B219" s="1575"/>
      <c r="J219" s="1398"/>
      <c r="K219" s="1398"/>
      <c r="L219" s="1398"/>
      <c r="M219" s="1398"/>
      <c r="N219" s="1398"/>
      <c r="O219" s="1398"/>
      <c r="P219" s="1398"/>
      <c r="Q219" s="1398"/>
      <c r="R219" s="1398"/>
      <c r="S219" s="1398"/>
      <c r="T219" s="1398"/>
      <c r="U219" s="1398"/>
      <c r="V219" s="1398"/>
      <c r="W219" s="1398"/>
      <c r="X219" s="1398"/>
      <c r="Y219" s="1398"/>
      <c r="Z219" s="1398"/>
    </row>
    <row r="220" spans="1:26" s="1571" customFormat="1">
      <c r="A220" s="1575"/>
      <c r="B220" s="1575"/>
      <c r="J220" s="1398"/>
      <c r="K220" s="1398"/>
      <c r="L220" s="1398"/>
      <c r="M220" s="1398"/>
      <c r="N220" s="1398"/>
      <c r="O220" s="1398"/>
      <c r="P220" s="1398"/>
      <c r="Q220" s="1398"/>
      <c r="R220" s="1398"/>
      <c r="S220" s="1398"/>
      <c r="T220" s="1398"/>
      <c r="U220" s="1398"/>
      <c r="V220" s="1398"/>
      <c r="W220" s="1398"/>
      <c r="X220" s="1398"/>
      <c r="Y220" s="1398"/>
      <c r="Z220" s="1398"/>
    </row>
    <row r="221" spans="1:26" s="1571" customFormat="1">
      <c r="A221" s="1575"/>
      <c r="B221" s="1575"/>
      <c r="J221" s="1398"/>
      <c r="K221" s="1398"/>
      <c r="L221" s="1398"/>
      <c r="M221" s="1398"/>
      <c r="N221" s="1398"/>
      <c r="O221" s="1398"/>
      <c r="P221" s="1398"/>
      <c r="Q221" s="1398"/>
      <c r="R221" s="1398"/>
      <c r="S221" s="1398"/>
      <c r="T221" s="1398"/>
      <c r="U221" s="1398"/>
      <c r="V221" s="1398"/>
      <c r="W221" s="1398"/>
      <c r="X221" s="1398"/>
      <c r="Y221" s="1398"/>
      <c r="Z221" s="1398"/>
    </row>
    <row r="222" spans="1:26" s="1571" customFormat="1">
      <c r="A222" s="1575"/>
      <c r="B222" s="1575"/>
      <c r="J222" s="1398"/>
      <c r="K222" s="1398"/>
      <c r="L222" s="1398"/>
      <c r="M222" s="1398"/>
      <c r="N222" s="1398"/>
      <c r="O222" s="1398"/>
      <c r="P222" s="1398"/>
      <c r="Q222" s="1398"/>
      <c r="R222" s="1398"/>
      <c r="S222" s="1398"/>
      <c r="T222" s="1398"/>
      <c r="U222" s="1398"/>
      <c r="V222" s="1398"/>
      <c r="W222" s="1398"/>
      <c r="X222" s="1398"/>
      <c r="Y222" s="1398"/>
      <c r="Z222" s="1398"/>
    </row>
    <row r="223" spans="1:26" s="1571" customFormat="1">
      <c r="A223" s="1575"/>
      <c r="B223" s="1575"/>
      <c r="J223" s="1398"/>
      <c r="K223" s="1398"/>
      <c r="L223" s="1398"/>
      <c r="M223" s="1398"/>
      <c r="N223" s="1398"/>
      <c r="O223" s="1398"/>
      <c r="P223" s="1398"/>
      <c r="Q223" s="1398"/>
      <c r="R223" s="1398"/>
      <c r="S223" s="1398"/>
      <c r="T223" s="1398"/>
      <c r="U223" s="1398"/>
      <c r="V223" s="1398"/>
      <c r="W223" s="1398"/>
      <c r="X223" s="1398"/>
      <c r="Y223" s="1398"/>
      <c r="Z223" s="1398"/>
    </row>
    <row r="224" spans="1:26" s="1571" customFormat="1">
      <c r="A224" s="1575"/>
      <c r="B224" s="1575"/>
      <c r="J224" s="1398"/>
      <c r="K224" s="1398"/>
      <c r="L224" s="1398"/>
      <c r="M224" s="1398"/>
      <c r="N224" s="1398"/>
      <c r="O224" s="1398"/>
      <c r="P224" s="1398"/>
      <c r="Q224" s="1398"/>
      <c r="R224" s="1398"/>
      <c r="S224" s="1398"/>
      <c r="T224" s="1398"/>
      <c r="U224" s="1398"/>
      <c r="V224" s="1398"/>
      <c r="W224" s="1398"/>
      <c r="X224" s="1398"/>
      <c r="Y224" s="1398"/>
      <c r="Z224" s="1398"/>
    </row>
    <row r="225" spans="1:26" s="1571" customFormat="1">
      <c r="A225" s="1575"/>
      <c r="B225" s="1575"/>
      <c r="J225" s="1398"/>
      <c r="K225" s="1398"/>
      <c r="L225" s="1398"/>
      <c r="M225" s="1398"/>
      <c r="N225" s="1398"/>
      <c r="O225" s="1398"/>
      <c r="P225" s="1398"/>
      <c r="Q225" s="1398"/>
      <c r="R225" s="1398"/>
      <c r="S225" s="1398"/>
      <c r="T225" s="1398"/>
      <c r="U225" s="1398"/>
      <c r="V225" s="1398"/>
      <c r="W225" s="1398"/>
      <c r="X225" s="1398"/>
      <c r="Y225" s="1398"/>
      <c r="Z225" s="1398"/>
    </row>
    <row r="226" spans="1:26" s="1571" customFormat="1">
      <c r="A226" s="1575"/>
      <c r="B226" s="1575"/>
      <c r="J226" s="1398"/>
      <c r="K226" s="1398"/>
      <c r="L226" s="1398"/>
      <c r="M226" s="1398"/>
      <c r="N226" s="1398"/>
      <c r="O226" s="1398"/>
      <c r="P226" s="1398"/>
      <c r="Q226" s="1398"/>
      <c r="R226" s="1398"/>
      <c r="S226" s="1398"/>
      <c r="T226" s="1398"/>
      <c r="U226" s="1398"/>
      <c r="V226" s="1398"/>
      <c r="W226" s="1398"/>
      <c r="X226" s="1398"/>
      <c r="Y226" s="1398"/>
      <c r="Z226" s="1398"/>
    </row>
    <row r="227" spans="1:26" s="1571" customFormat="1">
      <c r="A227" s="1575"/>
      <c r="B227" s="1575"/>
      <c r="J227" s="1398"/>
      <c r="K227" s="1398"/>
      <c r="L227" s="1398"/>
      <c r="M227" s="1398"/>
      <c r="N227" s="1398"/>
      <c r="O227" s="1398"/>
      <c r="P227" s="1398"/>
      <c r="Q227" s="1398"/>
      <c r="R227" s="1398"/>
      <c r="S227" s="1398"/>
      <c r="T227" s="1398"/>
      <c r="U227" s="1398"/>
      <c r="V227" s="1398"/>
      <c r="W227" s="1398"/>
      <c r="X227" s="1398"/>
      <c r="Y227" s="1398"/>
      <c r="Z227" s="1398"/>
    </row>
    <row r="228" spans="1:26" s="1571" customFormat="1">
      <c r="A228" s="1575"/>
      <c r="B228" s="1575"/>
      <c r="J228" s="1398"/>
      <c r="K228" s="1398"/>
      <c r="L228" s="1398"/>
      <c r="M228" s="1398"/>
      <c r="N228" s="1398"/>
      <c r="O228" s="1398"/>
      <c r="P228" s="1398"/>
      <c r="Q228" s="1398"/>
      <c r="R228" s="1398"/>
      <c r="S228" s="1398"/>
      <c r="T228" s="1398"/>
      <c r="U228" s="1398"/>
      <c r="V228" s="1398"/>
      <c r="W228" s="1398"/>
      <c r="X228" s="1398"/>
      <c r="Y228" s="1398"/>
      <c r="Z228" s="1398"/>
    </row>
    <row r="229" spans="1:26" s="1571" customFormat="1">
      <c r="A229" s="1575"/>
      <c r="B229" s="1575"/>
      <c r="J229" s="1398"/>
      <c r="K229" s="1398"/>
      <c r="L229" s="1398"/>
      <c r="M229" s="1398"/>
      <c r="N229" s="1398"/>
      <c r="O229" s="1398"/>
      <c r="P229" s="1398"/>
      <c r="Q229" s="1398"/>
      <c r="R229" s="1398"/>
      <c r="S229" s="1398"/>
      <c r="T229" s="1398"/>
      <c r="U229" s="1398"/>
      <c r="V229" s="1398"/>
      <c r="W229" s="1398"/>
      <c r="X229" s="1398"/>
      <c r="Y229" s="1398"/>
      <c r="Z229" s="1398"/>
    </row>
    <row r="230" spans="1:26" s="1571" customFormat="1">
      <c r="A230" s="1575"/>
      <c r="B230" s="1575"/>
      <c r="J230" s="1398"/>
      <c r="K230" s="1398"/>
      <c r="L230" s="1398"/>
      <c r="M230" s="1398"/>
      <c r="N230" s="1398"/>
      <c r="O230" s="1398"/>
      <c r="P230" s="1398"/>
      <c r="Q230" s="1398"/>
      <c r="R230" s="1398"/>
      <c r="S230" s="1398"/>
      <c r="T230" s="1398"/>
      <c r="U230" s="1398"/>
      <c r="V230" s="1398"/>
      <c r="W230" s="1398"/>
      <c r="X230" s="1398"/>
      <c r="Y230" s="1398"/>
      <c r="Z230" s="1398"/>
    </row>
    <row r="231" spans="1:26" s="1571" customFormat="1">
      <c r="A231" s="1575"/>
      <c r="B231" s="1575"/>
      <c r="J231" s="1398"/>
      <c r="K231" s="1398"/>
      <c r="L231" s="1398"/>
      <c r="M231" s="1398"/>
      <c r="N231" s="1398"/>
      <c r="O231" s="1398"/>
      <c r="P231" s="1398"/>
      <c r="Q231" s="1398"/>
      <c r="R231" s="1398"/>
      <c r="S231" s="1398"/>
      <c r="T231" s="1398"/>
      <c r="U231" s="1398"/>
      <c r="V231" s="1398"/>
      <c r="W231" s="1398"/>
      <c r="X231" s="1398"/>
      <c r="Y231" s="1398"/>
      <c r="Z231" s="1398"/>
    </row>
    <row r="232" spans="1:26" s="1571" customFormat="1">
      <c r="A232" s="1575"/>
      <c r="B232" s="1575"/>
      <c r="J232" s="1398"/>
      <c r="K232" s="1398"/>
      <c r="L232" s="1398"/>
      <c r="M232" s="1398"/>
      <c r="N232" s="1398"/>
      <c r="O232" s="1398"/>
      <c r="P232" s="1398"/>
      <c r="Q232" s="1398"/>
      <c r="R232" s="1398"/>
      <c r="S232" s="1398"/>
      <c r="T232" s="1398"/>
      <c r="U232" s="1398"/>
      <c r="V232" s="1398"/>
      <c r="W232" s="1398"/>
      <c r="X232" s="1398"/>
      <c r="Y232" s="1398"/>
      <c r="Z232" s="1398"/>
    </row>
    <row r="233" spans="1:26" s="1571" customFormat="1">
      <c r="A233" s="1575"/>
      <c r="B233" s="1575"/>
      <c r="J233" s="1398"/>
      <c r="K233" s="1398"/>
      <c r="L233" s="1398"/>
      <c r="M233" s="1398"/>
      <c r="N233" s="1398"/>
      <c r="O233" s="1398"/>
      <c r="P233" s="1398"/>
      <c r="Q233" s="1398"/>
      <c r="R233" s="1398"/>
      <c r="S233" s="1398"/>
      <c r="T233" s="1398"/>
      <c r="U233" s="1398"/>
      <c r="V233" s="1398"/>
      <c r="W233" s="1398"/>
      <c r="X233" s="1398"/>
      <c r="Y233" s="1398"/>
      <c r="Z233" s="1398"/>
    </row>
    <row r="234" spans="1:26" s="1571" customFormat="1">
      <c r="A234" s="1575"/>
      <c r="B234" s="1575"/>
      <c r="J234" s="1398"/>
      <c r="K234" s="1398"/>
      <c r="L234" s="1398"/>
      <c r="M234" s="1398"/>
      <c r="N234" s="1398"/>
      <c r="O234" s="1398"/>
      <c r="P234" s="1398"/>
      <c r="Q234" s="1398"/>
      <c r="R234" s="1398"/>
      <c r="S234" s="1398"/>
      <c r="T234" s="1398"/>
      <c r="U234" s="1398"/>
      <c r="V234" s="1398"/>
      <c r="W234" s="1398"/>
      <c r="X234" s="1398"/>
      <c r="Y234" s="1398"/>
      <c r="Z234" s="1398"/>
    </row>
    <row r="235" spans="1:26" s="1571" customFormat="1">
      <c r="A235" s="1575"/>
      <c r="B235" s="1575"/>
      <c r="J235" s="1398"/>
      <c r="K235" s="1398"/>
      <c r="L235" s="1398"/>
      <c r="M235" s="1398"/>
      <c r="N235" s="1398"/>
      <c r="O235" s="1398"/>
      <c r="P235" s="1398"/>
      <c r="Q235" s="1398"/>
      <c r="R235" s="1398"/>
      <c r="S235" s="1398"/>
      <c r="T235" s="1398"/>
      <c r="U235" s="1398"/>
      <c r="V235" s="1398"/>
      <c r="W235" s="1398"/>
      <c r="X235" s="1398"/>
      <c r="Y235" s="1398"/>
      <c r="Z235" s="1398"/>
    </row>
    <row r="236" spans="1:26" s="1571" customFormat="1">
      <c r="A236" s="1575"/>
      <c r="B236" s="1575"/>
      <c r="J236" s="1398"/>
      <c r="K236" s="1398"/>
      <c r="L236" s="1398"/>
      <c r="M236" s="1398"/>
      <c r="N236" s="1398"/>
      <c r="O236" s="1398"/>
      <c r="P236" s="1398"/>
      <c r="Q236" s="1398"/>
      <c r="R236" s="1398"/>
      <c r="S236" s="1398"/>
      <c r="T236" s="1398"/>
      <c r="U236" s="1398"/>
      <c r="V236" s="1398"/>
      <c r="W236" s="1398"/>
      <c r="X236" s="1398"/>
      <c r="Y236" s="1398"/>
      <c r="Z236" s="1398"/>
    </row>
    <row r="237" spans="1:26" s="1571" customFormat="1">
      <c r="A237" s="1575"/>
      <c r="B237" s="1575"/>
      <c r="J237" s="1398"/>
      <c r="K237" s="1398"/>
      <c r="L237" s="1398"/>
      <c r="M237" s="1398"/>
      <c r="N237" s="1398"/>
      <c r="O237" s="1398"/>
      <c r="P237" s="1398"/>
      <c r="Q237" s="1398"/>
      <c r="R237" s="1398"/>
      <c r="S237" s="1398"/>
      <c r="T237" s="1398"/>
      <c r="U237" s="1398"/>
      <c r="V237" s="1398"/>
      <c r="W237" s="1398"/>
      <c r="X237" s="1398"/>
      <c r="Y237" s="1398"/>
      <c r="Z237" s="1398"/>
    </row>
    <row r="238" spans="1:26" s="1571" customFormat="1">
      <c r="A238" s="1575"/>
      <c r="B238" s="1575"/>
      <c r="J238" s="1398"/>
      <c r="K238" s="1398"/>
      <c r="L238" s="1398"/>
      <c r="M238" s="1398"/>
      <c r="N238" s="1398"/>
      <c r="O238" s="1398"/>
      <c r="P238" s="1398"/>
      <c r="Q238" s="1398"/>
      <c r="R238" s="1398"/>
      <c r="S238" s="1398"/>
      <c r="T238" s="1398"/>
      <c r="U238" s="1398"/>
      <c r="V238" s="1398"/>
      <c r="W238" s="1398"/>
      <c r="X238" s="1398"/>
      <c r="Y238" s="1398"/>
      <c r="Z238" s="1398"/>
    </row>
    <row r="239" spans="1:26" s="1571" customFormat="1">
      <c r="A239" s="1575"/>
      <c r="B239" s="1575"/>
      <c r="J239" s="1398"/>
      <c r="K239" s="1398"/>
      <c r="L239" s="1398"/>
      <c r="M239" s="1398"/>
      <c r="N239" s="1398"/>
      <c r="O239" s="1398"/>
      <c r="P239" s="1398"/>
      <c r="Q239" s="1398"/>
      <c r="R239" s="1398"/>
      <c r="S239" s="1398"/>
      <c r="T239" s="1398"/>
      <c r="U239" s="1398"/>
      <c r="V239" s="1398"/>
      <c r="W239" s="1398"/>
      <c r="X239" s="1398"/>
      <c r="Y239" s="1398"/>
      <c r="Z239" s="1398"/>
    </row>
    <row r="240" spans="1:26" s="1571" customFormat="1">
      <c r="A240" s="1575"/>
      <c r="B240" s="1575"/>
      <c r="J240" s="1398"/>
      <c r="K240" s="1398"/>
      <c r="L240" s="1398"/>
      <c r="M240" s="1398"/>
      <c r="N240" s="1398"/>
      <c r="O240" s="1398"/>
      <c r="P240" s="1398"/>
      <c r="Q240" s="1398"/>
      <c r="R240" s="1398"/>
      <c r="S240" s="1398"/>
      <c r="T240" s="1398"/>
      <c r="U240" s="1398"/>
      <c r="V240" s="1398"/>
      <c r="W240" s="1398"/>
      <c r="X240" s="1398"/>
      <c r="Y240" s="1398"/>
      <c r="Z240" s="1398"/>
    </row>
    <row r="241" spans="1:26" s="1571" customFormat="1">
      <c r="A241" s="1575"/>
      <c r="B241" s="1575"/>
      <c r="J241" s="1398"/>
      <c r="K241" s="1398"/>
      <c r="L241" s="1398"/>
      <c r="M241" s="1398"/>
      <c r="N241" s="1398"/>
      <c r="O241" s="1398"/>
      <c r="P241" s="1398"/>
      <c r="Q241" s="1398"/>
      <c r="R241" s="1398"/>
      <c r="S241" s="1398"/>
      <c r="T241" s="1398"/>
      <c r="U241" s="1398"/>
      <c r="V241" s="1398"/>
      <c r="W241" s="1398"/>
      <c r="X241" s="1398"/>
      <c r="Y241" s="1398"/>
      <c r="Z241" s="1398"/>
    </row>
    <row r="242" spans="1:26" s="1571" customFormat="1">
      <c r="A242" s="1575"/>
      <c r="B242" s="1575"/>
      <c r="J242" s="1398"/>
      <c r="K242" s="1398"/>
      <c r="L242" s="1398"/>
      <c r="M242" s="1398"/>
      <c r="N242" s="1398"/>
      <c r="O242" s="1398"/>
      <c r="P242" s="1398"/>
      <c r="Q242" s="1398"/>
      <c r="R242" s="1398"/>
      <c r="S242" s="1398"/>
      <c r="T242" s="1398"/>
      <c r="U242" s="1398"/>
      <c r="V242" s="1398"/>
      <c r="W242" s="1398"/>
      <c r="X242" s="1398"/>
      <c r="Y242" s="1398"/>
      <c r="Z242" s="1398"/>
    </row>
    <row r="243" spans="1:26" s="1571" customFormat="1">
      <c r="A243" s="1575"/>
      <c r="B243" s="1575"/>
      <c r="J243" s="1398"/>
      <c r="K243" s="1398"/>
      <c r="L243" s="1398"/>
      <c r="M243" s="1398"/>
      <c r="N243" s="1398"/>
      <c r="O243" s="1398"/>
      <c r="P243" s="1398"/>
      <c r="Q243" s="1398"/>
      <c r="R243" s="1398"/>
      <c r="S243" s="1398"/>
      <c r="T243" s="1398"/>
      <c r="U243" s="1398"/>
      <c r="V243" s="1398"/>
      <c r="W243" s="1398"/>
      <c r="X243" s="1398"/>
      <c r="Y243" s="1398"/>
      <c r="Z243" s="1398"/>
    </row>
    <row r="244" spans="1:26" s="1571" customFormat="1">
      <c r="A244" s="1575"/>
      <c r="B244" s="1575"/>
      <c r="J244" s="1398"/>
      <c r="K244" s="1398"/>
      <c r="L244" s="1398"/>
      <c r="M244" s="1398"/>
      <c r="N244" s="1398"/>
      <c r="O244" s="1398"/>
      <c r="P244" s="1398"/>
      <c r="Q244" s="1398"/>
      <c r="R244" s="1398"/>
      <c r="S244" s="1398"/>
      <c r="T244" s="1398"/>
      <c r="U244" s="1398"/>
      <c r="V244" s="1398"/>
      <c r="W244" s="1398"/>
      <c r="X244" s="1398"/>
      <c r="Y244" s="1398"/>
      <c r="Z244" s="1398"/>
    </row>
    <row r="245" spans="1:26" s="1571" customFormat="1">
      <c r="A245" s="1575"/>
      <c r="B245" s="1575"/>
      <c r="J245" s="1398"/>
      <c r="K245" s="1398"/>
      <c r="L245" s="1398"/>
      <c r="M245" s="1398"/>
      <c r="N245" s="1398"/>
      <c r="O245" s="1398"/>
      <c r="P245" s="1398"/>
      <c r="Q245" s="1398"/>
      <c r="R245" s="1398"/>
      <c r="S245" s="1398"/>
      <c r="T245" s="1398"/>
      <c r="U245" s="1398"/>
      <c r="V245" s="1398"/>
      <c r="W245" s="1398"/>
      <c r="X245" s="1398"/>
      <c r="Y245" s="1398"/>
      <c r="Z245" s="1398"/>
    </row>
    <row r="246" spans="1:26" s="1571" customFormat="1">
      <c r="A246" s="1575"/>
      <c r="B246" s="1575"/>
      <c r="J246" s="1398"/>
      <c r="K246" s="1398"/>
      <c r="L246" s="1398"/>
      <c r="M246" s="1398"/>
      <c r="N246" s="1398"/>
      <c r="O246" s="1398"/>
      <c r="P246" s="1398"/>
      <c r="Q246" s="1398"/>
      <c r="R246" s="1398"/>
      <c r="S246" s="1398"/>
      <c r="T246" s="1398"/>
      <c r="U246" s="1398"/>
      <c r="V246" s="1398"/>
      <c r="W246" s="1398"/>
      <c r="X246" s="1398"/>
      <c r="Y246" s="1398"/>
      <c r="Z246" s="1398"/>
    </row>
    <row r="247" spans="1:26" s="1571" customFormat="1">
      <c r="A247" s="1575"/>
      <c r="B247" s="1575"/>
      <c r="J247" s="1398"/>
      <c r="K247" s="1398"/>
      <c r="L247" s="1398"/>
      <c r="M247" s="1398"/>
      <c r="N247" s="1398"/>
      <c r="O247" s="1398"/>
      <c r="P247" s="1398"/>
      <c r="Q247" s="1398"/>
      <c r="R247" s="1398"/>
      <c r="S247" s="1398"/>
      <c r="T247" s="1398"/>
      <c r="U247" s="1398"/>
      <c r="V247" s="1398"/>
      <c r="W247" s="1398"/>
      <c r="X247" s="1398"/>
      <c r="Y247" s="1398"/>
      <c r="Z247" s="1398"/>
    </row>
    <row r="248" spans="1:26" s="1571" customFormat="1">
      <c r="A248" s="1575"/>
      <c r="B248" s="1575"/>
      <c r="J248" s="1398"/>
      <c r="K248" s="1398"/>
      <c r="L248" s="1398"/>
      <c r="M248" s="1398"/>
      <c r="N248" s="1398"/>
      <c r="O248" s="1398"/>
      <c r="P248" s="1398"/>
      <c r="Q248" s="1398"/>
      <c r="R248" s="1398"/>
      <c r="S248" s="1398"/>
      <c r="T248" s="1398"/>
      <c r="U248" s="1398"/>
      <c r="V248" s="1398"/>
      <c r="W248" s="1398"/>
      <c r="X248" s="1398"/>
      <c r="Y248" s="1398"/>
      <c r="Z248" s="1398"/>
    </row>
    <row r="249" spans="1:26" s="1571" customFormat="1">
      <c r="A249" s="1575"/>
      <c r="B249" s="1575"/>
      <c r="J249" s="1398"/>
      <c r="K249" s="1398"/>
      <c r="L249" s="1398"/>
      <c r="M249" s="1398"/>
      <c r="N249" s="1398"/>
      <c r="O249" s="1398"/>
      <c r="P249" s="1398"/>
      <c r="Q249" s="1398"/>
      <c r="R249" s="1398"/>
      <c r="S249" s="1398"/>
      <c r="T249" s="1398"/>
      <c r="U249" s="1398"/>
      <c r="V249" s="1398"/>
      <c r="W249" s="1398"/>
      <c r="X249" s="1398"/>
      <c r="Y249" s="1398"/>
      <c r="Z249" s="1398"/>
    </row>
    <row r="250" spans="1:26" s="1571" customFormat="1">
      <c r="A250" s="1575"/>
      <c r="B250" s="1575"/>
      <c r="J250" s="1398"/>
      <c r="K250" s="1398"/>
      <c r="L250" s="1398"/>
      <c r="M250" s="1398"/>
      <c r="N250" s="1398"/>
      <c r="O250" s="1398"/>
      <c r="P250" s="1398"/>
      <c r="Q250" s="1398"/>
      <c r="R250" s="1398"/>
      <c r="S250" s="1398"/>
      <c r="T250" s="1398"/>
      <c r="U250" s="1398"/>
      <c r="V250" s="1398"/>
      <c r="W250" s="1398"/>
      <c r="X250" s="1398"/>
      <c r="Y250" s="1398"/>
      <c r="Z250" s="1398"/>
    </row>
    <row r="251" spans="1:26" s="1571" customFormat="1">
      <c r="A251" s="1575"/>
      <c r="B251" s="1575"/>
      <c r="J251" s="1398"/>
      <c r="K251" s="1398"/>
      <c r="L251" s="1398"/>
      <c r="M251" s="1398"/>
      <c r="N251" s="1398"/>
      <c r="O251" s="1398"/>
      <c r="P251" s="1398"/>
      <c r="Q251" s="1398"/>
      <c r="R251" s="1398"/>
      <c r="S251" s="1398"/>
      <c r="T251" s="1398"/>
      <c r="U251" s="1398"/>
      <c r="V251" s="1398"/>
      <c r="W251" s="1398"/>
      <c r="X251" s="1398"/>
      <c r="Y251" s="1398"/>
      <c r="Z251" s="1398"/>
    </row>
    <row r="252" spans="1:26" s="1571" customFormat="1">
      <c r="A252" s="1575"/>
      <c r="B252" s="1575"/>
      <c r="J252" s="1398"/>
      <c r="K252" s="1398"/>
      <c r="L252" s="1398"/>
      <c r="M252" s="1398"/>
      <c r="N252" s="1398"/>
      <c r="O252" s="1398"/>
      <c r="P252" s="1398"/>
      <c r="Q252" s="1398"/>
      <c r="R252" s="1398"/>
      <c r="S252" s="1398"/>
      <c r="T252" s="1398"/>
      <c r="U252" s="1398"/>
      <c r="V252" s="1398"/>
      <c r="W252" s="1398"/>
      <c r="X252" s="1398"/>
      <c r="Y252" s="1398"/>
      <c r="Z252" s="1398"/>
    </row>
    <row r="253" spans="1:26" s="1571" customFormat="1">
      <c r="A253" s="1575"/>
      <c r="B253" s="1575"/>
      <c r="J253" s="1398"/>
      <c r="K253" s="1398"/>
      <c r="L253" s="1398"/>
      <c r="M253" s="1398"/>
      <c r="N253" s="1398"/>
      <c r="O253" s="1398"/>
      <c r="P253" s="1398"/>
      <c r="Q253" s="1398"/>
      <c r="R253" s="1398"/>
      <c r="S253" s="1398"/>
      <c r="T253" s="1398"/>
      <c r="U253" s="1398"/>
      <c r="V253" s="1398"/>
      <c r="W253" s="1398"/>
      <c r="X253" s="1398"/>
      <c r="Y253" s="1398"/>
      <c r="Z253" s="1398"/>
    </row>
    <row r="254" spans="1:26" s="1571" customFormat="1">
      <c r="A254" s="1575"/>
      <c r="B254" s="1575"/>
      <c r="J254" s="1398"/>
      <c r="K254" s="1398"/>
      <c r="L254" s="1398"/>
      <c r="M254" s="1398"/>
      <c r="N254" s="1398"/>
      <c r="O254" s="1398"/>
      <c r="P254" s="1398"/>
      <c r="Q254" s="1398"/>
      <c r="R254" s="1398"/>
      <c r="S254" s="1398"/>
      <c r="T254" s="1398"/>
      <c r="U254" s="1398"/>
      <c r="V254" s="1398"/>
      <c r="W254" s="1398"/>
      <c r="X254" s="1398"/>
      <c r="Y254" s="1398"/>
      <c r="Z254" s="1398"/>
    </row>
    <row r="255" spans="1:26" s="1571" customFormat="1">
      <c r="A255" s="1575"/>
      <c r="B255" s="1575"/>
      <c r="J255" s="1398"/>
      <c r="K255" s="1398"/>
      <c r="L255" s="1398"/>
      <c r="M255" s="1398"/>
      <c r="N255" s="1398"/>
      <c r="O255" s="1398"/>
      <c r="P255" s="1398"/>
      <c r="Q255" s="1398"/>
      <c r="R255" s="1398"/>
      <c r="S255" s="1398"/>
      <c r="T255" s="1398"/>
      <c r="U255" s="1398"/>
      <c r="V255" s="1398"/>
      <c r="W255" s="1398"/>
      <c r="X255" s="1398"/>
      <c r="Y255" s="1398"/>
      <c r="Z255" s="1398"/>
    </row>
    <row r="256" spans="1:26" s="1571" customFormat="1">
      <c r="A256" s="1575"/>
      <c r="B256" s="1575"/>
      <c r="J256" s="1398"/>
      <c r="K256" s="1398"/>
      <c r="L256" s="1398"/>
      <c r="M256" s="1398"/>
      <c r="N256" s="1398"/>
      <c r="O256" s="1398"/>
      <c r="P256" s="1398"/>
      <c r="Q256" s="1398"/>
      <c r="R256" s="1398"/>
      <c r="S256" s="1398"/>
      <c r="T256" s="1398"/>
      <c r="U256" s="1398"/>
      <c r="V256" s="1398"/>
      <c r="W256" s="1398"/>
      <c r="X256" s="1398"/>
      <c r="Y256" s="1398"/>
      <c r="Z256" s="1398"/>
    </row>
    <row r="257" spans="1:26" s="1571" customFormat="1">
      <c r="A257" s="1575"/>
      <c r="B257" s="1575"/>
      <c r="J257" s="1398"/>
      <c r="K257" s="1398"/>
      <c r="L257" s="1398"/>
      <c r="M257" s="1398"/>
      <c r="N257" s="1398"/>
      <c r="O257" s="1398"/>
      <c r="P257" s="1398"/>
      <c r="Q257" s="1398"/>
      <c r="R257" s="1398"/>
      <c r="S257" s="1398"/>
      <c r="T257" s="1398"/>
      <c r="U257" s="1398"/>
      <c r="V257" s="1398"/>
      <c r="W257" s="1398"/>
      <c r="X257" s="1398"/>
      <c r="Y257" s="1398"/>
      <c r="Z257" s="1398"/>
    </row>
    <row r="258" spans="1:26" s="1571" customFormat="1">
      <c r="A258" s="1575"/>
      <c r="B258" s="1575"/>
      <c r="J258" s="1398"/>
      <c r="K258" s="1398"/>
      <c r="L258" s="1398"/>
      <c r="M258" s="1398"/>
      <c r="N258" s="1398"/>
      <c r="O258" s="1398"/>
      <c r="P258" s="1398"/>
      <c r="Q258" s="1398"/>
      <c r="R258" s="1398"/>
      <c r="S258" s="1398"/>
      <c r="T258" s="1398"/>
      <c r="U258" s="1398"/>
      <c r="V258" s="1398"/>
      <c r="W258" s="1398"/>
      <c r="X258" s="1398"/>
      <c r="Y258" s="1398"/>
      <c r="Z258" s="1398"/>
    </row>
    <row r="259" spans="1:26" s="1571" customFormat="1">
      <c r="A259" s="1575"/>
      <c r="B259" s="1575"/>
      <c r="J259" s="1398"/>
      <c r="K259" s="1398"/>
      <c r="L259" s="1398"/>
      <c r="M259" s="1398"/>
      <c r="N259" s="1398"/>
      <c r="O259" s="1398"/>
      <c r="P259" s="1398"/>
      <c r="Q259" s="1398"/>
      <c r="R259" s="1398"/>
      <c r="S259" s="1398"/>
      <c r="T259" s="1398"/>
      <c r="U259" s="1398"/>
      <c r="V259" s="1398"/>
      <c r="W259" s="1398"/>
      <c r="X259" s="1398"/>
      <c r="Y259" s="1398"/>
      <c r="Z259" s="1398"/>
    </row>
    <row r="260" spans="1:26" s="1571" customFormat="1">
      <c r="A260" s="1575"/>
      <c r="B260" s="1575"/>
      <c r="J260" s="1398"/>
      <c r="K260" s="1398"/>
      <c r="L260" s="1398"/>
      <c r="M260" s="1398"/>
      <c r="N260" s="1398"/>
      <c r="O260" s="1398"/>
      <c r="P260" s="1398"/>
      <c r="Q260" s="1398"/>
      <c r="R260" s="1398"/>
      <c r="S260" s="1398"/>
      <c r="T260" s="1398"/>
      <c r="U260" s="1398"/>
      <c r="V260" s="1398"/>
      <c r="W260" s="1398"/>
      <c r="X260" s="1398"/>
      <c r="Y260" s="1398"/>
      <c r="Z260" s="1398"/>
    </row>
    <row r="261" spans="1:26" s="1571" customFormat="1">
      <c r="A261" s="1575"/>
      <c r="B261" s="1575"/>
      <c r="J261" s="1398"/>
      <c r="K261" s="1398"/>
      <c r="L261" s="1398"/>
      <c r="M261" s="1398"/>
      <c r="N261" s="1398"/>
      <c r="O261" s="1398"/>
      <c r="P261" s="1398"/>
      <c r="Q261" s="1398"/>
      <c r="R261" s="1398"/>
      <c r="S261" s="1398"/>
      <c r="T261" s="1398"/>
      <c r="U261" s="1398"/>
      <c r="V261" s="1398"/>
      <c r="W261" s="1398"/>
      <c r="X261" s="1398"/>
      <c r="Y261" s="1398"/>
      <c r="Z261" s="1398"/>
    </row>
    <row r="262" spans="1:26" s="1571" customFormat="1">
      <c r="A262" s="1575"/>
      <c r="B262" s="1575"/>
      <c r="J262" s="1398"/>
      <c r="K262" s="1398"/>
      <c r="L262" s="1398"/>
      <c r="M262" s="1398"/>
      <c r="N262" s="1398"/>
      <c r="O262" s="1398"/>
      <c r="P262" s="1398"/>
      <c r="Q262" s="1398"/>
      <c r="R262" s="1398"/>
      <c r="S262" s="1398"/>
      <c r="T262" s="1398"/>
      <c r="U262" s="1398"/>
      <c r="V262" s="1398"/>
      <c r="W262" s="1398"/>
      <c r="X262" s="1398"/>
      <c r="Y262" s="1398"/>
      <c r="Z262" s="1398"/>
    </row>
    <row r="263" spans="1:26" s="1571" customFormat="1">
      <c r="A263" s="1575"/>
      <c r="B263" s="1575"/>
      <c r="J263" s="1398"/>
      <c r="K263" s="1398"/>
      <c r="L263" s="1398"/>
      <c r="M263" s="1398"/>
      <c r="N263" s="1398"/>
      <c r="O263" s="1398"/>
      <c r="P263" s="1398"/>
      <c r="Q263" s="1398"/>
      <c r="R263" s="1398"/>
      <c r="S263" s="1398"/>
      <c r="T263" s="1398"/>
      <c r="U263" s="1398"/>
      <c r="V263" s="1398"/>
      <c r="W263" s="1398"/>
      <c r="X263" s="1398"/>
      <c r="Y263" s="1398"/>
      <c r="Z263" s="1398"/>
    </row>
    <row r="264" spans="1:26" s="1571" customFormat="1">
      <c r="A264" s="1575"/>
      <c r="B264" s="1575"/>
      <c r="J264" s="1398"/>
      <c r="K264" s="1398"/>
      <c r="L264" s="1398"/>
      <c r="M264" s="1398"/>
      <c r="N264" s="1398"/>
      <c r="O264" s="1398"/>
      <c r="P264" s="1398"/>
      <c r="Q264" s="1398"/>
      <c r="R264" s="1398"/>
      <c r="S264" s="1398"/>
      <c r="T264" s="1398"/>
      <c r="U264" s="1398"/>
      <c r="V264" s="1398"/>
      <c r="W264" s="1398"/>
      <c r="X264" s="1398"/>
      <c r="Y264" s="1398"/>
      <c r="Z264" s="1398"/>
    </row>
    <row r="265" spans="1:26" s="1571" customFormat="1">
      <c r="A265" s="1575"/>
      <c r="B265" s="1575"/>
      <c r="J265" s="1398"/>
      <c r="K265" s="1398"/>
      <c r="L265" s="1398"/>
      <c r="M265" s="1398"/>
      <c r="N265" s="1398"/>
      <c r="O265" s="1398"/>
      <c r="P265" s="1398"/>
      <c r="Q265" s="1398"/>
      <c r="R265" s="1398"/>
      <c r="S265" s="1398"/>
      <c r="T265" s="1398"/>
      <c r="U265" s="1398"/>
      <c r="V265" s="1398"/>
      <c r="W265" s="1398"/>
      <c r="X265" s="1398"/>
      <c r="Y265" s="1398"/>
      <c r="Z265" s="1398"/>
    </row>
    <row r="266" spans="1:26" s="1571" customFormat="1">
      <c r="A266" s="1575"/>
      <c r="B266" s="1575"/>
      <c r="J266" s="1398"/>
      <c r="K266" s="1398"/>
      <c r="L266" s="1398"/>
      <c r="M266" s="1398"/>
      <c r="N266" s="1398"/>
      <c r="O266" s="1398"/>
      <c r="P266" s="1398"/>
      <c r="Q266" s="1398"/>
      <c r="R266" s="1398"/>
      <c r="S266" s="1398"/>
      <c r="T266" s="1398"/>
      <c r="U266" s="1398"/>
      <c r="V266" s="1398"/>
      <c r="W266" s="1398"/>
      <c r="X266" s="1398"/>
      <c r="Y266" s="1398"/>
      <c r="Z266" s="1398"/>
    </row>
    <row r="267" spans="1:26" s="1571" customFormat="1">
      <c r="A267" s="1575"/>
      <c r="B267" s="1575"/>
      <c r="J267" s="1398"/>
      <c r="K267" s="1398"/>
      <c r="L267" s="1398"/>
      <c r="M267" s="1398"/>
      <c r="N267" s="1398"/>
      <c r="O267" s="1398"/>
      <c r="P267" s="1398"/>
      <c r="Q267" s="1398"/>
      <c r="R267" s="1398"/>
      <c r="S267" s="1398"/>
      <c r="T267" s="1398"/>
      <c r="U267" s="1398"/>
      <c r="V267" s="1398"/>
      <c r="W267" s="1398"/>
      <c r="X267" s="1398"/>
      <c r="Y267" s="1398"/>
      <c r="Z267" s="1398"/>
    </row>
    <row r="268" spans="1:26" s="1571" customFormat="1">
      <c r="A268" s="1575"/>
      <c r="B268" s="1575"/>
      <c r="J268" s="1398"/>
      <c r="K268" s="1398"/>
      <c r="L268" s="1398"/>
      <c r="M268" s="1398"/>
      <c r="N268" s="1398"/>
      <c r="O268" s="1398"/>
      <c r="P268" s="1398"/>
      <c r="Q268" s="1398"/>
      <c r="R268" s="1398"/>
      <c r="S268" s="1398"/>
      <c r="T268" s="1398"/>
      <c r="U268" s="1398"/>
      <c r="V268" s="1398"/>
      <c r="W268" s="1398"/>
      <c r="X268" s="1398"/>
      <c r="Y268" s="1398"/>
      <c r="Z268" s="1398"/>
    </row>
    <row r="269" spans="1:26" s="1571" customFormat="1">
      <c r="A269" s="1575"/>
      <c r="B269" s="1575"/>
      <c r="J269" s="1398"/>
      <c r="K269" s="1398"/>
      <c r="L269" s="1398"/>
      <c r="M269" s="1398"/>
      <c r="N269" s="1398"/>
      <c r="O269" s="1398"/>
      <c r="P269" s="1398"/>
      <c r="Q269" s="1398"/>
      <c r="R269" s="1398"/>
      <c r="S269" s="1398"/>
      <c r="T269" s="1398"/>
      <c r="U269" s="1398"/>
      <c r="V269" s="1398"/>
      <c r="W269" s="1398"/>
      <c r="X269" s="1398"/>
      <c r="Y269" s="1398"/>
      <c r="Z269" s="1398"/>
    </row>
    <row r="270" spans="1:26" s="1571" customFormat="1">
      <c r="A270" s="1575"/>
      <c r="B270" s="1575"/>
      <c r="J270" s="1398"/>
      <c r="K270" s="1398"/>
      <c r="L270" s="1398"/>
      <c r="M270" s="1398"/>
      <c r="N270" s="1398"/>
      <c r="O270" s="1398"/>
      <c r="P270" s="1398"/>
      <c r="Q270" s="1398"/>
      <c r="R270" s="1398"/>
      <c r="S270" s="1398"/>
      <c r="T270" s="1398"/>
      <c r="U270" s="1398"/>
      <c r="V270" s="1398"/>
      <c r="W270" s="1398"/>
      <c r="X270" s="1398"/>
      <c r="Y270" s="1398"/>
      <c r="Z270" s="1398"/>
    </row>
    <row r="271" spans="1:26" s="1571" customFormat="1">
      <c r="A271" s="1575"/>
      <c r="B271" s="1575"/>
      <c r="J271" s="1398"/>
      <c r="K271" s="1398"/>
      <c r="L271" s="1398"/>
      <c r="M271" s="1398"/>
      <c r="N271" s="1398"/>
      <c r="O271" s="1398"/>
      <c r="P271" s="1398"/>
      <c r="Q271" s="1398"/>
      <c r="R271" s="1398"/>
      <c r="S271" s="1398"/>
      <c r="T271" s="1398"/>
      <c r="U271" s="1398"/>
      <c r="V271" s="1398"/>
      <c r="W271" s="1398"/>
      <c r="X271" s="1398"/>
      <c r="Y271" s="1398"/>
      <c r="Z271" s="1398"/>
    </row>
    <row r="272" spans="1:26" s="1571" customFormat="1">
      <c r="A272" s="1575"/>
      <c r="B272" s="1575"/>
      <c r="J272" s="1398"/>
      <c r="K272" s="1398"/>
      <c r="L272" s="1398"/>
      <c r="M272" s="1398"/>
      <c r="N272" s="1398"/>
      <c r="O272" s="1398"/>
      <c r="P272" s="1398"/>
      <c r="Q272" s="1398"/>
      <c r="R272" s="1398"/>
      <c r="S272" s="1398"/>
      <c r="T272" s="1398"/>
      <c r="U272" s="1398"/>
      <c r="V272" s="1398"/>
      <c r="W272" s="1398"/>
      <c r="X272" s="1398"/>
      <c r="Y272" s="1398"/>
      <c r="Z272" s="1398"/>
    </row>
    <row r="273" spans="1:26" s="1571" customFormat="1">
      <c r="A273" s="1575"/>
      <c r="B273" s="1575"/>
      <c r="J273" s="1398"/>
      <c r="K273" s="1398"/>
      <c r="L273" s="1398"/>
      <c r="M273" s="1398"/>
      <c r="N273" s="1398"/>
      <c r="O273" s="1398"/>
      <c r="P273" s="1398"/>
      <c r="Q273" s="1398"/>
      <c r="R273" s="1398"/>
      <c r="S273" s="1398"/>
      <c r="T273" s="1398"/>
      <c r="U273" s="1398"/>
      <c r="V273" s="1398"/>
      <c r="W273" s="1398"/>
      <c r="X273" s="1398"/>
      <c r="Y273" s="1398"/>
      <c r="Z273" s="1398"/>
    </row>
    <row r="274" spans="1:26" s="1571" customFormat="1">
      <c r="A274" s="1575"/>
      <c r="B274" s="1575"/>
      <c r="J274" s="1398"/>
      <c r="K274" s="1398"/>
      <c r="L274" s="1398"/>
      <c r="M274" s="1398"/>
      <c r="N274" s="1398"/>
      <c r="O274" s="1398"/>
      <c r="P274" s="1398"/>
      <c r="Q274" s="1398"/>
      <c r="R274" s="1398"/>
      <c r="S274" s="1398"/>
      <c r="T274" s="1398"/>
      <c r="U274" s="1398"/>
      <c r="V274" s="1398"/>
      <c r="W274" s="1398"/>
      <c r="X274" s="1398"/>
      <c r="Y274" s="1398"/>
      <c r="Z274" s="1398"/>
    </row>
    <row r="275" spans="1:26" s="1571" customFormat="1">
      <c r="A275" s="1575"/>
      <c r="B275" s="1575"/>
      <c r="J275" s="1398"/>
      <c r="K275" s="1398"/>
      <c r="L275" s="1398"/>
      <c r="M275" s="1398"/>
      <c r="N275" s="1398"/>
      <c r="O275" s="1398"/>
      <c r="P275" s="1398"/>
      <c r="Q275" s="1398"/>
      <c r="R275" s="1398"/>
      <c r="S275" s="1398"/>
      <c r="T275" s="1398"/>
      <c r="U275" s="1398"/>
      <c r="V275" s="1398"/>
      <c r="W275" s="1398"/>
      <c r="X275" s="1398"/>
      <c r="Y275" s="1398"/>
      <c r="Z275" s="1398"/>
    </row>
    <row r="276" spans="1:26" s="1571" customFormat="1">
      <c r="A276" s="1575"/>
      <c r="B276" s="1575"/>
      <c r="J276" s="1398"/>
      <c r="K276" s="1398"/>
      <c r="L276" s="1398"/>
      <c r="M276" s="1398"/>
      <c r="N276" s="1398"/>
      <c r="O276" s="1398"/>
      <c r="P276" s="1398"/>
      <c r="Q276" s="1398"/>
      <c r="R276" s="1398"/>
      <c r="S276" s="1398"/>
      <c r="T276" s="1398"/>
      <c r="U276" s="1398"/>
      <c r="V276" s="1398"/>
      <c r="W276" s="1398"/>
      <c r="X276" s="1398"/>
      <c r="Y276" s="1398"/>
      <c r="Z276" s="1398"/>
    </row>
    <row r="277" spans="1:26" s="1571" customFormat="1">
      <c r="A277" s="1575"/>
      <c r="B277" s="1575"/>
      <c r="J277" s="1398"/>
      <c r="K277" s="1398"/>
      <c r="L277" s="1398"/>
      <c r="M277" s="1398"/>
      <c r="N277" s="1398"/>
      <c r="O277" s="1398"/>
      <c r="P277" s="1398"/>
      <c r="Q277" s="1398"/>
      <c r="R277" s="1398"/>
      <c r="S277" s="1398"/>
      <c r="T277" s="1398"/>
      <c r="U277" s="1398"/>
      <c r="V277" s="1398"/>
      <c r="W277" s="1398"/>
      <c r="X277" s="1398"/>
      <c r="Y277" s="1398"/>
      <c r="Z277" s="1398"/>
    </row>
    <row r="278" spans="1:26" s="1571" customFormat="1">
      <c r="A278" s="1575"/>
      <c r="B278" s="1575"/>
      <c r="J278" s="1398"/>
      <c r="K278" s="1398"/>
      <c r="L278" s="1398"/>
      <c r="M278" s="1398"/>
      <c r="N278" s="1398"/>
      <c r="O278" s="1398"/>
      <c r="P278" s="1398"/>
      <c r="Q278" s="1398"/>
      <c r="R278" s="1398"/>
      <c r="S278" s="1398"/>
      <c r="T278" s="1398"/>
      <c r="U278" s="1398"/>
      <c r="V278" s="1398"/>
      <c r="W278" s="1398"/>
      <c r="X278" s="1398"/>
      <c r="Y278" s="1398"/>
      <c r="Z278" s="1398"/>
    </row>
    <row r="279" spans="1:26" s="1571" customFormat="1">
      <c r="A279" s="1575"/>
      <c r="B279" s="1575"/>
      <c r="J279" s="1398"/>
      <c r="K279" s="1398"/>
      <c r="L279" s="1398"/>
      <c r="M279" s="1398"/>
      <c r="N279" s="1398"/>
      <c r="O279" s="1398"/>
      <c r="P279" s="1398"/>
      <c r="Q279" s="1398"/>
      <c r="R279" s="1398"/>
      <c r="S279" s="1398"/>
      <c r="T279" s="1398"/>
      <c r="U279" s="1398"/>
      <c r="V279" s="1398"/>
      <c r="W279" s="1398"/>
      <c r="X279" s="1398"/>
      <c r="Y279" s="1398"/>
      <c r="Z279" s="1398"/>
    </row>
    <row r="280" spans="1:26" s="1571" customFormat="1">
      <c r="A280" s="1575"/>
      <c r="B280" s="1575"/>
      <c r="J280" s="1398"/>
      <c r="K280" s="1398"/>
      <c r="L280" s="1398"/>
      <c r="M280" s="1398"/>
      <c r="N280" s="1398"/>
      <c r="O280" s="1398"/>
      <c r="P280" s="1398"/>
      <c r="Q280" s="1398"/>
      <c r="R280" s="1398"/>
      <c r="S280" s="1398"/>
      <c r="T280" s="1398"/>
      <c r="U280" s="1398"/>
      <c r="V280" s="1398"/>
      <c r="W280" s="1398"/>
      <c r="X280" s="1398"/>
      <c r="Y280" s="1398"/>
      <c r="Z280" s="1398"/>
    </row>
    <row r="281" spans="1:26" s="1571" customFormat="1">
      <c r="A281" s="1575"/>
      <c r="B281" s="1575"/>
      <c r="J281" s="1398"/>
      <c r="K281" s="1398"/>
      <c r="L281" s="1398"/>
      <c r="M281" s="1398"/>
      <c r="N281" s="1398"/>
      <c r="O281" s="1398"/>
      <c r="P281" s="1398"/>
      <c r="Q281" s="1398"/>
      <c r="R281" s="1398"/>
      <c r="S281" s="1398"/>
      <c r="T281" s="1398"/>
      <c r="U281" s="1398"/>
      <c r="V281" s="1398"/>
      <c r="W281" s="1398"/>
      <c r="X281" s="1398"/>
      <c r="Y281" s="1398"/>
      <c r="Z281" s="1398"/>
    </row>
    <row r="282" spans="1:26" s="1571" customFormat="1">
      <c r="A282" s="1575"/>
      <c r="B282" s="1575"/>
      <c r="J282" s="1398"/>
      <c r="K282" s="1398"/>
      <c r="L282" s="1398"/>
      <c r="M282" s="1398"/>
      <c r="N282" s="1398"/>
      <c r="O282" s="1398"/>
      <c r="P282" s="1398"/>
      <c r="Q282" s="1398"/>
      <c r="R282" s="1398"/>
      <c r="S282" s="1398"/>
      <c r="T282" s="1398"/>
      <c r="U282" s="1398"/>
      <c r="V282" s="1398"/>
      <c r="W282" s="1398"/>
      <c r="X282" s="1398"/>
      <c r="Y282" s="1398"/>
      <c r="Z282" s="1398"/>
    </row>
    <row r="283" spans="1:26" s="1571" customFormat="1">
      <c r="A283" s="1575"/>
      <c r="B283" s="1575"/>
      <c r="J283" s="1398"/>
      <c r="K283" s="1398"/>
      <c r="L283" s="1398"/>
      <c r="M283" s="1398"/>
      <c r="N283" s="1398"/>
      <c r="O283" s="1398"/>
      <c r="P283" s="1398"/>
      <c r="Q283" s="1398"/>
      <c r="R283" s="1398"/>
      <c r="S283" s="1398"/>
      <c r="T283" s="1398"/>
      <c r="U283" s="1398"/>
      <c r="V283" s="1398"/>
      <c r="W283" s="1398"/>
      <c r="X283" s="1398"/>
      <c r="Y283" s="1398"/>
      <c r="Z283" s="1398"/>
    </row>
    <row r="284" spans="1:26" s="1571" customFormat="1">
      <c r="A284" s="1575"/>
      <c r="B284" s="1575"/>
      <c r="J284" s="1398"/>
      <c r="K284" s="1398"/>
      <c r="L284" s="1398"/>
      <c r="M284" s="1398"/>
      <c r="N284" s="1398"/>
      <c r="O284" s="1398"/>
      <c r="P284" s="1398"/>
      <c r="Q284" s="1398"/>
      <c r="R284" s="1398"/>
      <c r="S284" s="1398"/>
      <c r="T284" s="1398"/>
      <c r="U284" s="1398"/>
      <c r="V284" s="1398"/>
      <c r="W284" s="1398"/>
      <c r="X284" s="1398"/>
      <c r="Y284" s="1398"/>
      <c r="Z284" s="1398"/>
    </row>
    <row r="285" spans="1:26" s="1571" customFormat="1">
      <c r="A285" s="1575"/>
      <c r="B285" s="1575"/>
      <c r="J285" s="1398"/>
      <c r="K285" s="1398"/>
      <c r="L285" s="1398"/>
      <c r="M285" s="1398"/>
      <c r="N285" s="1398"/>
      <c r="O285" s="1398"/>
      <c r="P285" s="1398"/>
      <c r="Q285" s="1398"/>
      <c r="R285" s="1398"/>
      <c r="S285" s="1398"/>
      <c r="T285" s="1398"/>
      <c r="U285" s="1398"/>
      <c r="V285" s="1398"/>
      <c r="W285" s="1398"/>
      <c r="X285" s="1398"/>
      <c r="Y285" s="1398"/>
      <c r="Z285" s="1398"/>
    </row>
  </sheetData>
  <pageMargins left="0.70866141732283472" right="0.70866141732283472" top="0.78740157480314965" bottom="0.78740157480314965" header="0.31496062992125984" footer="0.31496062992125984"/>
  <pageSetup paperSize="9" scale="85" orientation="landscape" r:id="rId1"/>
  <rowBreaks count="4" manualBreakCount="4">
    <brk id="28" max="16383" man="1"/>
    <brk id="61" max="16383" man="1"/>
    <brk id="93" max="16383" man="1"/>
    <brk id="125" max="16383" man="1"/>
  </rowBreaks>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S44"/>
  <sheetViews>
    <sheetView zoomScaleNormal="100" workbookViewId="0"/>
  </sheetViews>
  <sheetFormatPr baseColWidth="10" defaultColWidth="11.42578125" defaultRowHeight="16.5"/>
  <cols>
    <col min="1" max="1" width="20.140625" style="1566" customWidth="1"/>
    <col min="2" max="2" width="8.42578125" style="1566" customWidth="1"/>
    <col min="3" max="3" width="9.42578125" style="1566" customWidth="1"/>
    <col min="4" max="4" width="14.5703125" style="1566" customWidth="1"/>
    <col min="5" max="5" width="14" style="1566" customWidth="1"/>
    <col min="6" max="8" width="13.42578125" style="1566" customWidth="1"/>
    <col min="9" max="9" width="17.42578125" style="1566" customWidth="1"/>
    <col min="10" max="10" width="17" style="1566" customWidth="1"/>
    <col min="11" max="16384" width="11.42578125" style="1566"/>
  </cols>
  <sheetData>
    <row r="1" spans="1:19" ht="18">
      <c r="A1" s="1599" t="s">
        <v>424</v>
      </c>
      <c r="B1" s="1423"/>
      <c r="C1" s="1423"/>
      <c r="D1" s="1423"/>
      <c r="E1" s="1423"/>
      <c r="F1" s="1423"/>
      <c r="G1" s="1423"/>
      <c r="H1" s="1423"/>
      <c r="I1" s="1423"/>
      <c r="J1" s="1423"/>
    </row>
    <row r="2" spans="1:19" ht="18">
      <c r="A2" s="1600" t="s">
        <v>494</v>
      </c>
      <c r="B2" s="1423"/>
      <c r="C2" s="1423"/>
      <c r="D2" s="1423"/>
      <c r="E2" s="1423"/>
      <c r="F2" s="1423"/>
      <c r="G2" s="1423"/>
      <c r="H2" s="1423"/>
      <c r="I2" s="1423"/>
      <c r="J2" s="1423"/>
    </row>
    <row r="3" spans="1:19" ht="18">
      <c r="A3" s="1600" t="s">
        <v>559</v>
      </c>
      <c r="B3" s="1424"/>
      <c r="C3" s="1423"/>
      <c r="D3" s="1423"/>
      <c r="E3" s="1423"/>
      <c r="F3" s="1423"/>
      <c r="G3" s="1423"/>
      <c r="H3" s="1423"/>
      <c r="I3" s="1423"/>
      <c r="J3" s="1423"/>
    </row>
    <row r="4" spans="1:19" ht="66">
      <c r="A4" s="1708" t="s">
        <v>43</v>
      </c>
      <c r="B4" s="1708" t="s">
        <v>475</v>
      </c>
      <c r="C4" s="1421" t="s">
        <v>94</v>
      </c>
      <c r="D4" s="1420" t="s">
        <v>416</v>
      </c>
      <c r="E4" s="1409" t="s">
        <v>417</v>
      </c>
      <c r="F4" s="1419" t="s">
        <v>419</v>
      </c>
      <c r="G4" s="1419" t="s">
        <v>420</v>
      </c>
      <c r="H4" s="1419" t="s">
        <v>421</v>
      </c>
      <c r="I4" s="1419" t="s">
        <v>414</v>
      </c>
      <c r="J4" s="1418" t="s">
        <v>415</v>
      </c>
    </row>
    <row r="5" spans="1:19" ht="18">
      <c r="A5" s="1434" t="s">
        <v>468</v>
      </c>
      <c r="B5" s="1700"/>
      <c r="C5" s="1394">
        <v>75</v>
      </c>
      <c r="D5" s="1395">
        <v>57</v>
      </c>
      <c r="E5" s="1396">
        <v>18</v>
      </c>
      <c r="F5" s="1395">
        <v>24</v>
      </c>
      <c r="G5" s="1395">
        <v>21</v>
      </c>
      <c r="H5" s="1395">
        <v>30</v>
      </c>
      <c r="I5" s="1576">
        <v>24</v>
      </c>
      <c r="J5" s="1922">
        <v>6</v>
      </c>
      <c r="L5" s="1788"/>
      <c r="M5" s="1788"/>
      <c r="N5" s="1788"/>
      <c r="O5" s="1788"/>
      <c r="P5" s="1788"/>
      <c r="Q5" s="1788"/>
      <c r="R5" s="1788"/>
      <c r="S5" s="1788"/>
    </row>
    <row r="6" spans="1:19" ht="18">
      <c r="A6" s="1434" t="s">
        <v>438</v>
      </c>
      <c r="B6" s="1701"/>
      <c r="C6" s="1394">
        <v>24</v>
      </c>
      <c r="D6" s="1395">
        <v>18</v>
      </c>
      <c r="E6" s="1396">
        <v>3</v>
      </c>
      <c r="F6" s="1498">
        <v>6</v>
      </c>
      <c r="G6" s="1395">
        <v>9</v>
      </c>
      <c r="H6" s="1395">
        <v>9</v>
      </c>
      <c r="I6" s="1397">
        <v>6</v>
      </c>
      <c r="J6" s="1917">
        <v>3</v>
      </c>
      <c r="L6" s="1788"/>
      <c r="M6" s="1788"/>
      <c r="N6" s="1788"/>
      <c r="O6" s="1788"/>
      <c r="P6" s="1788"/>
      <c r="Q6" s="1788"/>
      <c r="R6" s="1788"/>
      <c r="S6" s="1788"/>
    </row>
    <row r="7" spans="1:19" ht="18">
      <c r="A7" s="1434" t="s">
        <v>469</v>
      </c>
      <c r="B7" s="1701"/>
      <c r="C7" s="1394">
        <v>249</v>
      </c>
      <c r="D7" s="1395">
        <v>219</v>
      </c>
      <c r="E7" s="1396">
        <v>27</v>
      </c>
      <c r="F7" s="1498">
        <v>81</v>
      </c>
      <c r="G7" s="1395">
        <v>75</v>
      </c>
      <c r="H7" s="1395">
        <v>90</v>
      </c>
      <c r="I7" s="1916">
        <v>87</v>
      </c>
      <c r="J7" s="1920">
        <v>27</v>
      </c>
      <c r="L7" s="1788"/>
      <c r="M7" s="1788"/>
      <c r="N7" s="1788"/>
      <c r="O7" s="1788"/>
      <c r="P7" s="1788"/>
      <c r="Q7" s="1788"/>
      <c r="R7" s="1788"/>
      <c r="S7" s="1788"/>
    </row>
    <row r="8" spans="1:19" ht="18">
      <c r="A8" s="1434" t="s">
        <v>440</v>
      </c>
      <c r="B8" s="1701"/>
      <c r="C8" s="1394">
        <f>39+6</f>
        <v>45</v>
      </c>
      <c r="D8" s="1395">
        <f>33+6</f>
        <v>39</v>
      </c>
      <c r="E8" s="1396">
        <v>6</v>
      </c>
      <c r="F8" s="1498">
        <v>24</v>
      </c>
      <c r="G8" s="1395">
        <v>9</v>
      </c>
      <c r="H8" s="1395">
        <f>6+6</f>
        <v>12</v>
      </c>
      <c r="I8" s="1584">
        <v>30</v>
      </c>
      <c r="J8" s="1923">
        <v>3</v>
      </c>
      <c r="L8" s="1788"/>
      <c r="M8" s="1788"/>
      <c r="N8" s="1788"/>
      <c r="O8" s="1788"/>
      <c r="P8" s="1788"/>
      <c r="Q8" s="1788"/>
      <c r="R8" s="1788"/>
      <c r="S8" s="1788"/>
    </row>
    <row r="9" spans="1:19" ht="18">
      <c r="A9" s="1434" t="s">
        <v>441</v>
      </c>
      <c r="B9" s="1701"/>
      <c r="C9" s="1394">
        <v>474</v>
      </c>
      <c r="D9" s="1395">
        <v>432</v>
      </c>
      <c r="E9" s="1396">
        <v>42</v>
      </c>
      <c r="F9" s="1395">
        <v>144</v>
      </c>
      <c r="G9" s="1395">
        <v>144</v>
      </c>
      <c r="H9" s="1395">
        <v>189</v>
      </c>
      <c r="I9" s="1916">
        <v>153</v>
      </c>
      <c r="J9" s="1920">
        <v>42</v>
      </c>
      <c r="L9" s="1788"/>
      <c r="M9" s="1788"/>
      <c r="N9" s="1788"/>
      <c r="O9" s="1788"/>
      <c r="P9" s="1788"/>
      <c r="Q9" s="1788"/>
      <c r="R9" s="1788"/>
      <c r="S9" s="1788"/>
    </row>
    <row r="10" spans="1:19" ht="18">
      <c r="A10" s="1434" t="s">
        <v>442</v>
      </c>
      <c r="B10" s="1701"/>
      <c r="C10" s="1394">
        <v>108</v>
      </c>
      <c r="D10" s="1395">
        <v>87</v>
      </c>
      <c r="E10" s="1396">
        <v>21</v>
      </c>
      <c r="F10" s="1395">
        <v>33</v>
      </c>
      <c r="G10" s="1395">
        <v>39</v>
      </c>
      <c r="H10" s="1395">
        <v>36</v>
      </c>
      <c r="I10" s="1397">
        <v>33</v>
      </c>
      <c r="J10" s="1917">
        <v>6</v>
      </c>
      <c r="L10" s="1788"/>
      <c r="M10" s="1788"/>
      <c r="N10" s="1788"/>
      <c r="O10" s="1788"/>
      <c r="P10" s="1788"/>
      <c r="Q10" s="1788"/>
      <c r="R10" s="1788"/>
      <c r="S10" s="1788"/>
    </row>
    <row r="11" spans="1:19" ht="18">
      <c r="A11" s="1434" t="s">
        <v>443</v>
      </c>
      <c r="B11" s="1701"/>
      <c r="C11" s="1394">
        <v>114</v>
      </c>
      <c r="D11" s="1395">
        <v>99</v>
      </c>
      <c r="E11" s="1396">
        <v>15</v>
      </c>
      <c r="F11" s="1395">
        <v>42</v>
      </c>
      <c r="G11" s="1395">
        <v>39</v>
      </c>
      <c r="H11" s="1395">
        <v>33</v>
      </c>
      <c r="I11" s="1916">
        <v>48</v>
      </c>
      <c r="J11" s="1920">
        <v>12</v>
      </c>
      <c r="L11" s="1788"/>
      <c r="M11" s="1788"/>
      <c r="N11" s="1788"/>
      <c r="O11" s="1788"/>
      <c r="P11" s="1788"/>
      <c r="Q11" s="1788"/>
      <c r="R11" s="1788"/>
      <c r="S11" s="1788"/>
    </row>
    <row r="12" spans="1:19" ht="18">
      <c r="A12" s="1434" t="s">
        <v>444</v>
      </c>
      <c r="B12" s="1701"/>
      <c r="C12" s="1394">
        <v>315</v>
      </c>
      <c r="D12" s="1395">
        <v>252</v>
      </c>
      <c r="E12" s="1396">
        <v>63</v>
      </c>
      <c r="F12" s="1395">
        <v>117</v>
      </c>
      <c r="G12" s="1395">
        <v>93</v>
      </c>
      <c r="H12" s="1395">
        <v>102</v>
      </c>
      <c r="I12" s="1916">
        <v>123</v>
      </c>
      <c r="J12" s="1920">
        <v>30</v>
      </c>
      <c r="L12" s="1788"/>
      <c r="M12" s="1788"/>
      <c r="N12" s="1788"/>
      <c r="O12" s="1788"/>
      <c r="P12" s="1788"/>
      <c r="Q12" s="1788"/>
      <c r="R12" s="1788"/>
      <c r="S12" s="1788"/>
    </row>
    <row r="13" spans="1:19" ht="18">
      <c r="A13" s="1434" t="s">
        <v>470</v>
      </c>
      <c r="B13" s="1701"/>
      <c r="C13" s="1394">
        <v>339</v>
      </c>
      <c r="D13" s="1395">
        <v>258</v>
      </c>
      <c r="E13" s="1396">
        <v>78</v>
      </c>
      <c r="F13" s="1395">
        <v>93</v>
      </c>
      <c r="G13" s="1395">
        <v>120</v>
      </c>
      <c r="H13" s="1395">
        <v>126</v>
      </c>
      <c r="I13" s="1916">
        <v>99</v>
      </c>
      <c r="J13" s="1920">
        <v>33</v>
      </c>
      <c r="L13" s="1788"/>
      <c r="M13" s="1788"/>
      <c r="N13" s="1788"/>
      <c r="O13" s="1788"/>
      <c r="P13" s="1788"/>
      <c r="Q13" s="1788"/>
      <c r="R13" s="1788"/>
      <c r="S13" s="1788"/>
    </row>
    <row r="14" spans="1:19" ht="18">
      <c r="A14" s="1434" t="s">
        <v>471</v>
      </c>
      <c r="B14" s="1701"/>
      <c r="C14" s="1394">
        <v>51</v>
      </c>
      <c r="D14" s="1395">
        <v>39</v>
      </c>
      <c r="E14" s="1396">
        <v>12</v>
      </c>
      <c r="F14" s="1395">
        <v>15</v>
      </c>
      <c r="G14" s="1395">
        <v>12</v>
      </c>
      <c r="H14" s="1395">
        <v>21</v>
      </c>
      <c r="I14" s="1916">
        <v>18</v>
      </c>
      <c r="J14" s="1920">
        <v>3</v>
      </c>
      <c r="L14" s="1788"/>
      <c r="M14" s="1788"/>
      <c r="N14" s="1788"/>
      <c r="O14" s="1788"/>
      <c r="P14" s="1788"/>
      <c r="Q14" s="1788"/>
      <c r="R14" s="1788"/>
      <c r="S14" s="1788"/>
    </row>
    <row r="15" spans="1:19" ht="18">
      <c r="A15" s="1434" t="s">
        <v>447</v>
      </c>
      <c r="B15" s="1701"/>
      <c r="C15" s="1394">
        <v>42</v>
      </c>
      <c r="D15" s="1395">
        <v>36</v>
      </c>
      <c r="E15" s="1396">
        <v>6</v>
      </c>
      <c r="F15" s="1395">
        <v>18</v>
      </c>
      <c r="G15" s="1395">
        <v>12</v>
      </c>
      <c r="H15" s="1395">
        <v>12</v>
      </c>
      <c r="I15" s="1397">
        <v>18</v>
      </c>
      <c r="J15" s="1917">
        <v>9</v>
      </c>
      <c r="L15" s="1788"/>
      <c r="M15" s="1788"/>
      <c r="N15" s="1788"/>
      <c r="O15" s="1788"/>
      <c r="P15" s="1788"/>
      <c r="Q15" s="1788"/>
      <c r="R15" s="1788"/>
      <c r="S15" s="1788"/>
    </row>
    <row r="16" spans="1:19" ht="18">
      <c r="A16" s="1434" t="s">
        <v>472</v>
      </c>
      <c r="B16" s="1701"/>
      <c r="C16" s="1394">
        <v>60</v>
      </c>
      <c r="D16" s="1395">
        <v>48</v>
      </c>
      <c r="E16" s="1396">
        <v>15</v>
      </c>
      <c r="F16" s="1395">
        <v>18</v>
      </c>
      <c r="G16" s="1395">
        <v>18</v>
      </c>
      <c r="H16" s="1395">
        <v>24</v>
      </c>
      <c r="I16" s="1920">
        <v>18</v>
      </c>
      <c r="J16" s="1920">
        <v>3</v>
      </c>
      <c r="L16" s="1788"/>
      <c r="M16" s="1788"/>
      <c r="N16" s="1788"/>
      <c r="O16" s="1788"/>
      <c r="P16" s="1788"/>
      <c r="Q16" s="1788"/>
      <c r="R16" s="1788"/>
      <c r="S16" s="1788"/>
    </row>
    <row r="17" spans="1:19" ht="18">
      <c r="A17" s="1434" t="s">
        <v>476</v>
      </c>
      <c r="B17" s="1701">
        <v>1</v>
      </c>
      <c r="C17" s="1394">
        <v>18</v>
      </c>
      <c r="D17" s="1395">
        <v>9</v>
      </c>
      <c r="E17" s="1396">
        <v>6</v>
      </c>
      <c r="F17" s="1395">
        <v>6</v>
      </c>
      <c r="G17" s="1395">
        <v>6</v>
      </c>
      <c r="H17" s="1395">
        <v>6</v>
      </c>
      <c r="I17" s="1397">
        <v>3</v>
      </c>
      <c r="J17" s="1589">
        <v>0</v>
      </c>
      <c r="L17" s="1788"/>
      <c r="M17" s="1788"/>
      <c r="N17" s="1788"/>
      <c r="O17" s="1788"/>
      <c r="P17" s="1788"/>
      <c r="Q17" s="1788"/>
      <c r="R17" s="1788"/>
      <c r="S17" s="1788"/>
    </row>
    <row r="18" spans="1:19" ht="18">
      <c r="A18" s="1434" t="s">
        <v>477</v>
      </c>
      <c r="B18" s="1701">
        <v>1</v>
      </c>
      <c r="C18" s="1394">
        <v>192</v>
      </c>
      <c r="D18" s="1395">
        <v>141</v>
      </c>
      <c r="E18" s="1396">
        <v>51</v>
      </c>
      <c r="F18" s="1395">
        <v>78</v>
      </c>
      <c r="G18" s="1395">
        <v>57</v>
      </c>
      <c r="H18" s="1395">
        <v>57</v>
      </c>
      <c r="I18" s="1397">
        <v>84</v>
      </c>
      <c r="J18" s="1917">
        <v>33</v>
      </c>
      <c r="L18" s="1788"/>
      <c r="M18" s="1788"/>
      <c r="N18" s="1788"/>
      <c r="O18" s="1788"/>
      <c r="P18" s="1788"/>
      <c r="Q18" s="1788"/>
      <c r="R18" s="1788"/>
      <c r="S18" s="1788"/>
    </row>
    <row r="19" spans="1:19" ht="18">
      <c r="A19" s="1434" t="s">
        <v>478</v>
      </c>
      <c r="B19" s="1701">
        <v>1</v>
      </c>
      <c r="C19" s="1394">
        <v>135</v>
      </c>
      <c r="D19" s="1395">
        <v>99</v>
      </c>
      <c r="E19" s="1396">
        <v>36</v>
      </c>
      <c r="F19" s="1395">
        <v>51</v>
      </c>
      <c r="G19" s="1395">
        <v>30</v>
      </c>
      <c r="H19" s="1395">
        <v>54</v>
      </c>
      <c r="I19" s="1397">
        <v>54</v>
      </c>
      <c r="J19" s="1917">
        <v>15</v>
      </c>
      <c r="L19" s="1788"/>
      <c r="M19" s="1788"/>
      <c r="N19" s="1788"/>
      <c r="O19" s="1788"/>
      <c r="P19" s="1788"/>
      <c r="Q19" s="1788"/>
      <c r="R19" s="1788"/>
      <c r="S19" s="1788"/>
    </row>
    <row r="20" spans="1:19" ht="18">
      <c r="A20" s="1434" t="s">
        <v>473</v>
      </c>
      <c r="B20" s="1702"/>
      <c r="C20" s="1394">
        <v>108</v>
      </c>
      <c r="D20" s="1395">
        <v>81</v>
      </c>
      <c r="E20" s="1396">
        <v>27</v>
      </c>
      <c r="F20" s="1395">
        <v>33</v>
      </c>
      <c r="G20" s="1395">
        <v>39</v>
      </c>
      <c r="H20" s="1395">
        <v>36</v>
      </c>
      <c r="I20" s="1769">
        <v>36</v>
      </c>
      <c r="J20" s="1924">
        <v>6</v>
      </c>
      <c r="L20" s="1788"/>
      <c r="M20" s="1788"/>
      <c r="N20" s="1788"/>
      <c r="O20" s="1788"/>
      <c r="P20" s="1788"/>
      <c r="Q20" s="1788"/>
      <c r="R20" s="1788"/>
      <c r="S20" s="1788"/>
    </row>
    <row r="21" spans="1:19">
      <c r="A21" s="1435" t="s">
        <v>418</v>
      </c>
      <c r="B21" s="1710"/>
      <c r="C21" s="1790">
        <v>2346</v>
      </c>
      <c r="D21" s="1791">
        <v>1923</v>
      </c>
      <c r="E21" s="1791">
        <v>423</v>
      </c>
      <c r="F21" s="1790">
        <v>777</v>
      </c>
      <c r="G21" s="1791">
        <v>726</v>
      </c>
      <c r="H21" s="1792">
        <v>837</v>
      </c>
      <c r="I21" s="1698">
        <v>837</v>
      </c>
      <c r="J21" s="1699">
        <v>228</v>
      </c>
      <c r="L21" s="1788"/>
      <c r="M21" s="1788"/>
      <c r="N21" s="1788"/>
      <c r="O21" s="1788"/>
      <c r="P21" s="1788"/>
      <c r="Q21" s="1788"/>
      <c r="R21" s="1788"/>
      <c r="S21" s="1788"/>
    </row>
    <row r="22" spans="1:19" ht="18">
      <c r="A22" s="1601" t="s">
        <v>552</v>
      </c>
      <c r="B22" s="1413"/>
      <c r="C22" s="1412"/>
      <c r="D22" s="1412"/>
      <c r="E22" s="1412"/>
      <c r="F22" s="1412"/>
      <c r="G22" s="1412"/>
      <c r="H22" s="1412"/>
      <c r="I22" s="1411"/>
      <c r="J22" s="1411"/>
    </row>
    <row r="23" spans="1:19" ht="66">
      <c r="A23" s="1708" t="s">
        <v>43</v>
      </c>
      <c r="B23" s="1708" t="s">
        <v>475</v>
      </c>
      <c r="C23" s="1706" t="s">
        <v>94</v>
      </c>
      <c r="D23" s="1707" t="s">
        <v>92</v>
      </c>
      <c r="E23" s="1409" t="s">
        <v>93</v>
      </c>
      <c r="F23" s="1419" t="s">
        <v>480</v>
      </c>
      <c r="G23" s="1419" t="s">
        <v>422</v>
      </c>
      <c r="H23" s="1418" t="s">
        <v>423</v>
      </c>
      <c r="I23" s="1408"/>
      <c r="J23" s="1408"/>
    </row>
    <row r="24" spans="1:19" ht="18">
      <c r="A24" s="1434" t="s">
        <v>437</v>
      </c>
      <c r="B24" s="1563"/>
      <c r="C24" s="1394">
        <v>27</v>
      </c>
      <c r="D24" s="1395">
        <v>21</v>
      </c>
      <c r="E24" s="1396">
        <v>6</v>
      </c>
      <c r="F24" s="1395">
        <v>18</v>
      </c>
      <c r="G24" s="1395">
        <v>12</v>
      </c>
      <c r="H24" s="1396">
        <v>3</v>
      </c>
      <c r="I24" s="1402"/>
      <c r="J24" s="1402"/>
      <c r="L24" s="1788"/>
      <c r="M24" s="1788"/>
      <c r="N24" s="1788"/>
      <c r="O24" s="1788"/>
      <c r="P24" s="1788"/>
      <c r="Q24" s="1788"/>
    </row>
    <row r="25" spans="1:19" ht="18">
      <c r="A25" s="1434" t="s">
        <v>438</v>
      </c>
      <c r="B25" s="1564"/>
      <c r="C25" s="1394">
        <v>9</v>
      </c>
      <c r="D25" s="1395">
        <v>6</v>
      </c>
      <c r="E25" s="1396">
        <v>3</v>
      </c>
      <c r="F25" s="1498">
        <v>6</v>
      </c>
      <c r="G25" s="1395">
        <v>6</v>
      </c>
      <c r="H25" s="1396">
        <v>0</v>
      </c>
      <c r="I25" s="1402"/>
      <c r="J25" s="1402"/>
      <c r="L25" s="1788"/>
      <c r="M25" s="1788"/>
      <c r="N25" s="1788"/>
      <c r="O25" s="1788"/>
      <c r="P25" s="1788"/>
      <c r="Q25" s="1788"/>
    </row>
    <row r="26" spans="1:19" ht="18">
      <c r="A26" s="1434" t="s">
        <v>439</v>
      </c>
      <c r="B26" s="1564"/>
      <c r="C26" s="1394">
        <v>87</v>
      </c>
      <c r="D26" s="1395">
        <v>75</v>
      </c>
      <c r="E26" s="1396">
        <v>12</v>
      </c>
      <c r="F26" s="1498">
        <v>75</v>
      </c>
      <c r="G26" s="1395">
        <v>63</v>
      </c>
      <c r="H26" s="1396">
        <v>12</v>
      </c>
      <c r="I26" s="1402"/>
      <c r="J26" s="1402"/>
      <c r="L26" s="1788"/>
      <c r="M26" s="1788"/>
      <c r="N26" s="1788"/>
      <c r="O26" s="1788"/>
      <c r="P26" s="1788"/>
      <c r="Q26" s="1788"/>
    </row>
    <row r="27" spans="1:19" ht="18">
      <c r="A27" s="1434" t="s">
        <v>440</v>
      </c>
      <c r="B27" s="1564"/>
      <c r="C27" s="1394">
        <v>6</v>
      </c>
      <c r="D27" s="1395">
        <v>6</v>
      </c>
      <c r="E27" s="1396">
        <v>0</v>
      </c>
      <c r="F27" s="1498">
        <v>6</v>
      </c>
      <c r="G27" s="1395">
        <v>6</v>
      </c>
      <c r="H27" s="1396">
        <v>0</v>
      </c>
      <c r="I27" s="1402"/>
      <c r="J27" s="1402"/>
      <c r="L27" s="1788"/>
      <c r="M27" s="1788"/>
      <c r="N27" s="1788"/>
      <c r="O27" s="1788"/>
      <c r="P27" s="1788"/>
      <c r="Q27" s="1788"/>
    </row>
    <row r="28" spans="1:19" ht="18">
      <c r="A28" s="1434" t="s">
        <v>441</v>
      </c>
      <c r="B28" s="1564"/>
      <c r="C28" s="1394">
        <v>177</v>
      </c>
      <c r="D28" s="1395">
        <v>159</v>
      </c>
      <c r="E28" s="1396">
        <v>21</v>
      </c>
      <c r="F28" s="1395">
        <v>156</v>
      </c>
      <c r="G28" s="1395">
        <v>135</v>
      </c>
      <c r="H28" s="1396">
        <v>18</v>
      </c>
      <c r="I28" s="1402"/>
      <c r="J28" s="1402"/>
      <c r="L28" s="1788"/>
      <c r="M28" s="1788"/>
      <c r="N28" s="1788"/>
      <c r="O28" s="1788"/>
      <c r="P28" s="1788"/>
      <c r="Q28" s="1788"/>
    </row>
    <row r="29" spans="1:19" ht="18">
      <c r="A29" s="1434" t="s">
        <v>442</v>
      </c>
      <c r="B29" s="1564"/>
      <c r="C29" s="1394">
        <v>48</v>
      </c>
      <c r="D29" s="1395">
        <v>39</v>
      </c>
      <c r="E29" s="1396">
        <v>9</v>
      </c>
      <c r="F29" s="1395">
        <v>45</v>
      </c>
      <c r="G29" s="1395">
        <v>36</v>
      </c>
      <c r="H29" s="1396">
        <v>9</v>
      </c>
      <c r="I29" s="1408"/>
      <c r="J29" s="1402"/>
      <c r="L29" s="1788"/>
      <c r="M29" s="1788"/>
      <c r="N29" s="1788"/>
      <c r="O29" s="1788"/>
      <c r="P29" s="1788"/>
      <c r="Q29" s="1788"/>
    </row>
    <row r="30" spans="1:19" ht="18">
      <c r="A30" s="1434" t="s">
        <v>443</v>
      </c>
      <c r="B30" s="1564"/>
      <c r="C30" s="1394">
        <v>30</v>
      </c>
      <c r="D30" s="1395">
        <v>24</v>
      </c>
      <c r="E30" s="1396">
        <v>6</v>
      </c>
      <c r="F30" s="1395">
        <v>27</v>
      </c>
      <c r="G30" s="1395">
        <v>21</v>
      </c>
      <c r="H30" s="1396">
        <v>6</v>
      </c>
      <c r="I30" s="1402"/>
      <c r="J30" s="1402"/>
      <c r="L30" s="1788"/>
      <c r="M30" s="1788"/>
      <c r="N30" s="1788"/>
      <c r="O30" s="1788"/>
      <c r="P30" s="1788"/>
      <c r="Q30" s="1788"/>
    </row>
    <row r="31" spans="1:19" ht="18">
      <c r="A31" s="1434" t="s">
        <v>444</v>
      </c>
      <c r="B31" s="1564"/>
      <c r="C31" s="1394">
        <v>63</v>
      </c>
      <c r="D31" s="1395">
        <v>51</v>
      </c>
      <c r="E31" s="1396">
        <v>12</v>
      </c>
      <c r="F31" s="1395">
        <v>57</v>
      </c>
      <c r="G31" s="1395">
        <v>48</v>
      </c>
      <c r="H31" s="1395">
        <v>12</v>
      </c>
      <c r="I31" s="1402"/>
      <c r="J31" s="1402"/>
      <c r="L31" s="1788"/>
      <c r="M31" s="1788"/>
      <c r="N31" s="1788"/>
      <c r="O31" s="1788"/>
      <c r="P31" s="1788"/>
      <c r="Q31" s="1788"/>
    </row>
    <row r="32" spans="1:19" ht="18">
      <c r="A32" s="1434" t="s">
        <v>445</v>
      </c>
      <c r="B32" s="1564"/>
      <c r="C32" s="1394">
        <v>123</v>
      </c>
      <c r="D32" s="1395">
        <v>99</v>
      </c>
      <c r="E32" s="1396">
        <v>21</v>
      </c>
      <c r="F32" s="1395">
        <v>105</v>
      </c>
      <c r="G32" s="1395">
        <v>90</v>
      </c>
      <c r="H32" s="1395">
        <v>18</v>
      </c>
      <c r="I32" s="1402"/>
      <c r="J32" s="1402"/>
      <c r="L32" s="1788"/>
      <c r="M32" s="1788"/>
      <c r="N32" s="1788"/>
      <c r="O32" s="1788"/>
      <c r="P32" s="1788"/>
      <c r="Q32" s="1788"/>
    </row>
    <row r="33" spans="1:17" ht="18">
      <c r="A33" s="1434" t="s">
        <v>446</v>
      </c>
      <c r="B33" s="1564"/>
      <c r="C33" s="1394">
        <v>21</v>
      </c>
      <c r="D33" s="1395">
        <v>21</v>
      </c>
      <c r="E33" s="1396">
        <v>0</v>
      </c>
      <c r="F33" s="1395">
        <v>18</v>
      </c>
      <c r="G33" s="1395">
        <v>18</v>
      </c>
      <c r="H33" s="1395">
        <v>0</v>
      </c>
      <c r="I33" s="1402"/>
      <c r="J33" s="1402"/>
      <c r="L33" s="1788"/>
      <c r="M33" s="1788"/>
      <c r="N33" s="1788"/>
      <c r="O33" s="1788"/>
      <c r="P33" s="1788"/>
      <c r="Q33" s="1788"/>
    </row>
    <row r="34" spans="1:17" ht="18">
      <c r="A34" s="1434" t="s">
        <v>447</v>
      </c>
      <c r="B34" s="1564"/>
      <c r="C34" s="1394">
        <v>9</v>
      </c>
      <c r="D34" s="1395">
        <v>9</v>
      </c>
      <c r="E34" s="1396">
        <v>0</v>
      </c>
      <c r="F34" s="1395">
        <v>9</v>
      </c>
      <c r="G34" s="1395">
        <v>9</v>
      </c>
      <c r="H34" s="1395">
        <v>0</v>
      </c>
      <c r="I34" s="1402"/>
      <c r="J34" s="1402"/>
      <c r="L34" s="1788"/>
      <c r="M34" s="1788"/>
      <c r="N34" s="1788"/>
      <c r="O34" s="1788"/>
      <c r="P34" s="1788"/>
      <c r="Q34" s="1788"/>
    </row>
    <row r="35" spans="1:17" ht="18">
      <c r="A35" s="1434" t="s">
        <v>448</v>
      </c>
      <c r="B35" s="1564"/>
      <c r="C35" s="1394">
        <v>21</v>
      </c>
      <c r="D35" s="1395">
        <v>18</v>
      </c>
      <c r="E35" s="1396">
        <v>3</v>
      </c>
      <c r="F35" s="1395">
        <v>21</v>
      </c>
      <c r="G35" s="1395">
        <v>18</v>
      </c>
      <c r="H35" s="1395">
        <v>3</v>
      </c>
      <c r="I35" s="1402"/>
      <c r="J35" s="1402"/>
      <c r="L35" s="1788"/>
      <c r="M35" s="1788"/>
      <c r="N35" s="1788"/>
      <c r="O35" s="1788"/>
      <c r="P35" s="1788"/>
      <c r="Q35" s="1788"/>
    </row>
    <row r="36" spans="1:17" ht="18">
      <c r="A36" s="1434" t="s">
        <v>476</v>
      </c>
      <c r="B36" s="1701">
        <v>1</v>
      </c>
      <c r="C36" s="1394">
        <v>9</v>
      </c>
      <c r="D36" s="1395">
        <v>6</v>
      </c>
      <c r="E36" s="1396">
        <v>3</v>
      </c>
      <c r="F36" s="1395">
        <v>9</v>
      </c>
      <c r="G36" s="1395">
        <v>6</v>
      </c>
      <c r="H36" s="1395">
        <v>0</v>
      </c>
      <c r="I36" s="1402"/>
      <c r="J36" s="1402"/>
      <c r="L36" s="1788"/>
      <c r="M36" s="1788"/>
      <c r="N36" s="1788"/>
      <c r="O36" s="1788"/>
      <c r="P36" s="1788"/>
      <c r="Q36" s="1788"/>
    </row>
    <row r="37" spans="1:17" ht="18">
      <c r="A37" s="1434" t="s">
        <v>477</v>
      </c>
      <c r="B37" s="1701">
        <v>1</v>
      </c>
      <c r="C37" s="1394">
        <v>75</v>
      </c>
      <c r="D37" s="1395">
        <v>57</v>
      </c>
      <c r="E37" s="1396">
        <v>18</v>
      </c>
      <c r="F37" s="1395">
        <v>69</v>
      </c>
      <c r="G37" s="1395">
        <v>54</v>
      </c>
      <c r="H37" s="1395">
        <v>15</v>
      </c>
      <c r="I37" s="1402"/>
      <c r="J37" s="1402"/>
      <c r="L37" s="1788"/>
      <c r="M37" s="1788"/>
      <c r="N37" s="1788"/>
      <c r="O37" s="1788"/>
      <c r="P37" s="1788"/>
      <c r="Q37" s="1788"/>
    </row>
    <row r="38" spans="1:17" ht="18">
      <c r="A38" s="1434" t="s">
        <v>478</v>
      </c>
      <c r="B38" s="1701">
        <v>1</v>
      </c>
      <c r="C38" s="1394">
        <v>48</v>
      </c>
      <c r="D38" s="1395">
        <v>36</v>
      </c>
      <c r="E38" s="1396">
        <v>12</v>
      </c>
      <c r="F38" s="1395">
        <v>48</v>
      </c>
      <c r="G38" s="1395">
        <v>36</v>
      </c>
      <c r="H38" s="1395">
        <v>12</v>
      </c>
      <c r="I38" s="1402"/>
      <c r="J38" s="1402"/>
      <c r="L38" s="1788"/>
      <c r="M38" s="1788"/>
      <c r="N38" s="1788"/>
      <c r="O38" s="1788"/>
      <c r="P38" s="1788"/>
      <c r="Q38" s="1788"/>
    </row>
    <row r="39" spans="1:17" ht="18">
      <c r="A39" s="1434" t="s">
        <v>452</v>
      </c>
      <c r="B39" s="1696"/>
      <c r="C39" s="1394">
        <v>33</v>
      </c>
      <c r="D39" s="1395">
        <v>30</v>
      </c>
      <c r="E39" s="1396">
        <v>3</v>
      </c>
      <c r="F39" s="1395">
        <v>27</v>
      </c>
      <c r="G39" s="1395">
        <v>24</v>
      </c>
      <c r="H39" s="1395">
        <v>3</v>
      </c>
      <c r="I39" s="1402"/>
      <c r="J39" s="1402"/>
      <c r="L39" s="1788"/>
      <c r="M39" s="1788"/>
      <c r="N39" s="1788"/>
      <c r="O39" s="1788"/>
      <c r="P39" s="1788"/>
      <c r="Q39" s="1788"/>
    </row>
    <row r="40" spans="1:17" ht="18">
      <c r="A40" s="1435" t="s">
        <v>418</v>
      </c>
      <c r="B40" s="1710"/>
      <c r="C40" s="1793">
        <v>786</v>
      </c>
      <c r="D40" s="1795">
        <v>663</v>
      </c>
      <c r="E40" s="1795">
        <v>126</v>
      </c>
      <c r="F40" s="1793">
        <v>696</v>
      </c>
      <c r="G40" s="1795">
        <v>585</v>
      </c>
      <c r="H40" s="1795">
        <v>111</v>
      </c>
      <c r="I40" s="1402"/>
      <c r="J40" s="1402"/>
      <c r="K40" s="1402"/>
      <c r="L40" s="1402"/>
      <c r="M40" s="1402"/>
      <c r="N40" s="1402"/>
      <c r="O40" s="1402"/>
      <c r="P40" s="1788"/>
      <c r="Q40" s="1788"/>
    </row>
    <row r="41" spans="1:17" ht="18">
      <c r="A41" s="1402" t="s">
        <v>498</v>
      </c>
      <c r="B41" s="1402"/>
      <c r="C41" s="1406"/>
      <c r="D41" s="1405"/>
      <c r="E41" s="1407"/>
      <c r="F41" s="1406"/>
      <c r="G41" s="1405"/>
      <c r="H41" s="1405"/>
      <c r="I41" s="1402"/>
      <c r="J41" s="1402"/>
    </row>
    <row r="42" spans="1:17" ht="18">
      <c r="A42" s="1598" t="s">
        <v>493</v>
      </c>
      <c r="B42" s="1598"/>
      <c r="C42" s="1596"/>
      <c r="D42" s="1405"/>
      <c r="E42" s="1405"/>
      <c r="F42" s="1596"/>
      <c r="G42" s="1405"/>
      <c r="H42" s="1405"/>
    </row>
    <row r="43" spans="1:17" ht="18">
      <c r="A43" s="1402" t="s">
        <v>542</v>
      </c>
      <c r="B43" s="1402"/>
      <c r="C43" s="1597"/>
      <c r="D43" s="1597"/>
      <c r="E43" s="1597"/>
      <c r="F43" s="1597"/>
      <c r="G43" s="1597"/>
      <c r="H43" s="1597"/>
    </row>
    <row r="44" spans="1:17">
      <c r="A44" s="1597"/>
      <c r="B44" s="1597"/>
      <c r="C44" s="1597"/>
      <c r="D44" s="1597"/>
      <c r="E44" s="1597"/>
      <c r="F44" s="1597"/>
      <c r="G44" s="1597"/>
      <c r="H44" s="1597"/>
    </row>
  </sheetData>
  <printOptions horizontalCentered="1"/>
  <pageMargins left="0.70866141732283472" right="0.70866141732283472" top="0.78740157480314965" bottom="0.78740157480314965" header="0.31496062992125984" footer="0.31496062992125984"/>
  <pageSetup paperSize="9" scale="94" orientation="landscape" r:id="rId1"/>
  <rowBreaks count="1" manualBreakCount="1">
    <brk id="21" max="16383" man="1"/>
  </rowBreaks>
  <colBreaks count="1" manualBreakCount="1">
    <brk id="10" max="42" man="1"/>
  </colBreaks>
  <tableParts count="2">
    <tablePart r:id="rId2"/>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499984740745262"/>
  </sheetPr>
  <dimension ref="A2:P40"/>
  <sheetViews>
    <sheetView zoomScaleNormal="100" zoomScaleSheetLayoutView="100" workbookViewId="0">
      <selection activeCell="N30" sqref="N30"/>
    </sheetView>
  </sheetViews>
  <sheetFormatPr baseColWidth="10" defaultColWidth="11.42578125" defaultRowHeight="12.75"/>
  <cols>
    <col min="1" max="1" width="5.5703125" style="137" customWidth="1"/>
    <col min="2" max="2" width="0.85546875" style="137" customWidth="1"/>
    <col min="3" max="8" width="7.5703125" style="137" customWidth="1"/>
    <col min="9" max="10" width="10.5703125" style="137" customWidth="1"/>
    <col min="11" max="16" width="7.5703125" style="137" customWidth="1"/>
    <col min="17" max="16384" width="11.42578125" style="137"/>
  </cols>
  <sheetData>
    <row r="2" spans="1:16" ht="15">
      <c r="A2" s="2050" t="s">
        <v>215</v>
      </c>
      <c r="B2" s="2050"/>
      <c r="C2" s="2050"/>
      <c r="D2" s="2050"/>
      <c r="E2" s="2050"/>
      <c r="F2" s="235"/>
      <c r="G2" s="235"/>
      <c r="H2" s="235"/>
      <c r="I2" s="856"/>
      <c r="K2" s="857"/>
      <c r="L2" s="235"/>
      <c r="M2" s="235"/>
      <c r="N2" s="534"/>
      <c r="O2" s="235" t="s">
        <v>40</v>
      </c>
      <c r="P2" s="235"/>
    </row>
    <row r="3" spans="1:16" ht="11.1" customHeight="1">
      <c r="A3" s="990"/>
      <c r="B3" s="990"/>
      <c r="C3" s="858"/>
      <c r="D3" s="858"/>
      <c r="E3" s="858"/>
      <c r="G3" s="858"/>
      <c r="H3" s="858"/>
      <c r="I3" s="858"/>
      <c r="K3" s="859"/>
      <c r="L3" s="858"/>
      <c r="M3" s="858" t="s">
        <v>40</v>
      </c>
      <c r="N3" s="858"/>
    </row>
    <row r="4" spans="1:16" ht="14.1" customHeight="1">
      <c r="A4" s="1978" t="s">
        <v>351</v>
      </c>
      <c r="B4" s="1978"/>
      <c r="C4" s="1979"/>
      <c r="D4" s="1979"/>
      <c r="E4" s="1979"/>
      <c r="F4" s="1979"/>
      <c r="G4" s="1979"/>
      <c r="H4" s="1979"/>
      <c r="I4" s="1979"/>
      <c r="J4" s="1979"/>
      <c r="K4" s="1979"/>
      <c r="L4" s="1979"/>
      <c r="M4" s="1979"/>
      <c r="N4" s="1979"/>
      <c r="O4" s="1979"/>
      <c r="P4" s="1979"/>
    </row>
    <row r="5" spans="1:16" ht="11.1" customHeight="1" thickBot="1">
      <c r="A5" s="860"/>
      <c r="B5" s="860"/>
      <c r="C5" s="860"/>
      <c r="D5" s="860"/>
      <c r="E5" s="860"/>
      <c r="F5" s="860"/>
      <c r="G5" s="860"/>
      <c r="H5" s="860"/>
      <c r="I5" s="860"/>
      <c r="J5" s="860"/>
      <c r="K5" s="861"/>
      <c r="L5" s="860"/>
      <c r="M5" s="860"/>
      <c r="N5" s="860"/>
    </row>
    <row r="6" spans="1:16" ht="24.95" customHeight="1">
      <c r="A6" s="1953" t="s">
        <v>43</v>
      </c>
      <c r="B6" s="1984"/>
      <c r="C6" s="1965" t="s">
        <v>360</v>
      </c>
      <c r="D6" s="1966"/>
      <c r="E6" s="1966"/>
      <c r="F6" s="1966"/>
      <c r="G6" s="1966"/>
      <c r="H6" s="1967"/>
      <c r="I6" s="207" t="s">
        <v>0</v>
      </c>
      <c r="J6" s="207" t="s">
        <v>1</v>
      </c>
      <c r="K6" s="1962" t="s">
        <v>217</v>
      </c>
      <c r="L6" s="1982"/>
      <c r="M6" s="1982"/>
      <c r="N6" s="1982"/>
      <c r="O6" s="1982"/>
      <c r="P6" s="1983"/>
    </row>
    <row r="7" spans="1:16" ht="12" customHeight="1">
      <c r="A7" s="1985"/>
      <c r="B7" s="1986"/>
      <c r="C7" s="1991"/>
      <c r="D7" s="1980"/>
      <c r="E7" s="1980"/>
      <c r="F7" s="1980"/>
      <c r="G7" s="1980"/>
      <c r="H7" s="1981"/>
      <c r="I7" s="19" t="s">
        <v>3</v>
      </c>
      <c r="J7" s="19" t="s">
        <v>4</v>
      </c>
      <c r="K7" s="412"/>
      <c r="L7" s="413"/>
      <c r="M7" s="414"/>
      <c r="N7" s="1971" t="s">
        <v>300</v>
      </c>
      <c r="O7" s="1972"/>
      <c r="P7" s="1976"/>
    </row>
    <row r="8" spans="1:16" ht="12" customHeight="1">
      <c r="A8" s="1985"/>
      <c r="B8" s="1986"/>
      <c r="C8" s="599"/>
      <c r="D8" s="19"/>
      <c r="E8" s="19"/>
      <c r="F8" s="21" t="s">
        <v>167</v>
      </c>
      <c r="G8" s="21"/>
      <c r="H8" s="21"/>
      <c r="I8" s="19" t="s">
        <v>8</v>
      </c>
      <c r="J8" s="19" t="s">
        <v>8</v>
      </c>
      <c r="K8" s="15"/>
      <c r="L8" s="415"/>
      <c r="M8" s="19"/>
      <c r="N8" s="1974"/>
      <c r="O8" s="1975"/>
      <c r="P8" s="1977"/>
    </row>
    <row r="9" spans="1:16" ht="12" customHeight="1">
      <c r="A9" s="1985"/>
      <c r="B9" s="1986"/>
      <c r="C9" s="600"/>
      <c r="D9" s="208"/>
      <c r="E9" s="208"/>
      <c r="F9" s="26" t="s">
        <v>297</v>
      </c>
      <c r="G9" s="27"/>
      <c r="H9" s="27"/>
      <c r="I9" s="19" t="s">
        <v>20</v>
      </c>
      <c r="J9" s="19" t="s">
        <v>20</v>
      </c>
      <c r="K9" s="263"/>
      <c r="L9" s="418"/>
      <c r="M9" s="208"/>
      <c r="N9" s="498"/>
      <c r="O9" s="297"/>
      <c r="P9" s="551"/>
    </row>
    <row r="10" spans="1:16" ht="12" customHeight="1">
      <c r="A10" s="1985"/>
      <c r="B10" s="1986"/>
      <c r="C10" s="599" t="s">
        <v>19</v>
      </c>
      <c r="D10" s="19" t="s">
        <v>17</v>
      </c>
      <c r="E10" s="19" t="s">
        <v>18</v>
      </c>
      <c r="F10" s="420"/>
      <c r="G10" s="421"/>
      <c r="H10" s="421"/>
      <c r="I10" s="19" t="s">
        <v>33</v>
      </c>
      <c r="J10" s="19" t="s">
        <v>33</v>
      </c>
      <c r="K10" s="422" t="s">
        <v>19</v>
      </c>
      <c r="L10" s="15" t="s">
        <v>17</v>
      </c>
      <c r="M10" s="19" t="s">
        <v>18</v>
      </c>
      <c r="N10" s="20" t="s">
        <v>19</v>
      </c>
      <c r="O10" s="424" t="s">
        <v>17</v>
      </c>
      <c r="P10" s="503" t="s">
        <v>18</v>
      </c>
    </row>
    <row r="11" spans="1:16" ht="12" customHeight="1">
      <c r="A11" s="1985"/>
      <c r="B11" s="1986"/>
      <c r="C11" s="599" t="s">
        <v>29</v>
      </c>
      <c r="D11" s="19" t="s">
        <v>28</v>
      </c>
      <c r="E11" s="19" t="s">
        <v>28</v>
      </c>
      <c r="F11" s="15" t="s">
        <v>30</v>
      </c>
      <c r="G11" s="424" t="s">
        <v>31</v>
      </c>
      <c r="H11" s="424" t="s">
        <v>32</v>
      </c>
      <c r="I11" s="19" t="s">
        <v>39</v>
      </c>
      <c r="J11" s="19" t="s">
        <v>39</v>
      </c>
      <c r="K11" s="422" t="s">
        <v>29</v>
      </c>
      <c r="L11" s="15" t="s">
        <v>28</v>
      </c>
      <c r="M11" s="19" t="s">
        <v>34</v>
      </c>
      <c r="N11" s="20" t="s">
        <v>29</v>
      </c>
      <c r="O11" s="424" t="s">
        <v>28</v>
      </c>
      <c r="P11" s="503" t="s">
        <v>34</v>
      </c>
    </row>
    <row r="12" spans="1:16" ht="11.1" customHeight="1">
      <c r="A12" s="1987"/>
      <c r="B12" s="1988"/>
      <c r="C12" s="600"/>
      <c r="D12" s="208"/>
      <c r="E12" s="208"/>
      <c r="F12" s="418"/>
      <c r="G12" s="297"/>
      <c r="H12" s="297"/>
      <c r="I12" s="208"/>
      <c r="J12" s="208"/>
      <c r="K12" s="263"/>
      <c r="L12" s="418"/>
      <c r="M12" s="208"/>
      <c r="N12" s="417"/>
      <c r="O12" s="427"/>
      <c r="P12" s="518"/>
    </row>
    <row r="13" spans="1:16" ht="15" customHeight="1">
      <c r="A13" s="592" t="s">
        <v>58</v>
      </c>
      <c r="B13" s="558"/>
      <c r="C13" s="1078">
        <v>126</v>
      </c>
      <c r="D13" s="1076">
        <v>114</v>
      </c>
      <c r="E13" s="1077">
        <v>12</v>
      </c>
      <c r="F13" s="1076">
        <v>42</v>
      </c>
      <c r="G13" s="1076">
        <v>45</v>
      </c>
      <c r="H13" s="1077">
        <v>39</v>
      </c>
      <c r="I13" s="1067">
        <v>45</v>
      </c>
      <c r="J13" s="1067">
        <v>12</v>
      </c>
      <c r="K13" s="1080">
        <v>36</v>
      </c>
      <c r="L13" s="1076">
        <v>30</v>
      </c>
      <c r="M13" s="1077">
        <v>6</v>
      </c>
      <c r="N13" s="1080">
        <v>30</v>
      </c>
      <c r="O13" s="1076">
        <v>27</v>
      </c>
      <c r="P13" s="1084">
        <v>3</v>
      </c>
    </row>
    <row r="14" spans="1:16" ht="15" customHeight="1">
      <c r="A14" s="592" t="s">
        <v>49</v>
      </c>
      <c r="B14" s="121"/>
      <c r="C14" s="1069">
        <v>15</v>
      </c>
      <c r="D14" s="5">
        <v>12</v>
      </c>
      <c r="E14" s="396">
        <v>3</v>
      </c>
      <c r="F14" s="5">
        <v>6</v>
      </c>
      <c r="G14" s="5">
        <v>3</v>
      </c>
      <c r="H14" s="396">
        <v>6</v>
      </c>
      <c r="I14" s="396">
        <v>6</v>
      </c>
      <c r="J14" s="396">
        <v>3</v>
      </c>
      <c r="K14" s="1081">
        <v>6</v>
      </c>
      <c r="L14" s="5">
        <v>6</v>
      </c>
      <c r="M14" s="396">
        <v>0</v>
      </c>
      <c r="N14" s="1081">
        <v>6</v>
      </c>
      <c r="O14" s="5">
        <v>6</v>
      </c>
      <c r="P14" s="1038">
        <v>0</v>
      </c>
    </row>
    <row r="15" spans="1:16" ht="15" customHeight="1">
      <c r="A15" s="592" t="s">
        <v>52</v>
      </c>
      <c r="B15" s="121"/>
      <c r="C15" s="1069">
        <v>390</v>
      </c>
      <c r="D15" s="5">
        <v>333</v>
      </c>
      <c r="E15" s="396">
        <v>60</v>
      </c>
      <c r="F15" s="5">
        <v>117</v>
      </c>
      <c r="G15" s="5">
        <v>138</v>
      </c>
      <c r="H15" s="396">
        <v>138</v>
      </c>
      <c r="I15" s="396">
        <v>120</v>
      </c>
      <c r="J15" s="396">
        <v>51</v>
      </c>
      <c r="K15" s="1081">
        <v>96</v>
      </c>
      <c r="L15" s="5">
        <v>81</v>
      </c>
      <c r="M15" s="396">
        <v>15</v>
      </c>
      <c r="N15" s="1081">
        <v>84</v>
      </c>
      <c r="O15" s="5">
        <v>69</v>
      </c>
      <c r="P15" s="1038">
        <v>15</v>
      </c>
    </row>
    <row r="16" spans="1:16" ht="15" customHeight="1">
      <c r="A16" s="592" t="s">
        <v>48</v>
      </c>
      <c r="B16" s="557"/>
      <c r="C16" s="1069">
        <f>18+9</f>
        <v>27</v>
      </c>
      <c r="D16" s="5">
        <f>15+6</f>
        <v>21</v>
      </c>
      <c r="E16" s="396">
        <f>3+3</f>
        <v>6</v>
      </c>
      <c r="F16" s="5">
        <f>18</f>
        <v>18</v>
      </c>
      <c r="G16" s="5">
        <v>3</v>
      </c>
      <c r="H16" s="396">
        <v>6</v>
      </c>
      <c r="I16" s="396">
        <v>18</v>
      </c>
      <c r="J16" s="396">
        <v>0</v>
      </c>
      <c r="K16" s="1081">
        <v>15</v>
      </c>
      <c r="L16" s="5">
        <v>15</v>
      </c>
      <c r="M16" s="396">
        <v>0</v>
      </c>
      <c r="N16" s="1081">
        <v>15</v>
      </c>
      <c r="O16" s="5">
        <v>15</v>
      </c>
      <c r="P16" s="1038">
        <v>0</v>
      </c>
    </row>
    <row r="17" spans="1:16" ht="15" customHeight="1">
      <c r="A17" s="592" t="s">
        <v>53</v>
      </c>
      <c r="B17" s="557"/>
      <c r="C17" s="1069">
        <v>717</v>
      </c>
      <c r="D17" s="5">
        <v>642</v>
      </c>
      <c r="E17" s="396">
        <v>75</v>
      </c>
      <c r="F17" s="5">
        <v>237</v>
      </c>
      <c r="G17" s="5">
        <v>225</v>
      </c>
      <c r="H17" s="396">
        <v>258</v>
      </c>
      <c r="I17" s="396">
        <v>246</v>
      </c>
      <c r="J17" s="396">
        <v>81</v>
      </c>
      <c r="K17" s="1081">
        <v>258</v>
      </c>
      <c r="L17" s="5">
        <v>231</v>
      </c>
      <c r="M17" s="396">
        <v>30</v>
      </c>
      <c r="N17" s="1081">
        <v>237</v>
      </c>
      <c r="O17" s="5">
        <v>210</v>
      </c>
      <c r="P17" s="1038">
        <v>27</v>
      </c>
    </row>
    <row r="18" spans="1:16" ht="15" customHeight="1">
      <c r="A18" s="592" t="s">
        <v>50</v>
      </c>
      <c r="B18" s="558"/>
      <c r="C18" s="1069">
        <v>138</v>
      </c>
      <c r="D18" s="5">
        <v>120</v>
      </c>
      <c r="E18" s="396">
        <v>18</v>
      </c>
      <c r="F18" s="5">
        <v>36</v>
      </c>
      <c r="G18" s="5">
        <v>54</v>
      </c>
      <c r="H18" s="396">
        <v>48</v>
      </c>
      <c r="I18" s="396">
        <f>39</f>
        <v>39</v>
      </c>
      <c r="J18" s="396">
        <v>9</v>
      </c>
      <c r="K18" s="1081">
        <v>54</v>
      </c>
      <c r="L18" s="5">
        <v>48</v>
      </c>
      <c r="M18" s="396">
        <v>3</v>
      </c>
      <c r="N18" s="1081">
        <v>48</v>
      </c>
      <c r="O18" s="5">
        <v>42</v>
      </c>
      <c r="P18" s="1038">
        <v>3</v>
      </c>
    </row>
    <row r="19" spans="1:16" ht="15" customHeight="1">
      <c r="A19" s="592" t="s">
        <v>54</v>
      </c>
      <c r="B19" s="558"/>
      <c r="C19" s="1069">
        <f>117+48</f>
        <v>165</v>
      </c>
      <c r="D19" s="5">
        <f>102+39</f>
        <v>141</v>
      </c>
      <c r="E19" s="396">
        <f>12+9</f>
        <v>21</v>
      </c>
      <c r="F19" s="5">
        <v>48</v>
      </c>
      <c r="G19" s="5">
        <v>60</v>
      </c>
      <c r="H19" s="396">
        <f>9+48</f>
        <v>57</v>
      </c>
      <c r="I19" s="396">
        <v>60</v>
      </c>
      <c r="J19" s="396">
        <f>9+3</f>
        <v>12</v>
      </c>
      <c r="K19" s="1081">
        <v>45</v>
      </c>
      <c r="L19" s="5">
        <v>39</v>
      </c>
      <c r="M19" s="396">
        <v>6</v>
      </c>
      <c r="N19" s="1081">
        <v>45</v>
      </c>
      <c r="O19" s="5">
        <v>39</v>
      </c>
      <c r="P19" s="1038">
        <v>6</v>
      </c>
    </row>
    <row r="20" spans="1:16" ht="15" customHeight="1">
      <c r="A20" s="592" t="s">
        <v>44</v>
      </c>
      <c r="B20" s="121"/>
      <c r="C20" s="1069">
        <v>420</v>
      </c>
      <c r="D20" s="5">
        <v>324</v>
      </c>
      <c r="E20" s="396">
        <v>93</v>
      </c>
      <c r="F20" s="5">
        <v>135</v>
      </c>
      <c r="G20" s="5">
        <v>147</v>
      </c>
      <c r="H20" s="396">
        <v>135</v>
      </c>
      <c r="I20" s="396">
        <v>147</v>
      </c>
      <c r="J20" s="396">
        <v>42</v>
      </c>
      <c r="K20" s="1081">
        <v>153</v>
      </c>
      <c r="L20" s="5">
        <v>123</v>
      </c>
      <c r="M20" s="396">
        <v>27</v>
      </c>
      <c r="N20" s="1081">
        <v>138</v>
      </c>
      <c r="O20" s="5">
        <v>111</v>
      </c>
      <c r="P20" s="1038">
        <v>27</v>
      </c>
    </row>
    <row r="21" spans="1:16" ht="15" customHeight="1">
      <c r="A21" s="592" t="s">
        <v>45</v>
      </c>
      <c r="B21" s="121"/>
      <c r="C21" s="1069">
        <v>498</v>
      </c>
      <c r="D21" s="5">
        <v>384</v>
      </c>
      <c r="E21" s="396">
        <v>114</v>
      </c>
      <c r="F21" s="5">
        <v>159</v>
      </c>
      <c r="G21" s="5">
        <v>153</v>
      </c>
      <c r="H21" s="396">
        <v>189</v>
      </c>
      <c r="I21" s="396">
        <v>168</v>
      </c>
      <c r="J21" s="396">
        <v>33</v>
      </c>
      <c r="K21" s="1081">
        <v>147</v>
      </c>
      <c r="L21" s="5">
        <v>123</v>
      </c>
      <c r="M21" s="396">
        <v>24</v>
      </c>
      <c r="N21" s="1081">
        <v>132</v>
      </c>
      <c r="O21" s="5">
        <v>108</v>
      </c>
      <c r="P21" s="1038">
        <v>24</v>
      </c>
    </row>
    <row r="22" spans="1:16" ht="15" customHeight="1">
      <c r="A22" s="592" t="s">
        <v>55</v>
      </c>
      <c r="B22" s="558"/>
      <c r="C22" s="1069">
        <f>45+78</f>
        <v>123</v>
      </c>
      <c r="D22" s="5">
        <f>30+54</f>
        <v>84</v>
      </c>
      <c r="E22" s="396">
        <f>15+21</f>
        <v>36</v>
      </c>
      <c r="F22" s="5">
        <f>45</f>
        <v>45</v>
      </c>
      <c r="G22" s="5">
        <v>39</v>
      </c>
      <c r="H22" s="396">
        <v>36</v>
      </c>
      <c r="I22" s="396">
        <f>45+3</f>
        <v>48</v>
      </c>
      <c r="J22" s="396">
        <v>9</v>
      </c>
      <c r="K22" s="1081">
        <v>33</v>
      </c>
      <c r="L22" s="5">
        <v>33</v>
      </c>
      <c r="M22" s="396">
        <v>3</v>
      </c>
      <c r="N22" s="1081">
        <v>30</v>
      </c>
      <c r="O22" s="5">
        <v>30</v>
      </c>
      <c r="P22" s="1038">
        <v>3</v>
      </c>
    </row>
    <row r="23" spans="1:16" ht="15" customHeight="1">
      <c r="A23" s="592" t="s">
        <v>46</v>
      </c>
      <c r="B23" s="121"/>
      <c r="C23" s="1070">
        <v>78</v>
      </c>
      <c r="D23" s="1063">
        <v>66</v>
      </c>
      <c r="E23" s="1064">
        <v>12</v>
      </c>
      <c r="F23" s="1063">
        <v>24</v>
      </c>
      <c r="G23" s="1063">
        <v>27</v>
      </c>
      <c r="H23" s="1064">
        <v>27</v>
      </c>
      <c r="I23" s="396">
        <v>27</v>
      </c>
      <c r="J23" s="396">
        <v>12</v>
      </c>
      <c r="K23" s="1082">
        <v>24</v>
      </c>
      <c r="L23" s="1063">
        <v>24</v>
      </c>
      <c r="M23" s="1064">
        <v>3</v>
      </c>
      <c r="N23" s="1082">
        <v>24</v>
      </c>
      <c r="O23" s="1063">
        <v>24</v>
      </c>
      <c r="P23" s="1036">
        <v>3</v>
      </c>
    </row>
    <row r="24" spans="1:16" ht="15" customHeight="1">
      <c r="A24" s="592" t="s">
        <v>47</v>
      </c>
      <c r="B24" s="558"/>
      <c r="C24" s="1069">
        <f>111+66</f>
        <v>177</v>
      </c>
      <c r="D24" s="5">
        <f>69+36</f>
        <v>105</v>
      </c>
      <c r="E24" s="396">
        <f>42+30</f>
        <v>72</v>
      </c>
      <c r="F24" s="5">
        <v>60</v>
      </c>
      <c r="G24" s="5">
        <f>48+6</f>
        <v>54</v>
      </c>
      <c r="H24" s="396">
        <f>3+60</f>
        <v>63</v>
      </c>
      <c r="I24" s="732">
        <f>63+3</f>
        <v>66</v>
      </c>
      <c r="J24" s="258">
        <f>12+6</f>
        <v>18</v>
      </c>
      <c r="K24" s="1081">
        <f>3+30</f>
        <v>33</v>
      </c>
      <c r="L24" s="5">
        <v>12</v>
      </c>
      <c r="M24" s="396">
        <f>3+18</f>
        <v>21</v>
      </c>
      <c r="N24" s="1081">
        <f>3+24</f>
        <v>27</v>
      </c>
      <c r="O24" s="5">
        <v>9</v>
      </c>
      <c r="P24" s="1038">
        <f>3+15</f>
        <v>18</v>
      </c>
    </row>
    <row r="25" spans="1:16" ht="15" customHeight="1">
      <c r="A25" s="592" t="s">
        <v>51</v>
      </c>
      <c r="B25" s="121"/>
      <c r="C25" s="1069">
        <v>21</v>
      </c>
      <c r="D25" s="5">
        <v>18</v>
      </c>
      <c r="E25" s="396">
        <v>6</v>
      </c>
      <c r="F25" s="5">
        <v>12</v>
      </c>
      <c r="G25" s="5">
        <v>6</v>
      </c>
      <c r="H25" s="396">
        <v>6</v>
      </c>
      <c r="I25" s="396">
        <v>12</v>
      </c>
      <c r="J25" s="396">
        <v>3</v>
      </c>
      <c r="K25" s="1081">
        <v>6</v>
      </c>
      <c r="L25" s="5">
        <v>6</v>
      </c>
      <c r="M25" s="396">
        <v>3</v>
      </c>
      <c r="N25" s="1081">
        <v>6</v>
      </c>
      <c r="O25" s="5">
        <v>6</v>
      </c>
      <c r="P25" s="1038">
        <v>3</v>
      </c>
    </row>
    <row r="26" spans="1:16" s="90" customFormat="1" ht="15" customHeight="1">
      <c r="A26" s="592" t="s">
        <v>56</v>
      </c>
      <c r="B26" s="121"/>
      <c r="C26" s="1069">
        <v>228</v>
      </c>
      <c r="D26" s="5">
        <v>144</v>
      </c>
      <c r="E26" s="396">
        <v>81</v>
      </c>
      <c r="F26" s="5">
        <v>84</v>
      </c>
      <c r="G26" s="5">
        <v>69</v>
      </c>
      <c r="H26" s="396">
        <v>72</v>
      </c>
      <c r="I26" s="396">
        <v>93</v>
      </c>
      <c r="J26" s="396">
        <v>3</v>
      </c>
      <c r="K26" s="1081">
        <v>93</v>
      </c>
      <c r="L26" s="5">
        <v>69</v>
      </c>
      <c r="M26" s="396">
        <v>24</v>
      </c>
      <c r="N26" s="1081">
        <v>81</v>
      </c>
      <c r="O26" s="5">
        <v>60</v>
      </c>
      <c r="P26" s="1038">
        <v>21</v>
      </c>
    </row>
    <row r="27" spans="1:16" ht="15" customHeight="1">
      <c r="A27" s="592" t="s">
        <v>57</v>
      </c>
      <c r="B27" s="122"/>
      <c r="C27" s="1069">
        <v>201</v>
      </c>
      <c r="D27" s="5">
        <v>159</v>
      </c>
      <c r="E27" s="396">
        <v>39</v>
      </c>
      <c r="F27" s="5">
        <v>78</v>
      </c>
      <c r="G27" s="5">
        <v>66</v>
      </c>
      <c r="H27" s="396">
        <v>57</v>
      </c>
      <c r="I27" s="396">
        <v>81</v>
      </c>
      <c r="J27" s="396">
        <v>18</v>
      </c>
      <c r="K27" s="1081">
        <v>69</v>
      </c>
      <c r="L27" s="5">
        <v>57</v>
      </c>
      <c r="M27" s="396">
        <v>15</v>
      </c>
      <c r="N27" s="1081">
        <v>63</v>
      </c>
      <c r="O27" s="5">
        <v>51</v>
      </c>
      <c r="P27" s="1038">
        <v>12</v>
      </c>
    </row>
    <row r="28" spans="1:16" s="217" customFormat="1" ht="15" customHeight="1">
      <c r="A28" s="592" t="s">
        <v>59</v>
      </c>
      <c r="B28" s="122"/>
      <c r="C28" s="1069">
        <v>105</v>
      </c>
      <c r="D28" s="5">
        <v>81</v>
      </c>
      <c r="E28" s="396">
        <v>24</v>
      </c>
      <c r="F28" s="5">
        <v>30</v>
      </c>
      <c r="G28" s="5">
        <v>39</v>
      </c>
      <c r="H28" s="396">
        <v>36</v>
      </c>
      <c r="I28" s="1037">
        <v>33</v>
      </c>
      <c r="J28" s="1037">
        <v>6</v>
      </c>
      <c r="K28" s="1081">
        <v>33</v>
      </c>
      <c r="L28" s="5">
        <v>27</v>
      </c>
      <c r="M28" s="396">
        <v>9</v>
      </c>
      <c r="N28" s="1081">
        <v>24</v>
      </c>
      <c r="O28" s="5">
        <v>18</v>
      </c>
      <c r="P28" s="1038">
        <v>9</v>
      </c>
    </row>
    <row r="29" spans="1:16" s="335" customFormat="1" ht="4.5" customHeight="1">
      <c r="A29" s="329"/>
      <c r="B29" s="557"/>
      <c r="C29" s="408"/>
      <c r="D29" s="406"/>
      <c r="E29" s="407"/>
      <c r="F29" s="406"/>
      <c r="G29" s="406"/>
      <c r="H29" s="407"/>
      <c r="I29" s="1079"/>
      <c r="J29" s="1079"/>
      <c r="K29" s="1083"/>
      <c r="L29" s="406"/>
      <c r="M29" s="407"/>
      <c r="N29" s="1083"/>
      <c r="O29" s="406"/>
      <c r="P29" s="1085"/>
    </row>
    <row r="30" spans="1:16" ht="21" customHeight="1" thickBot="1">
      <c r="A30" s="593" t="s">
        <v>60</v>
      </c>
      <c r="B30" s="541"/>
      <c r="C30" s="1068">
        <f>273+18+87+525+2532</f>
        <v>3435</v>
      </c>
      <c r="D30" s="580">
        <f>201+15+72+408+2058</f>
        <v>2754</v>
      </c>
      <c r="E30" s="1065">
        <f>69+3+15+117+474</f>
        <v>678</v>
      </c>
      <c r="F30" s="580">
        <f>153+18+27+168+768</f>
        <v>1134</v>
      </c>
      <c r="G30" s="580">
        <f>108+3+27+186+807</f>
        <v>1131</v>
      </c>
      <c r="H30" s="1065">
        <f>9+33+171+954</f>
        <v>1167</v>
      </c>
      <c r="I30" s="1066">
        <f>168+18+27+180+816</f>
        <v>1209</v>
      </c>
      <c r="J30" s="1066">
        <f>21+12+48+228</f>
        <v>309</v>
      </c>
      <c r="K30" s="580">
        <f>3+15+27+186+876</f>
        <v>1107</v>
      </c>
      <c r="L30" s="580">
        <f>15+24+150+732</f>
        <v>921</v>
      </c>
      <c r="M30" s="1065">
        <f>3+3+36+144</f>
        <v>186</v>
      </c>
      <c r="N30" s="580">
        <f>3+15+27+165+786</f>
        <v>996</v>
      </c>
      <c r="O30" s="580">
        <f>15+24+129+654</f>
        <v>822</v>
      </c>
      <c r="P30" s="1039">
        <f>3+3+33+132</f>
        <v>171</v>
      </c>
    </row>
    <row r="31" spans="1:16" ht="3.6" customHeight="1">
      <c r="A31" s="73"/>
      <c r="B31" s="73"/>
      <c r="C31" s="571"/>
      <c r="D31" s="571"/>
      <c r="E31" s="571"/>
      <c r="F31" s="571"/>
      <c r="G31" s="571"/>
      <c r="H31" s="571"/>
      <c r="I31" s="571"/>
      <c r="J31" s="571"/>
      <c r="K31" s="571"/>
      <c r="L31" s="571"/>
      <c r="M31" s="571"/>
      <c r="N31" s="572"/>
      <c r="O31" s="313"/>
      <c r="P31" s="312"/>
    </row>
    <row r="32" spans="1:16" ht="11.25" customHeight="1">
      <c r="A32" s="70" t="s">
        <v>299</v>
      </c>
      <c r="B32" s="73"/>
      <c r="C32" s="571"/>
      <c r="D32" s="571"/>
      <c r="E32" s="571"/>
      <c r="F32" s="571"/>
      <c r="G32" s="571"/>
      <c r="H32" s="571"/>
      <c r="I32" s="571"/>
      <c r="J32" s="571"/>
      <c r="K32" s="571"/>
      <c r="L32" s="571"/>
      <c r="M32" s="571"/>
      <c r="N32" s="572"/>
      <c r="O32" s="313"/>
      <c r="P32" s="312"/>
    </row>
    <row r="33" spans="1:16" s="70" customFormat="1" ht="12" customHeight="1">
      <c r="A33" s="70" t="s">
        <v>355</v>
      </c>
      <c r="O33" s="500"/>
      <c r="P33" s="82"/>
    </row>
    <row r="34" spans="1:16" s="90" customFormat="1">
      <c r="K34" s="664"/>
    </row>
    <row r="35" spans="1:16" s="862" customFormat="1">
      <c r="H35" s="137"/>
    </row>
    <row r="36" spans="1:16" s="312" customFormat="1" ht="13.5" thickBot="1">
      <c r="A36" s="593" t="s">
        <v>60</v>
      </c>
      <c r="B36" s="598"/>
      <c r="C36" s="1068">
        <v>3429</v>
      </c>
      <c r="D36" s="580">
        <v>2748</v>
      </c>
      <c r="E36" s="1065">
        <v>672</v>
      </c>
      <c r="F36" s="580">
        <v>1131</v>
      </c>
      <c r="G36" s="580">
        <v>1128</v>
      </c>
      <c r="H36" s="1065">
        <v>1173</v>
      </c>
      <c r="I36" s="580">
        <v>1209</v>
      </c>
      <c r="J36" s="1066">
        <v>312</v>
      </c>
      <c r="K36" s="1068">
        <v>1101</v>
      </c>
      <c r="L36" s="580">
        <v>924</v>
      </c>
      <c r="M36" s="1065">
        <v>189</v>
      </c>
      <c r="N36" s="1068">
        <v>990</v>
      </c>
      <c r="O36" s="580">
        <v>825</v>
      </c>
      <c r="P36" s="1039">
        <v>174</v>
      </c>
    </row>
    <row r="37" spans="1:16" s="312" customFormat="1" ht="13.5" thickBot="1">
      <c r="A37" s="593" t="s">
        <v>386</v>
      </c>
      <c r="B37" s="598"/>
      <c r="C37" s="1321">
        <f t="shared" ref="C37:P37" si="0">C30-C36</f>
        <v>6</v>
      </c>
      <c r="D37" s="1297">
        <f t="shared" si="0"/>
        <v>6</v>
      </c>
      <c r="E37" s="1298">
        <f t="shared" si="0"/>
        <v>6</v>
      </c>
      <c r="F37" s="1322">
        <f t="shared" si="0"/>
        <v>3</v>
      </c>
      <c r="G37" s="1297">
        <f t="shared" si="0"/>
        <v>3</v>
      </c>
      <c r="H37" s="1296">
        <f t="shared" si="0"/>
        <v>-6</v>
      </c>
      <c r="I37" s="1305">
        <f t="shared" si="0"/>
        <v>0</v>
      </c>
      <c r="J37" s="1336">
        <f t="shared" si="0"/>
        <v>-3</v>
      </c>
      <c r="K37" s="1321">
        <f t="shared" si="0"/>
        <v>6</v>
      </c>
      <c r="L37" s="1295">
        <f t="shared" si="0"/>
        <v>-3</v>
      </c>
      <c r="M37" s="1296">
        <f t="shared" si="0"/>
        <v>-3</v>
      </c>
      <c r="N37" s="1321">
        <f t="shared" si="0"/>
        <v>6</v>
      </c>
      <c r="O37" s="1295">
        <f t="shared" si="0"/>
        <v>-3</v>
      </c>
      <c r="P37" s="1349">
        <f t="shared" si="0"/>
        <v>-3</v>
      </c>
    </row>
    <row r="38" spans="1:16" s="312" customFormat="1">
      <c r="I38" s="138"/>
    </row>
    <row r="39" spans="1:16" s="312" customFormat="1"/>
    <row r="40" spans="1:16" s="312" customFormat="1"/>
  </sheetData>
  <mergeCells count="6">
    <mergeCell ref="A2:E2"/>
    <mergeCell ref="K6:P6"/>
    <mergeCell ref="A4:P4"/>
    <mergeCell ref="A6:B12"/>
    <mergeCell ref="N7:P8"/>
    <mergeCell ref="C6:H7"/>
  </mergeCells>
  <printOptions horizontalCentered="1"/>
  <pageMargins left="0.98425196850393704" right="0.98425196850393704" top="0.78740157480314965" bottom="0.70866141732283472" header="0.51181102362204722" footer="0.51181102362204722"/>
  <pageSetup paperSize="9" orientation="landscape" r:id="rId1"/>
  <headerFooter alignWithMargins="0">
    <oddHeader>&amp;C&amp;"Arial,Standard"&amp;8- 17 -&amp;R&amp;8&amp;D</oddHeader>
    <oddFooter>&amp;R
&amp;12...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R42"/>
  <sheetViews>
    <sheetView zoomScaleNormal="100" workbookViewId="0"/>
  </sheetViews>
  <sheetFormatPr baseColWidth="10" defaultColWidth="11.42578125" defaultRowHeight="16.5"/>
  <cols>
    <col min="1" max="1" width="19.85546875" style="1566" customWidth="1"/>
    <col min="2" max="2" width="9.42578125" style="1566" customWidth="1"/>
    <col min="3" max="3" width="14.5703125" style="1566" customWidth="1"/>
    <col min="4" max="4" width="14" style="1566" customWidth="1"/>
    <col min="5" max="7" width="13.42578125" style="1566" customWidth="1"/>
    <col min="8" max="8" width="17.140625" style="1566" customWidth="1"/>
    <col min="9" max="9" width="17.42578125" style="1566" customWidth="1"/>
    <col min="10" max="16384" width="11.42578125" style="1566"/>
  </cols>
  <sheetData>
    <row r="1" spans="1:18" ht="18">
      <c r="A1" s="1599" t="s">
        <v>424</v>
      </c>
      <c r="B1" s="1423"/>
      <c r="C1" s="1423"/>
      <c r="D1" s="1423"/>
      <c r="E1" s="1423"/>
      <c r="F1" s="1423"/>
      <c r="G1" s="1423"/>
      <c r="H1" s="1423"/>
      <c r="I1" s="1423"/>
    </row>
    <row r="2" spans="1:18">
      <c r="A2" s="1600" t="s">
        <v>159</v>
      </c>
      <c r="B2" s="1600"/>
      <c r="C2" s="1600"/>
      <c r="D2" s="1600"/>
      <c r="E2" s="1600"/>
      <c r="F2" s="1600"/>
      <c r="G2" s="1600"/>
      <c r="H2" s="1600"/>
      <c r="I2" s="1600"/>
      <c r="J2" s="1646"/>
    </row>
    <row r="3" spans="1:18" ht="18">
      <c r="A3" s="1600" t="s">
        <v>559</v>
      </c>
      <c r="B3" s="1423"/>
      <c r="C3" s="1423"/>
      <c r="D3" s="1423"/>
      <c r="E3" s="1423"/>
      <c r="F3" s="1423"/>
      <c r="G3" s="1423"/>
      <c r="H3" s="1423"/>
      <c r="I3" s="1423"/>
    </row>
    <row r="4" spans="1:18" ht="66">
      <c r="A4" s="1421" t="s">
        <v>43</v>
      </c>
      <c r="B4" s="1706" t="s">
        <v>94</v>
      </c>
      <c r="C4" s="1708" t="s">
        <v>416</v>
      </c>
      <c r="D4" s="1420" t="s">
        <v>417</v>
      </c>
      <c r="E4" s="1419" t="s">
        <v>419</v>
      </c>
      <c r="F4" s="1419" t="s">
        <v>420</v>
      </c>
      <c r="G4" s="1419" t="s">
        <v>421</v>
      </c>
      <c r="H4" s="1419" t="s">
        <v>414</v>
      </c>
      <c r="I4" s="1418" t="s">
        <v>415</v>
      </c>
    </row>
    <row r="5" spans="1:18" ht="18">
      <c r="A5" s="1434" t="s">
        <v>437</v>
      </c>
      <c r="B5" s="1394">
        <v>0</v>
      </c>
      <c r="C5" s="1395">
        <v>0</v>
      </c>
      <c r="D5" s="1396">
        <v>0</v>
      </c>
      <c r="E5" s="1395">
        <v>0</v>
      </c>
      <c r="F5" s="1395">
        <v>0</v>
      </c>
      <c r="G5" s="1395">
        <v>0</v>
      </c>
      <c r="H5" s="1576">
        <v>0</v>
      </c>
      <c r="I5" s="1716">
        <v>0</v>
      </c>
      <c r="K5" s="1788"/>
      <c r="L5" s="1788"/>
      <c r="M5" s="1788"/>
      <c r="N5" s="1788"/>
      <c r="O5" s="1788"/>
      <c r="P5" s="1788"/>
      <c r="Q5" s="1788"/>
      <c r="R5" s="1788"/>
    </row>
    <row r="6" spans="1:18" ht="18">
      <c r="A6" s="1434" t="s">
        <v>438</v>
      </c>
      <c r="B6" s="1394">
        <v>0</v>
      </c>
      <c r="C6" s="1395">
        <v>0</v>
      </c>
      <c r="D6" s="1396">
        <v>0</v>
      </c>
      <c r="E6" s="1395">
        <v>0</v>
      </c>
      <c r="F6" s="1395">
        <v>0</v>
      </c>
      <c r="G6" s="1395">
        <v>0</v>
      </c>
      <c r="H6" s="1397">
        <v>0</v>
      </c>
      <c r="I6" s="1395">
        <v>0</v>
      </c>
      <c r="K6" s="1788"/>
      <c r="L6" s="1788"/>
      <c r="M6" s="1788"/>
      <c r="N6" s="1788"/>
      <c r="O6" s="1788"/>
      <c r="P6" s="1788"/>
      <c r="Q6" s="1788"/>
      <c r="R6" s="1788"/>
    </row>
    <row r="7" spans="1:18" ht="18">
      <c r="A7" s="1434" t="s">
        <v>439</v>
      </c>
      <c r="B7" s="1394">
        <v>6</v>
      </c>
      <c r="C7" s="1395">
        <v>6</v>
      </c>
      <c r="D7" s="1396">
        <v>3</v>
      </c>
      <c r="E7" s="1498">
        <v>0</v>
      </c>
      <c r="F7" s="1395">
        <v>6</v>
      </c>
      <c r="G7" s="1395">
        <v>3</v>
      </c>
      <c r="H7" s="1916">
        <v>6</v>
      </c>
      <c r="I7" s="1717">
        <v>3</v>
      </c>
      <c r="K7" s="1788"/>
      <c r="L7" s="1788"/>
      <c r="M7" s="1788"/>
      <c r="N7" s="1788"/>
      <c r="O7" s="1788"/>
      <c r="P7" s="1788"/>
      <c r="Q7" s="1788"/>
      <c r="R7" s="1788"/>
    </row>
    <row r="8" spans="1:18" ht="18">
      <c r="A8" s="1434" t="s">
        <v>440</v>
      </c>
      <c r="B8" s="1394">
        <v>0</v>
      </c>
      <c r="C8" s="1395">
        <v>0</v>
      </c>
      <c r="D8" s="1396">
        <v>0</v>
      </c>
      <c r="E8" s="1395">
        <v>0</v>
      </c>
      <c r="F8" s="1395">
        <v>0</v>
      </c>
      <c r="G8" s="1395">
        <v>0</v>
      </c>
      <c r="H8" s="1397">
        <v>0</v>
      </c>
      <c r="I8" s="1498">
        <v>0</v>
      </c>
      <c r="K8" s="1788"/>
      <c r="L8" s="1788"/>
      <c r="M8" s="1788"/>
      <c r="N8" s="1788"/>
      <c r="O8" s="1788"/>
      <c r="P8" s="1788"/>
      <c r="Q8" s="1788"/>
      <c r="R8" s="1788"/>
    </row>
    <row r="9" spans="1:18" ht="18">
      <c r="A9" s="1434" t="s">
        <v>441</v>
      </c>
      <c r="B9" s="1394">
        <v>9</v>
      </c>
      <c r="C9" s="1395">
        <v>6</v>
      </c>
      <c r="D9" s="1396">
        <v>3</v>
      </c>
      <c r="E9" s="1395">
        <v>3</v>
      </c>
      <c r="F9" s="1395">
        <v>3</v>
      </c>
      <c r="G9" s="1395">
        <v>3</v>
      </c>
      <c r="H9" s="1916">
        <v>6</v>
      </c>
      <c r="I9" s="1926">
        <v>0</v>
      </c>
      <c r="K9" s="1788"/>
      <c r="L9" s="1788"/>
      <c r="M9" s="1788"/>
      <c r="N9" s="1788"/>
      <c r="O9" s="1788"/>
      <c r="P9" s="1788"/>
      <c r="Q9" s="1788"/>
      <c r="R9" s="1788"/>
    </row>
    <row r="10" spans="1:18" ht="18">
      <c r="A10" s="1434" t="s">
        <v>442</v>
      </c>
      <c r="B10" s="1394">
        <v>3</v>
      </c>
      <c r="C10" s="1395">
        <v>3</v>
      </c>
      <c r="D10" s="1396">
        <v>0</v>
      </c>
      <c r="E10" s="1395">
        <v>3</v>
      </c>
      <c r="F10" s="1395">
        <v>0</v>
      </c>
      <c r="G10" s="1395">
        <v>0</v>
      </c>
      <c r="H10" s="1397">
        <v>3</v>
      </c>
      <c r="I10" s="1395">
        <v>0</v>
      </c>
      <c r="K10" s="1788"/>
      <c r="L10" s="1788"/>
      <c r="M10" s="1788"/>
      <c r="N10" s="1788"/>
      <c r="O10" s="1788"/>
      <c r="P10" s="1788"/>
      <c r="Q10" s="1788"/>
      <c r="R10" s="1788"/>
    </row>
    <row r="11" spans="1:18" ht="18">
      <c r="A11" s="1434" t="s">
        <v>466</v>
      </c>
      <c r="B11" s="1394">
        <v>9</v>
      </c>
      <c r="C11" s="1395">
        <v>9</v>
      </c>
      <c r="D11" s="1396">
        <v>0</v>
      </c>
      <c r="E11" s="1395">
        <v>0</v>
      </c>
      <c r="F11" s="1395">
        <v>6</v>
      </c>
      <c r="G11" s="1395">
        <v>6</v>
      </c>
      <c r="H11" s="1916">
        <v>6</v>
      </c>
      <c r="I11" s="1926">
        <v>3</v>
      </c>
      <c r="K11" s="1788"/>
      <c r="L11" s="1788"/>
      <c r="M11" s="1788"/>
      <c r="N11" s="1788"/>
      <c r="O11" s="1788"/>
      <c r="P11" s="1788"/>
      <c r="Q11" s="1788"/>
      <c r="R11" s="1788"/>
    </row>
    <row r="12" spans="1:18" ht="18">
      <c r="A12" s="1434" t="s">
        <v>444</v>
      </c>
      <c r="B12" s="1394">
        <v>0</v>
      </c>
      <c r="C12" s="1395">
        <v>0</v>
      </c>
      <c r="D12" s="1396">
        <v>0</v>
      </c>
      <c r="E12" s="1395">
        <v>0</v>
      </c>
      <c r="F12" s="1395">
        <v>0</v>
      </c>
      <c r="G12" s="1395">
        <v>0</v>
      </c>
      <c r="H12" s="1397">
        <v>0</v>
      </c>
      <c r="I12" s="1926">
        <v>0</v>
      </c>
      <c r="K12" s="1788"/>
      <c r="L12" s="1788"/>
      <c r="M12" s="1788"/>
      <c r="N12" s="1788"/>
      <c r="O12" s="1788"/>
      <c r="P12" s="1788"/>
      <c r="Q12" s="1788"/>
      <c r="R12" s="1788"/>
    </row>
    <row r="13" spans="1:18" ht="18">
      <c r="A13" s="1434" t="s">
        <v>445</v>
      </c>
      <c r="B13" s="1394">
        <v>15</v>
      </c>
      <c r="C13" s="1395">
        <v>15</v>
      </c>
      <c r="D13" s="1396">
        <v>0</v>
      </c>
      <c r="E13" s="1395">
        <v>0</v>
      </c>
      <c r="F13" s="1395">
        <v>15</v>
      </c>
      <c r="G13" s="1395">
        <v>0</v>
      </c>
      <c r="H13" s="1916">
        <v>12</v>
      </c>
      <c r="I13" s="1395">
        <v>0</v>
      </c>
      <c r="K13" s="1788"/>
      <c r="L13" s="1788"/>
      <c r="M13" s="1788"/>
      <c r="N13" s="1788"/>
      <c r="O13" s="1788"/>
      <c r="P13" s="1788"/>
      <c r="Q13" s="1788"/>
      <c r="R13" s="1788"/>
    </row>
    <row r="14" spans="1:18" ht="18">
      <c r="A14" s="1434" t="s">
        <v>446</v>
      </c>
      <c r="B14" s="1394">
        <v>0</v>
      </c>
      <c r="C14" s="1395">
        <v>0</v>
      </c>
      <c r="D14" s="1396">
        <v>0</v>
      </c>
      <c r="E14" s="1395">
        <v>0</v>
      </c>
      <c r="F14" s="1395">
        <v>0</v>
      </c>
      <c r="G14" s="1395">
        <v>0</v>
      </c>
      <c r="H14" s="1397">
        <v>0</v>
      </c>
      <c r="I14" s="1395">
        <v>0</v>
      </c>
      <c r="K14" s="1788"/>
      <c r="L14" s="1788"/>
      <c r="M14" s="1788"/>
      <c r="N14" s="1788"/>
      <c r="O14" s="1788"/>
      <c r="P14" s="1788"/>
      <c r="Q14" s="1788"/>
      <c r="R14" s="1788"/>
    </row>
    <row r="15" spans="1:18" ht="18">
      <c r="A15" s="1434" t="s">
        <v>447</v>
      </c>
      <c r="B15" s="1394">
        <v>0</v>
      </c>
      <c r="C15" s="1395">
        <v>0</v>
      </c>
      <c r="D15" s="1396">
        <v>0</v>
      </c>
      <c r="E15" s="1395">
        <v>0</v>
      </c>
      <c r="F15" s="1395">
        <v>0</v>
      </c>
      <c r="G15" s="1395">
        <v>0</v>
      </c>
      <c r="H15" s="1397">
        <v>0</v>
      </c>
      <c r="I15" s="1395">
        <v>0</v>
      </c>
      <c r="K15" s="1788"/>
      <c r="L15" s="1788"/>
      <c r="M15" s="1788"/>
      <c r="N15" s="1788"/>
      <c r="O15" s="1788"/>
      <c r="P15" s="1788"/>
      <c r="Q15" s="1788"/>
      <c r="R15" s="1788"/>
    </row>
    <row r="16" spans="1:18" ht="18">
      <c r="A16" s="1434" t="s">
        <v>448</v>
      </c>
      <c r="B16" s="1394">
        <v>0</v>
      </c>
      <c r="C16" s="1395">
        <v>0</v>
      </c>
      <c r="D16" s="1396">
        <v>0</v>
      </c>
      <c r="E16" s="1395">
        <v>0</v>
      </c>
      <c r="F16" s="1395">
        <v>0</v>
      </c>
      <c r="G16" s="1395">
        <v>0</v>
      </c>
      <c r="H16" s="1397">
        <v>0</v>
      </c>
      <c r="I16" s="1395">
        <v>0</v>
      </c>
      <c r="K16" s="1788"/>
      <c r="L16" s="1788"/>
      <c r="M16" s="1788"/>
      <c r="N16" s="1788"/>
      <c r="O16" s="1788"/>
      <c r="P16" s="1788"/>
      <c r="Q16" s="1788"/>
      <c r="R16" s="1788"/>
    </row>
    <row r="17" spans="1:18" ht="18">
      <c r="A17" s="1434" t="s">
        <v>449</v>
      </c>
      <c r="B17" s="1394">
        <v>6</v>
      </c>
      <c r="C17" s="1395">
        <v>6</v>
      </c>
      <c r="D17" s="1396">
        <v>3</v>
      </c>
      <c r="E17" s="1395">
        <v>0</v>
      </c>
      <c r="F17" s="1395">
        <v>3</v>
      </c>
      <c r="G17" s="1395">
        <v>6</v>
      </c>
      <c r="H17" s="1916">
        <v>6</v>
      </c>
      <c r="I17" s="1395">
        <v>3</v>
      </c>
      <c r="K17" s="1788"/>
      <c r="L17" s="1788"/>
      <c r="M17" s="1788"/>
      <c r="N17" s="1788"/>
      <c r="O17" s="1788"/>
      <c r="P17" s="1788"/>
      <c r="Q17" s="1788"/>
      <c r="R17" s="1788"/>
    </row>
    <row r="18" spans="1:18" ht="18">
      <c r="A18" s="1434" t="s">
        <v>450</v>
      </c>
      <c r="B18" s="1394">
        <v>0</v>
      </c>
      <c r="C18" s="1395">
        <v>0</v>
      </c>
      <c r="D18" s="1396">
        <v>0</v>
      </c>
      <c r="E18" s="1395">
        <v>0</v>
      </c>
      <c r="F18" s="1395">
        <v>0</v>
      </c>
      <c r="G18" s="1395">
        <v>0</v>
      </c>
      <c r="H18" s="1916">
        <v>0</v>
      </c>
      <c r="I18" s="1498">
        <v>0</v>
      </c>
      <c r="K18" s="1788"/>
      <c r="L18" s="1788"/>
      <c r="M18" s="1788"/>
      <c r="N18" s="1788"/>
      <c r="O18" s="1788"/>
      <c r="P18" s="1788"/>
      <c r="Q18" s="1788"/>
      <c r="R18" s="1788"/>
    </row>
    <row r="19" spans="1:18" ht="18">
      <c r="A19" s="1434" t="s">
        <v>451</v>
      </c>
      <c r="B19" s="1394">
        <v>3</v>
      </c>
      <c r="C19" s="1395">
        <v>3</v>
      </c>
      <c r="D19" s="1396">
        <v>0</v>
      </c>
      <c r="E19" s="1395">
        <v>0</v>
      </c>
      <c r="F19" s="1395">
        <v>3</v>
      </c>
      <c r="G19" s="1395">
        <v>3</v>
      </c>
      <c r="H19" s="1397">
        <v>3</v>
      </c>
      <c r="I19" s="1926">
        <v>0</v>
      </c>
      <c r="K19" s="1788"/>
      <c r="L19" s="1788"/>
      <c r="M19" s="1788"/>
      <c r="N19" s="1788"/>
      <c r="O19" s="1788"/>
      <c r="P19" s="1788"/>
      <c r="Q19" s="1788"/>
      <c r="R19" s="1788"/>
    </row>
    <row r="20" spans="1:18" ht="18">
      <c r="A20" s="1434" t="s">
        <v>452</v>
      </c>
      <c r="B20" s="1394">
        <v>3</v>
      </c>
      <c r="C20" s="1395">
        <v>3</v>
      </c>
      <c r="D20" s="1396">
        <v>0</v>
      </c>
      <c r="E20" s="1395">
        <v>0</v>
      </c>
      <c r="F20" s="1395">
        <v>3</v>
      </c>
      <c r="G20" s="1395">
        <v>3</v>
      </c>
      <c r="H20" s="1769">
        <v>3</v>
      </c>
      <c r="I20" s="1395">
        <v>0</v>
      </c>
      <c r="K20" s="1788"/>
      <c r="L20" s="1788"/>
      <c r="M20" s="1788"/>
      <c r="N20" s="1788"/>
      <c r="O20" s="1788"/>
      <c r="P20" s="1788"/>
      <c r="Q20" s="1788"/>
      <c r="R20" s="1788"/>
    </row>
    <row r="21" spans="1:18">
      <c r="A21" s="1435" t="s">
        <v>418</v>
      </c>
      <c r="B21" s="1790">
        <v>60</v>
      </c>
      <c r="C21" s="1791">
        <v>51</v>
      </c>
      <c r="D21" s="1791">
        <v>9</v>
      </c>
      <c r="E21" s="1790">
        <v>6</v>
      </c>
      <c r="F21" s="1791">
        <v>33</v>
      </c>
      <c r="G21" s="1792">
        <v>21</v>
      </c>
      <c r="H21" s="1698">
        <v>45</v>
      </c>
      <c r="I21" s="1699">
        <v>6</v>
      </c>
      <c r="K21" s="1788"/>
      <c r="L21" s="1788"/>
      <c r="M21" s="1788"/>
      <c r="N21" s="1788"/>
      <c r="O21" s="1788"/>
      <c r="P21" s="1788"/>
      <c r="Q21" s="1788"/>
      <c r="R21" s="1788"/>
    </row>
    <row r="22" spans="1:18" ht="18">
      <c r="A22" s="1601" t="s">
        <v>552</v>
      </c>
      <c r="B22" s="1412"/>
      <c r="C22" s="1412"/>
      <c r="D22" s="1412"/>
      <c r="E22" s="1412"/>
      <c r="F22" s="1412"/>
      <c r="G22" s="1412"/>
      <c r="H22" s="1411"/>
      <c r="I22" s="1411"/>
    </row>
    <row r="23" spans="1:18" ht="66">
      <c r="A23" s="1421" t="s">
        <v>43</v>
      </c>
      <c r="B23" s="1706" t="s">
        <v>94</v>
      </c>
      <c r="C23" s="1707" t="s">
        <v>92</v>
      </c>
      <c r="D23" s="1409" t="s">
        <v>93</v>
      </c>
      <c r="E23" s="1419" t="s">
        <v>474</v>
      </c>
      <c r="F23" s="1419" t="s">
        <v>422</v>
      </c>
      <c r="G23" s="1418" t="s">
        <v>423</v>
      </c>
      <c r="H23" s="1408"/>
      <c r="I23" s="1408"/>
    </row>
    <row r="24" spans="1:18" ht="18">
      <c r="A24" s="1434" t="s">
        <v>437</v>
      </c>
      <c r="B24" s="1394">
        <v>0</v>
      </c>
      <c r="C24" s="1395">
        <v>0</v>
      </c>
      <c r="D24" s="1396">
        <v>0</v>
      </c>
      <c r="E24" s="1395">
        <v>0</v>
      </c>
      <c r="F24" s="1395">
        <v>0</v>
      </c>
      <c r="G24" s="1395">
        <v>0</v>
      </c>
      <c r="H24" s="1402"/>
      <c r="I24" s="1402"/>
    </row>
    <row r="25" spans="1:18" ht="18">
      <c r="A25" s="1434" t="s">
        <v>438</v>
      </c>
      <c r="B25" s="1394">
        <v>0</v>
      </c>
      <c r="C25" s="1395">
        <v>0</v>
      </c>
      <c r="D25" s="1396">
        <v>0</v>
      </c>
      <c r="E25" s="1395">
        <v>0</v>
      </c>
      <c r="F25" s="1395">
        <v>0</v>
      </c>
      <c r="G25" s="1395">
        <v>0</v>
      </c>
      <c r="H25" s="1402"/>
      <c r="I25" s="1402"/>
    </row>
    <row r="26" spans="1:18" ht="18">
      <c r="A26" s="1434" t="s">
        <v>439</v>
      </c>
      <c r="B26" s="1394">
        <v>3</v>
      </c>
      <c r="C26" s="1395">
        <v>3</v>
      </c>
      <c r="D26" s="1396">
        <v>0</v>
      </c>
      <c r="E26" s="1498">
        <v>3</v>
      </c>
      <c r="F26" s="1395">
        <v>3</v>
      </c>
      <c r="G26" s="1396">
        <v>0</v>
      </c>
      <c r="H26" s="1402"/>
      <c r="I26" s="1402"/>
    </row>
    <row r="27" spans="1:18" ht="18">
      <c r="A27" s="1434" t="s">
        <v>440</v>
      </c>
      <c r="B27" s="1394">
        <v>0</v>
      </c>
      <c r="C27" s="1395">
        <v>0</v>
      </c>
      <c r="D27" s="1396">
        <v>0</v>
      </c>
      <c r="E27" s="1395">
        <v>0</v>
      </c>
      <c r="F27" s="1395">
        <v>0</v>
      </c>
      <c r="G27" s="1395">
        <v>0</v>
      </c>
      <c r="H27" s="1402"/>
      <c r="I27" s="1402"/>
    </row>
    <row r="28" spans="1:18" ht="18">
      <c r="A28" s="1434" t="s">
        <v>441</v>
      </c>
      <c r="B28" s="1394">
        <v>3</v>
      </c>
      <c r="C28" s="1395">
        <v>3</v>
      </c>
      <c r="D28" s="1396">
        <v>0</v>
      </c>
      <c r="E28" s="1395">
        <v>3</v>
      </c>
      <c r="F28" s="1395">
        <v>3</v>
      </c>
      <c r="G28" s="1395">
        <v>0</v>
      </c>
      <c r="H28" s="1402"/>
      <c r="I28" s="1402"/>
    </row>
    <row r="29" spans="1:18" ht="18">
      <c r="A29" s="1434" t="s">
        <v>442</v>
      </c>
      <c r="B29" s="1394">
        <v>3</v>
      </c>
      <c r="C29" s="1395">
        <v>3</v>
      </c>
      <c r="D29" s="1396">
        <v>0</v>
      </c>
      <c r="E29" s="1498">
        <v>3</v>
      </c>
      <c r="F29" s="1395">
        <v>3</v>
      </c>
      <c r="G29" s="1396">
        <v>0</v>
      </c>
      <c r="H29" s="1408"/>
      <c r="I29" s="1402"/>
    </row>
    <row r="30" spans="1:18" ht="18">
      <c r="A30" s="1434" t="s">
        <v>443</v>
      </c>
      <c r="B30" s="1394">
        <v>3</v>
      </c>
      <c r="C30" s="1395">
        <v>0</v>
      </c>
      <c r="D30" s="1396">
        <v>0</v>
      </c>
      <c r="E30" s="1395">
        <v>3</v>
      </c>
      <c r="F30" s="1395">
        <v>0</v>
      </c>
      <c r="G30" s="1395">
        <v>0</v>
      </c>
      <c r="H30" s="1402"/>
      <c r="I30" s="1402"/>
    </row>
    <row r="31" spans="1:18" ht="18">
      <c r="A31" s="1434" t="s">
        <v>444</v>
      </c>
      <c r="B31" s="1394">
        <v>0</v>
      </c>
      <c r="C31" s="1395">
        <v>0</v>
      </c>
      <c r="D31" s="1396">
        <v>0</v>
      </c>
      <c r="E31" s="1395">
        <v>0</v>
      </c>
      <c r="F31" s="1395">
        <v>0</v>
      </c>
      <c r="G31" s="1395">
        <v>0</v>
      </c>
      <c r="H31" s="1402"/>
      <c r="I31" s="1402"/>
    </row>
    <row r="32" spans="1:18" ht="18">
      <c r="A32" s="1434" t="s">
        <v>445</v>
      </c>
      <c r="B32" s="1394">
        <v>9</v>
      </c>
      <c r="C32" s="1395">
        <v>9</v>
      </c>
      <c r="D32" s="1396">
        <v>0</v>
      </c>
      <c r="E32" s="1498">
        <v>9</v>
      </c>
      <c r="F32" s="1395">
        <v>9</v>
      </c>
      <c r="G32" s="1396">
        <v>0</v>
      </c>
      <c r="H32" s="1402"/>
      <c r="I32" s="1402"/>
    </row>
    <row r="33" spans="1:14" ht="18">
      <c r="A33" s="1434" t="s">
        <v>446</v>
      </c>
      <c r="B33" s="1394">
        <v>0</v>
      </c>
      <c r="C33" s="1395">
        <v>0</v>
      </c>
      <c r="D33" s="1396">
        <v>0</v>
      </c>
      <c r="E33" s="1395">
        <v>0</v>
      </c>
      <c r="F33" s="1395">
        <v>0</v>
      </c>
      <c r="G33" s="1395">
        <v>0</v>
      </c>
      <c r="H33" s="1402"/>
      <c r="I33" s="1402"/>
    </row>
    <row r="34" spans="1:14" ht="18">
      <c r="A34" s="1434" t="s">
        <v>447</v>
      </c>
      <c r="B34" s="1394">
        <v>0</v>
      </c>
      <c r="C34" s="1395">
        <v>0</v>
      </c>
      <c r="D34" s="1396">
        <v>0</v>
      </c>
      <c r="E34" s="1395">
        <v>0</v>
      </c>
      <c r="F34" s="1395">
        <v>0</v>
      </c>
      <c r="G34" s="1395">
        <v>0</v>
      </c>
      <c r="H34" s="1402"/>
      <c r="I34" s="1402"/>
    </row>
    <row r="35" spans="1:14" ht="18">
      <c r="A35" s="1434" t="s">
        <v>448</v>
      </c>
      <c r="B35" s="1394">
        <v>0</v>
      </c>
      <c r="C35" s="1395">
        <v>0</v>
      </c>
      <c r="D35" s="1396">
        <v>0</v>
      </c>
      <c r="E35" s="1498">
        <v>0</v>
      </c>
      <c r="F35" s="1395">
        <v>0</v>
      </c>
      <c r="G35" s="1396">
        <v>0</v>
      </c>
      <c r="H35" s="1402"/>
      <c r="I35" s="1402"/>
    </row>
    <row r="36" spans="1:14" ht="18">
      <c r="A36" s="1434" t="s">
        <v>449</v>
      </c>
      <c r="B36" s="1394">
        <v>3</v>
      </c>
      <c r="C36" s="1395">
        <v>3</v>
      </c>
      <c r="D36" s="1396">
        <v>0</v>
      </c>
      <c r="E36" s="1395">
        <v>0</v>
      </c>
      <c r="F36" s="1395">
        <v>0</v>
      </c>
      <c r="G36" s="1395">
        <v>0</v>
      </c>
      <c r="H36" s="1402"/>
      <c r="I36" s="1402"/>
    </row>
    <row r="37" spans="1:14" ht="18">
      <c r="A37" s="1434" t="s">
        <v>450</v>
      </c>
      <c r="B37" s="1394">
        <v>0</v>
      </c>
      <c r="C37" s="1395">
        <v>0</v>
      </c>
      <c r="D37" s="1396">
        <v>0</v>
      </c>
      <c r="E37" s="1395">
        <v>0</v>
      </c>
      <c r="F37" s="1395">
        <v>0</v>
      </c>
      <c r="G37" s="1395">
        <v>0</v>
      </c>
      <c r="H37" s="1395"/>
      <c r="I37" s="1402"/>
    </row>
    <row r="38" spans="1:14" ht="18">
      <c r="A38" s="1434" t="s">
        <v>451</v>
      </c>
      <c r="B38" s="1394">
        <v>3</v>
      </c>
      <c r="C38" s="1395">
        <v>3</v>
      </c>
      <c r="D38" s="1396">
        <v>0</v>
      </c>
      <c r="E38" s="1498">
        <v>0</v>
      </c>
      <c r="F38" s="1395">
        <v>0</v>
      </c>
      <c r="G38" s="1396">
        <v>0</v>
      </c>
      <c r="H38" s="1498"/>
      <c r="I38" s="1402"/>
    </row>
    <row r="39" spans="1:14" ht="18">
      <c r="A39" s="1434" t="s">
        <v>452</v>
      </c>
      <c r="B39" s="1394">
        <v>0</v>
      </c>
      <c r="C39" s="1395">
        <v>0</v>
      </c>
      <c r="D39" s="1396">
        <v>0</v>
      </c>
      <c r="E39" s="1395">
        <v>0</v>
      </c>
      <c r="F39" s="1395">
        <v>0</v>
      </c>
      <c r="G39" s="1395">
        <v>0</v>
      </c>
      <c r="H39" s="1395"/>
      <c r="I39" s="1402"/>
    </row>
    <row r="40" spans="1:14" ht="18">
      <c r="A40" s="1729" t="s">
        <v>418</v>
      </c>
      <c r="B40" s="1790">
        <v>24</v>
      </c>
      <c r="C40" s="1791">
        <v>24</v>
      </c>
      <c r="D40" s="1791">
        <v>3</v>
      </c>
      <c r="E40" s="1790">
        <v>24</v>
      </c>
      <c r="F40" s="1791">
        <v>21</v>
      </c>
      <c r="G40" s="1792">
        <v>3</v>
      </c>
      <c r="H40" s="1402"/>
      <c r="I40" s="1402"/>
      <c r="J40" s="1402"/>
      <c r="K40" s="1402"/>
      <c r="L40" s="1402"/>
      <c r="M40" s="1402"/>
      <c r="N40" s="1402"/>
    </row>
    <row r="41" spans="1:14" ht="18">
      <c r="A41" s="1408" t="s">
        <v>498</v>
      </c>
      <c r="B41" s="1596"/>
      <c r="C41" s="1405"/>
      <c r="D41" s="1407"/>
      <c r="E41" s="1406"/>
      <c r="F41" s="1405"/>
      <c r="G41" s="1405"/>
      <c r="H41" s="1402"/>
      <c r="I41" s="1402"/>
    </row>
    <row r="42" spans="1:14" ht="18">
      <c r="A42" s="1402" t="s">
        <v>542</v>
      </c>
      <c r="B42" s="1402"/>
      <c r="C42" s="1402"/>
      <c r="D42" s="1403"/>
      <c r="E42" s="1402"/>
      <c r="F42" s="1402"/>
      <c r="G42" s="1402"/>
      <c r="H42" s="1402"/>
      <c r="I42" s="1402"/>
    </row>
  </sheetData>
  <printOptions horizontalCentered="1"/>
  <pageMargins left="0.70866141732283472" right="0.70866141732283472" top="0.78740157480314965" bottom="0.78740157480314965" header="0.31496062992125984" footer="0.31496062992125984"/>
  <pageSetup paperSize="9" orientation="landscape" r:id="rId1"/>
  <rowBreaks count="1" manualBreakCount="1">
    <brk id="21" max="16383" man="1"/>
  </rowBreaks>
  <tableParts count="2">
    <tablePart r:id="rId2"/>
    <tablePart r:id="rId3"/>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499984740745262"/>
  </sheetPr>
  <dimension ref="A1:P37"/>
  <sheetViews>
    <sheetView zoomScaleNormal="100" zoomScaleSheetLayoutView="100" workbookViewId="0">
      <selection activeCell="O37" sqref="O37"/>
    </sheetView>
  </sheetViews>
  <sheetFormatPr baseColWidth="10" defaultColWidth="11.42578125" defaultRowHeight="14.25"/>
  <cols>
    <col min="1" max="1" width="5.5703125" style="37" customWidth="1"/>
    <col min="2" max="2" width="0.85546875" style="37" customWidth="1"/>
    <col min="3" max="8" width="7.5703125" style="37" customWidth="1"/>
    <col min="9" max="10" width="10.5703125" style="268" customWidth="1"/>
    <col min="11" max="16" width="7.5703125" style="37" customWidth="1"/>
    <col min="17" max="16384" width="11.42578125" style="37"/>
  </cols>
  <sheetData>
    <row r="1" spans="1:16" ht="13.35" customHeight="1"/>
    <row r="2" spans="1:16" s="865" customFormat="1" ht="13.35" customHeight="1">
      <c r="A2" s="728" t="s">
        <v>215</v>
      </c>
      <c r="B2" s="863"/>
      <c r="C2" s="863"/>
      <c r="D2" s="863"/>
      <c r="E2" s="863"/>
      <c r="F2" s="235"/>
      <c r="G2" s="235"/>
      <c r="H2" s="235"/>
      <c r="I2" s="856"/>
      <c r="J2" s="864" t="s">
        <v>40</v>
      </c>
      <c r="K2" s="857"/>
      <c r="L2" s="235"/>
      <c r="M2" s="235"/>
      <c r="N2" s="534"/>
    </row>
    <row r="3" spans="1:16" ht="11.1" customHeight="1">
      <c r="A3" s="991"/>
      <c r="B3" s="991"/>
      <c r="C3" s="866"/>
      <c r="D3" s="866"/>
      <c r="E3" s="866"/>
      <c r="F3" s="866"/>
      <c r="G3" s="866"/>
      <c r="H3" s="866"/>
      <c r="I3" s="864"/>
      <c r="J3" s="37"/>
      <c r="K3" s="866"/>
      <c r="L3" s="866"/>
      <c r="M3" s="866" t="s">
        <v>40</v>
      </c>
      <c r="N3" s="866"/>
    </row>
    <row r="4" spans="1:16" ht="14.1" customHeight="1">
      <c r="A4" s="1978" t="s">
        <v>159</v>
      </c>
      <c r="B4" s="1978"/>
      <c r="C4" s="1979"/>
      <c r="D4" s="1979"/>
      <c r="E4" s="1979"/>
      <c r="F4" s="1979"/>
      <c r="G4" s="1979"/>
      <c r="H4" s="1979"/>
      <c r="I4" s="1979"/>
      <c r="J4" s="1979"/>
      <c r="K4" s="1979"/>
      <c r="L4" s="1979"/>
      <c r="M4" s="1979"/>
      <c r="N4" s="1979"/>
      <c r="O4" s="1979"/>
      <c r="P4" s="1979"/>
    </row>
    <row r="5" spans="1:16" ht="11.1" customHeight="1" thickBot="1">
      <c r="A5" s="867"/>
      <c r="B5" s="867"/>
      <c r="C5" s="867"/>
      <c r="D5" s="867"/>
      <c r="E5" s="867"/>
      <c r="F5" s="867"/>
      <c r="G5" s="867"/>
      <c r="H5" s="867"/>
      <c r="I5" s="868"/>
      <c r="J5" s="868"/>
      <c r="K5" s="867"/>
      <c r="L5" s="867"/>
      <c r="M5" s="867"/>
      <c r="N5" s="867"/>
    </row>
    <row r="6" spans="1:16" ht="24.6" customHeight="1">
      <c r="A6" s="1953" t="s">
        <v>43</v>
      </c>
      <c r="B6" s="1984"/>
      <c r="C6" s="1966" t="s">
        <v>360</v>
      </c>
      <c r="D6" s="1966" t="s">
        <v>116</v>
      </c>
      <c r="E6" s="1966" t="s">
        <v>116</v>
      </c>
      <c r="F6" s="1966" t="s">
        <v>116</v>
      </c>
      <c r="G6" s="1966" t="s">
        <v>116</v>
      </c>
      <c r="H6" s="1967" t="s">
        <v>116</v>
      </c>
      <c r="I6" s="344" t="s">
        <v>0</v>
      </c>
      <c r="J6" s="501" t="s">
        <v>1</v>
      </c>
      <c r="K6" s="1962" t="s">
        <v>219</v>
      </c>
      <c r="L6" s="1982"/>
      <c r="M6" s="1982"/>
      <c r="N6" s="1982"/>
      <c r="O6" s="1982"/>
      <c r="P6" s="1983"/>
    </row>
    <row r="7" spans="1:16" ht="12" customHeight="1">
      <c r="A7" s="1985"/>
      <c r="B7" s="1986"/>
      <c r="C7" s="1980"/>
      <c r="D7" s="1980"/>
      <c r="E7" s="1980"/>
      <c r="F7" s="1980"/>
      <c r="G7" s="1980"/>
      <c r="H7" s="1981"/>
      <c r="I7" s="97" t="s">
        <v>3</v>
      </c>
      <c r="J7" s="502" t="s">
        <v>4</v>
      </c>
      <c r="K7" s="519"/>
      <c r="L7" s="19"/>
      <c r="M7" s="20"/>
      <c r="N7" s="503" t="s">
        <v>314</v>
      </c>
      <c r="O7" s="19"/>
      <c r="P7" s="423"/>
    </row>
    <row r="8" spans="1:16" ht="12" customHeight="1">
      <c r="A8" s="1985"/>
      <c r="B8" s="1986"/>
      <c r="C8" s="600"/>
      <c r="D8" s="208"/>
      <c r="E8" s="208"/>
      <c r="F8" s="21" t="s">
        <v>167</v>
      </c>
      <c r="G8" s="21"/>
      <c r="H8" s="40"/>
      <c r="I8" s="97" t="s">
        <v>8</v>
      </c>
      <c r="J8" s="502" t="s">
        <v>8</v>
      </c>
      <c r="K8" s="418"/>
      <c r="L8" s="208"/>
      <c r="M8" s="417"/>
      <c r="N8" s="503" t="s">
        <v>189</v>
      </c>
      <c r="O8" s="208"/>
      <c r="P8" s="428"/>
    </row>
    <row r="9" spans="1:16" ht="12" customHeight="1">
      <c r="A9" s="1985"/>
      <c r="B9" s="1986"/>
      <c r="C9" s="1124"/>
      <c r="D9" s="1124"/>
      <c r="E9" s="1123"/>
      <c r="F9" s="26" t="s">
        <v>297</v>
      </c>
      <c r="G9" s="21"/>
      <c r="H9" s="40"/>
      <c r="I9" s="97" t="s">
        <v>20</v>
      </c>
      <c r="J9" s="502" t="s">
        <v>20</v>
      </c>
      <c r="K9" s="418"/>
      <c r="L9" s="208"/>
      <c r="M9" s="417"/>
      <c r="N9" s="414"/>
      <c r="O9" s="414"/>
      <c r="P9" s="419"/>
    </row>
    <row r="10" spans="1:16" ht="12" customHeight="1">
      <c r="A10" s="1985"/>
      <c r="B10" s="1986"/>
      <c r="C10" s="599" t="s">
        <v>19</v>
      </c>
      <c r="D10" s="19" t="s">
        <v>17</v>
      </c>
      <c r="E10" s="19" t="s">
        <v>18</v>
      </c>
      <c r="F10" s="499"/>
      <c r="G10" s="499"/>
      <c r="H10" s="499"/>
      <c r="I10" s="97" t="s">
        <v>33</v>
      </c>
      <c r="J10" s="502" t="s">
        <v>33</v>
      </c>
      <c r="K10" s="20" t="s">
        <v>19</v>
      </c>
      <c r="L10" s="424" t="s">
        <v>17</v>
      </c>
      <c r="M10" s="19" t="s">
        <v>18</v>
      </c>
      <c r="N10" s="20" t="s">
        <v>19</v>
      </c>
      <c r="O10" s="424" t="s">
        <v>17</v>
      </c>
      <c r="P10" s="503" t="s">
        <v>18</v>
      </c>
    </row>
    <row r="11" spans="1:16" ht="12" customHeight="1">
      <c r="A11" s="1985"/>
      <c r="B11" s="1986"/>
      <c r="C11" s="599" t="s">
        <v>29</v>
      </c>
      <c r="D11" s="19" t="s">
        <v>28</v>
      </c>
      <c r="E11" s="19" t="s">
        <v>28</v>
      </c>
      <c r="F11" s="331" t="s">
        <v>30</v>
      </c>
      <c r="G11" s="331" t="s">
        <v>31</v>
      </c>
      <c r="H11" s="505" t="s">
        <v>32</v>
      </c>
      <c r="I11" s="97" t="s">
        <v>39</v>
      </c>
      <c r="J11" s="502" t="s">
        <v>39</v>
      </c>
      <c r="K11" s="20" t="s">
        <v>29</v>
      </c>
      <c r="L11" s="424" t="s">
        <v>28</v>
      </c>
      <c r="M11" s="19" t="s">
        <v>34</v>
      </c>
      <c r="N11" s="20" t="s">
        <v>29</v>
      </c>
      <c r="O11" s="424" t="s">
        <v>28</v>
      </c>
      <c r="P11" s="503" t="s">
        <v>34</v>
      </c>
    </row>
    <row r="12" spans="1:16" ht="11.1" customHeight="1">
      <c r="A12" s="1987"/>
      <c r="B12" s="1988"/>
      <c r="C12" s="657"/>
      <c r="D12" s="507"/>
      <c r="E12" s="507"/>
      <c r="F12" s="508"/>
      <c r="G12" s="508"/>
      <c r="H12" s="509"/>
      <c r="I12" s="510"/>
      <c r="J12" s="511"/>
      <c r="K12" s="506"/>
      <c r="L12" s="512"/>
      <c r="M12" s="507"/>
      <c r="N12" s="506"/>
      <c r="O12" s="512"/>
      <c r="P12" s="416"/>
    </row>
    <row r="13" spans="1:16" ht="15" customHeight="1">
      <c r="A13" s="592" t="s">
        <v>58</v>
      </c>
      <c r="B13" s="558"/>
      <c r="C13" s="1078">
        <v>3</v>
      </c>
      <c r="D13" s="1076">
        <v>3</v>
      </c>
      <c r="E13" s="1077">
        <v>0</v>
      </c>
      <c r="F13" s="1076">
        <v>0</v>
      </c>
      <c r="G13" s="1076">
        <v>0</v>
      </c>
      <c r="H13" s="1077">
        <v>3</v>
      </c>
      <c r="I13" s="1067">
        <v>3</v>
      </c>
      <c r="J13" s="1067">
        <v>0</v>
      </c>
      <c r="K13" s="1080">
        <v>0</v>
      </c>
      <c r="L13" s="1076">
        <v>0</v>
      </c>
      <c r="M13" s="1077">
        <v>0</v>
      </c>
      <c r="N13" s="1080">
        <v>0</v>
      </c>
      <c r="O13" s="1076">
        <v>0</v>
      </c>
      <c r="P13" s="1084">
        <v>0</v>
      </c>
    </row>
    <row r="14" spans="1:16" ht="15" customHeight="1">
      <c r="A14" s="592" t="s">
        <v>49</v>
      </c>
      <c r="B14" s="121"/>
      <c r="C14" s="1069">
        <v>0</v>
      </c>
      <c r="D14" s="5">
        <v>0</v>
      </c>
      <c r="E14" s="396">
        <v>0</v>
      </c>
      <c r="F14" s="5">
        <v>0</v>
      </c>
      <c r="G14" s="5">
        <v>0</v>
      </c>
      <c r="H14" s="396">
        <v>0</v>
      </c>
      <c r="I14" s="396">
        <v>0</v>
      </c>
      <c r="J14" s="396">
        <v>0</v>
      </c>
      <c r="K14" s="1081">
        <v>0</v>
      </c>
      <c r="L14" s="5">
        <v>0</v>
      </c>
      <c r="M14" s="396">
        <v>0</v>
      </c>
      <c r="N14" s="1081">
        <v>0</v>
      </c>
      <c r="O14" s="5">
        <v>0</v>
      </c>
      <c r="P14" s="1038">
        <v>0</v>
      </c>
    </row>
    <row r="15" spans="1:16" ht="15" customHeight="1">
      <c r="A15" s="592" t="s">
        <v>52</v>
      </c>
      <c r="B15" s="121"/>
      <c r="C15" s="1069">
        <v>12</v>
      </c>
      <c r="D15" s="5">
        <v>12</v>
      </c>
      <c r="E15" s="396">
        <v>0</v>
      </c>
      <c r="F15" s="5">
        <v>0</v>
      </c>
      <c r="G15" s="5">
        <v>6</v>
      </c>
      <c r="H15" s="396">
        <v>6</v>
      </c>
      <c r="I15" s="396">
        <v>6</v>
      </c>
      <c r="J15" s="396">
        <v>3</v>
      </c>
      <c r="K15" s="1081">
        <v>3</v>
      </c>
      <c r="L15" s="5">
        <v>3</v>
      </c>
      <c r="M15" s="396">
        <v>0</v>
      </c>
      <c r="N15" s="1081">
        <v>3</v>
      </c>
      <c r="O15" s="5">
        <v>3</v>
      </c>
      <c r="P15" s="1038">
        <v>0</v>
      </c>
    </row>
    <row r="16" spans="1:16" s="52" customFormat="1" ht="15" customHeight="1">
      <c r="A16" s="592" t="s">
        <v>48</v>
      </c>
      <c r="B16" s="557"/>
      <c r="C16" s="1069">
        <v>0</v>
      </c>
      <c r="D16" s="5">
        <v>0</v>
      </c>
      <c r="E16" s="396">
        <v>0</v>
      </c>
      <c r="F16" s="5">
        <v>0</v>
      </c>
      <c r="G16" s="5">
        <v>0</v>
      </c>
      <c r="H16" s="396">
        <v>0</v>
      </c>
      <c r="I16" s="396">
        <v>0</v>
      </c>
      <c r="J16" s="396">
        <v>0</v>
      </c>
      <c r="K16" s="1081">
        <v>0</v>
      </c>
      <c r="L16" s="5">
        <v>0</v>
      </c>
      <c r="M16" s="396">
        <v>0</v>
      </c>
      <c r="N16" s="1081">
        <v>0</v>
      </c>
      <c r="O16" s="5">
        <v>0</v>
      </c>
      <c r="P16" s="1038">
        <v>0</v>
      </c>
    </row>
    <row r="17" spans="1:16" ht="15" customHeight="1">
      <c r="A17" s="592" t="s">
        <v>53</v>
      </c>
      <c r="B17" s="557"/>
      <c r="C17" s="1069">
        <v>9</v>
      </c>
      <c r="D17" s="5">
        <v>9</v>
      </c>
      <c r="E17" s="396">
        <v>0</v>
      </c>
      <c r="F17" s="5">
        <v>0</v>
      </c>
      <c r="G17" s="5">
        <v>6</v>
      </c>
      <c r="H17" s="396">
        <v>3</v>
      </c>
      <c r="I17" s="396">
        <v>6</v>
      </c>
      <c r="J17" s="396">
        <v>0</v>
      </c>
      <c r="K17" s="1081">
        <v>3</v>
      </c>
      <c r="L17" s="5">
        <v>3</v>
      </c>
      <c r="M17" s="396">
        <v>0</v>
      </c>
      <c r="N17" s="1081">
        <v>3</v>
      </c>
      <c r="O17" s="5">
        <v>3</v>
      </c>
      <c r="P17" s="1038">
        <v>0</v>
      </c>
    </row>
    <row r="18" spans="1:16" ht="15" customHeight="1">
      <c r="A18" s="592" t="s">
        <v>50</v>
      </c>
      <c r="B18" s="558"/>
      <c r="C18" s="1069">
        <v>6</v>
      </c>
      <c r="D18" s="5">
        <v>6</v>
      </c>
      <c r="E18" s="396">
        <v>0</v>
      </c>
      <c r="F18" s="5">
        <v>0</v>
      </c>
      <c r="G18" s="5">
        <v>3</v>
      </c>
      <c r="H18" s="396">
        <v>3</v>
      </c>
      <c r="I18" s="396">
        <v>3</v>
      </c>
      <c r="J18" s="396">
        <v>0</v>
      </c>
      <c r="K18" s="1081">
        <v>0</v>
      </c>
      <c r="L18" s="5">
        <v>0</v>
      </c>
      <c r="M18" s="396">
        <v>0</v>
      </c>
      <c r="N18" s="1081">
        <v>0</v>
      </c>
      <c r="O18" s="5">
        <v>0</v>
      </c>
      <c r="P18" s="1038">
        <v>0</v>
      </c>
    </row>
    <row r="19" spans="1:16" ht="15" customHeight="1">
      <c r="A19" s="592" t="s">
        <v>54</v>
      </c>
      <c r="B19" s="558"/>
      <c r="C19" s="1069">
        <v>9</v>
      </c>
      <c r="D19" s="5">
        <v>9</v>
      </c>
      <c r="E19" s="396">
        <v>0</v>
      </c>
      <c r="F19" s="5">
        <v>0</v>
      </c>
      <c r="G19" s="5">
        <v>6</v>
      </c>
      <c r="H19" s="396">
        <v>3</v>
      </c>
      <c r="I19" s="396">
        <v>6</v>
      </c>
      <c r="J19" s="396">
        <v>3</v>
      </c>
      <c r="K19" s="1081">
        <v>3</v>
      </c>
      <c r="L19" s="5">
        <v>3</v>
      </c>
      <c r="M19" s="396">
        <v>0</v>
      </c>
      <c r="N19" s="1081">
        <v>3</v>
      </c>
      <c r="O19" s="5">
        <v>3</v>
      </c>
      <c r="P19" s="1038">
        <v>0</v>
      </c>
    </row>
    <row r="20" spans="1:16" ht="15" customHeight="1">
      <c r="A20" s="592" t="s">
        <v>44</v>
      </c>
      <c r="B20" s="121"/>
      <c r="C20" s="1069">
        <v>0</v>
      </c>
      <c r="D20" s="5">
        <v>0</v>
      </c>
      <c r="E20" s="396">
        <v>0</v>
      </c>
      <c r="F20" s="5">
        <v>0</v>
      </c>
      <c r="G20" s="5">
        <v>0</v>
      </c>
      <c r="H20" s="396">
        <v>0</v>
      </c>
      <c r="I20" s="396">
        <v>0</v>
      </c>
      <c r="J20" s="396">
        <v>0</v>
      </c>
      <c r="K20" s="1081">
        <v>0</v>
      </c>
      <c r="L20" s="5">
        <v>0</v>
      </c>
      <c r="M20" s="396">
        <v>0</v>
      </c>
      <c r="N20" s="1081">
        <v>0</v>
      </c>
      <c r="O20" s="5">
        <v>0</v>
      </c>
      <c r="P20" s="1038">
        <v>0</v>
      </c>
    </row>
    <row r="21" spans="1:16" ht="15" customHeight="1">
      <c r="A21" s="592" t="s">
        <v>45</v>
      </c>
      <c r="B21" s="121"/>
      <c r="C21" s="1069">
        <v>15</v>
      </c>
      <c r="D21" s="5">
        <v>15</v>
      </c>
      <c r="E21" s="396">
        <v>0</v>
      </c>
      <c r="F21" s="5">
        <v>0</v>
      </c>
      <c r="G21" s="5">
        <v>0</v>
      </c>
      <c r="H21" s="396">
        <v>15</v>
      </c>
      <c r="I21" s="396">
        <v>0</v>
      </c>
      <c r="J21" s="396">
        <v>0</v>
      </c>
      <c r="K21" s="1081">
        <v>3</v>
      </c>
      <c r="L21" s="5">
        <v>3</v>
      </c>
      <c r="M21" s="396">
        <v>0</v>
      </c>
      <c r="N21" s="1081">
        <v>3</v>
      </c>
      <c r="O21" s="5">
        <v>3</v>
      </c>
      <c r="P21" s="1038">
        <v>0</v>
      </c>
    </row>
    <row r="22" spans="1:16" ht="15" customHeight="1">
      <c r="A22" s="592" t="s">
        <v>55</v>
      </c>
      <c r="B22" s="558"/>
      <c r="C22" s="1069">
        <v>0</v>
      </c>
      <c r="D22" s="5">
        <v>0</v>
      </c>
      <c r="E22" s="396">
        <v>0</v>
      </c>
      <c r="F22" s="5">
        <v>0</v>
      </c>
      <c r="G22" s="5">
        <v>0</v>
      </c>
      <c r="H22" s="396">
        <v>0</v>
      </c>
      <c r="I22" s="396">
        <v>0</v>
      </c>
      <c r="J22" s="396">
        <v>0</v>
      </c>
      <c r="K22" s="1081">
        <v>0</v>
      </c>
      <c r="L22" s="5">
        <v>0</v>
      </c>
      <c r="M22" s="396">
        <v>0</v>
      </c>
      <c r="N22" s="1081">
        <v>0</v>
      </c>
      <c r="O22" s="5">
        <v>0</v>
      </c>
      <c r="P22" s="1038">
        <v>0</v>
      </c>
    </row>
    <row r="23" spans="1:16" ht="15" customHeight="1">
      <c r="A23" s="592" t="s">
        <v>46</v>
      </c>
      <c r="B23" s="121"/>
      <c r="C23" s="1070">
        <v>0</v>
      </c>
      <c r="D23" s="1063">
        <v>0</v>
      </c>
      <c r="E23" s="1064">
        <v>0</v>
      </c>
      <c r="F23" s="1063">
        <v>0</v>
      </c>
      <c r="G23" s="1063">
        <v>0</v>
      </c>
      <c r="H23" s="1064">
        <v>0</v>
      </c>
      <c r="I23" s="396">
        <v>0</v>
      </c>
      <c r="J23" s="396">
        <v>0</v>
      </c>
      <c r="K23" s="1082">
        <v>0</v>
      </c>
      <c r="L23" s="1063">
        <v>0</v>
      </c>
      <c r="M23" s="1064">
        <v>0</v>
      </c>
      <c r="N23" s="1082">
        <v>0</v>
      </c>
      <c r="O23" s="1063">
        <v>0</v>
      </c>
      <c r="P23" s="1036">
        <v>0</v>
      </c>
    </row>
    <row r="24" spans="1:16" ht="15" customHeight="1">
      <c r="A24" s="592" t="s">
        <v>47</v>
      </c>
      <c r="B24" s="558"/>
      <c r="C24" s="1069">
        <v>3</v>
      </c>
      <c r="D24" s="5">
        <v>3</v>
      </c>
      <c r="E24" s="396">
        <v>0</v>
      </c>
      <c r="F24" s="5">
        <v>0</v>
      </c>
      <c r="G24" s="5">
        <v>0</v>
      </c>
      <c r="H24" s="396">
        <v>3</v>
      </c>
      <c r="I24" s="258">
        <v>0</v>
      </c>
      <c r="J24" s="258">
        <v>0</v>
      </c>
      <c r="K24" s="1081">
        <v>0</v>
      </c>
      <c r="L24" s="5">
        <v>0</v>
      </c>
      <c r="M24" s="396">
        <v>0</v>
      </c>
      <c r="N24" s="1081">
        <v>0</v>
      </c>
      <c r="O24" s="5">
        <v>0</v>
      </c>
      <c r="P24" s="1038">
        <v>0</v>
      </c>
    </row>
    <row r="25" spans="1:16" ht="15" customHeight="1">
      <c r="A25" s="592" t="s">
        <v>51</v>
      </c>
      <c r="B25" s="121"/>
      <c r="C25" s="1069">
        <v>3</v>
      </c>
      <c r="D25" s="5">
        <v>3</v>
      </c>
      <c r="E25" s="396">
        <v>0</v>
      </c>
      <c r="F25" s="5">
        <v>0</v>
      </c>
      <c r="G25" s="5">
        <v>0</v>
      </c>
      <c r="H25" s="396">
        <v>3</v>
      </c>
      <c r="I25" s="396">
        <v>3</v>
      </c>
      <c r="J25" s="396">
        <v>0</v>
      </c>
      <c r="K25" s="1081">
        <v>0</v>
      </c>
      <c r="L25" s="5">
        <v>0</v>
      </c>
      <c r="M25" s="396">
        <v>0</v>
      </c>
      <c r="N25" s="1081">
        <v>0</v>
      </c>
      <c r="O25" s="5">
        <v>0</v>
      </c>
      <c r="P25" s="1038">
        <v>0</v>
      </c>
    </row>
    <row r="26" spans="1:16" ht="15" customHeight="1">
      <c r="A26" s="592" t="s">
        <v>56</v>
      </c>
      <c r="B26" s="121"/>
      <c r="C26" s="1069">
        <v>0</v>
      </c>
      <c r="D26" s="5">
        <v>0</v>
      </c>
      <c r="E26" s="396">
        <v>0</v>
      </c>
      <c r="F26" s="5">
        <v>0</v>
      </c>
      <c r="G26" s="5">
        <v>0</v>
      </c>
      <c r="H26" s="396">
        <v>0</v>
      </c>
      <c r="I26" s="396">
        <v>0</v>
      </c>
      <c r="J26" s="396">
        <v>0</v>
      </c>
      <c r="K26" s="1081">
        <v>0</v>
      </c>
      <c r="L26" s="5">
        <v>0</v>
      </c>
      <c r="M26" s="396">
        <v>0</v>
      </c>
      <c r="N26" s="1081">
        <v>0</v>
      </c>
      <c r="O26" s="5">
        <v>0</v>
      </c>
      <c r="P26" s="1038">
        <v>0</v>
      </c>
    </row>
    <row r="27" spans="1:16" s="254" customFormat="1" ht="15" customHeight="1">
      <c r="A27" s="592" t="s">
        <v>57</v>
      </c>
      <c r="B27" s="122"/>
      <c r="C27" s="1069">
        <v>0</v>
      </c>
      <c r="D27" s="5">
        <v>0</v>
      </c>
      <c r="E27" s="396">
        <v>0</v>
      </c>
      <c r="F27" s="5">
        <v>0</v>
      </c>
      <c r="G27" s="5">
        <v>0</v>
      </c>
      <c r="H27" s="396">
        <v>0</v>
      </c>
      <c r="I27" s="396">
        <v>0</v>
      </c>
      <c r="J27" s="396">
        <v>0</v>
      </c>
      <c r="K27" s="1081">
        <v>0</v>
      </c>
      <c r="L27" s="5">
        <v>0</v>
      </c>
      <c r="M27" s="396">
        <v>0</v>
      </c>
      <c r="N27" s="1081">
        <v>0</v>
      </c>
      <c r="O27" s="5">
        <v>0</v>
      </c>
      <c r="P27" s="1038">
        <v>0</v>
      </c>
    </row>
    <row r="28" spans="1:16" s="267" customFormat="1" ht="15" customHeight="1">
      <c r="A28" s="592" t="s">
        <v>59</v>
      </c>
      <c r="B28" s="122"/>
      <c r="C28" s="1069">
        <v>0</v>
      </c>
      <c r="D28" s="5">
        <v>0</v>
      </c>
      <c r="E28" s="396">
        <v>0</v>
      </c>
      <c r="F28" s="5">
        <v>0</v>
      </c>
      <c r="G28" s="5">
        <v>0</v>
      </c>
      <c r="H28" s="396">
        <v>0</v>
      </c>
      <c r="I28" s="1037">
        <v>0</v>
      </c>
      <c r="J28" s="1037">
        <v>0</v>
      </c>
      <c r="K28" s="1081">
        <v>0</v>
      </c>
      <c r="L28" s="5">
        <v>0</v>
      </c>
      <c r="M28" s="396">
        <v>0</v>
      </c>
      <c r="N28" s="1081">
        <v>0</v>
      </c>
      <c r="O28" s="5">
        <v>0</v>
      </c>
      <c r="P28" s="1038">
        <v>0</v>
      </c>
    </row>
    <row r="29" spans="1:16" s="336" customFormat="1" ht="4.5" customHeight="1">
      <c r="A29" s="329"/>
      <c r="B29" s="557"/>
      <c r="C29" s="408"/>
      <c r="D29" s="406"/>
      <c r="E29" s="407"/>
      <c r="F29" s="406"/>
      <c r="G29" s="406"/>
      <c r="H29" s="407"/>
      <c r="I29" s="1079"/>
      <c r="J29" s="1079"/>
      <c r="K29" s="1083"/>
      <c r="L29" s="406"/>
      <c r="M29" s="407"/>
      <c r="N29" s="1083"/>
      <c r="O29" s="406"/>
      <c r="P29" s="1085"/>
    </row>
    <row r="30" spans="1:16" s="254" customFormat="1" ht="21" customHeight="1" thickBot="1">
      <c r="A30" s="593" t="s">
        <v>60</v>
      </c>
      <c r="B30" s="541"/>
      <c r="C30" s="1068">
        <v>66</v>
      </c>
      <c r="D30" s="580">
        <v>63</v>
      </c>
      <c r="E30" s="1065">
        <v>0</v>
      </c>
      <c r="F30" s="580">
        <v>0</v>
      </c>
      <c r="G30" s="580">
        <v>21</v>
      </c>
      <c r="H30" s="1065">
        <v>42</v>
      </c>
      <c r="I30" s="1066">
        <v>30</v>
      </c>
      <c r="J30" s="1066">
        <v>9</v>
      </c>
      <c r="K30" s="580">
        <v>18</v>
      </c>
      <c r="L30" s="580">
        <v>15</v>
      </c>
      <c r="M30" s="1065">
        <v>0</v>
      </c>
      <c r="N30" s="580">
        <v>15</v>
      </c>
      <c r="O30" s="580">
        <v>15</v>
      </c>
      <c r="P30" s="1039">
        <v>0</v>
      </c>
    </row>
    <row r="31" spans="1:16" ht="3.6" customHeight="1">
      <c r="A31" s="71"/>
      <c r="B31" s="71"/>
    </row>
    <row r="32" spans="1:16" s="254" customFormat="1" ht="11.1" customHeight="1">
      <c r="A32" s="70" t="s">
        <v>312</v>
      </c>
      <c r="B32" s="70"/>
      <c r="C32" s="37"/>
      <c r="D32" s="37"/>
      <c r="E32" s="37"/>
      <c r="F32" s="37"/>
      <c r="G32" s="37"/>
      <c r="H32" s="37"/>
      <c r="I32" s="268"/>
      <c r="J32" s="268"/>
      <c r="K32" s="37"/>
      <c r="L32" s="37"/>
      <c r="M32" s="37"/>
      <c r="N32" s="37"/>
    </row>
    <row r="33" spans="1:16" ht="13.5" customHeight="1">
      <c r="A33" s="71"/>
      <c r="B33" s="71"/>
      <c r="C33" s="71"/>
      <c r="D33" s="71"/>
      <c r="E33" s="71"/>
      <c r="F33" s="71"/>
      <c r="G33" s="71"/>
      <c r="H33" s="71"/>
      <c r="I33" s="71"/>
      <c r="J33" s="71"/>
      <c r="K33" s="71"/>
      <c r="L33" s="71"/>
      <c r="M33" s="585"/>
      <c r="N33" s="585"/>
    </row>
    <row r="36" spans="1:16" ht="15" thickBot="1">
      <c r="A36" s="593" t="s">
        <v>60</v>
      </c>
      <c r="B36" s="598"/>
      <c r="C36" s="1068">
        <v>60</v>
      </c>
      <c r="D36" s="580">
        <v>60</v>
      </c>
      <c r="E36" s="1065">
        <v>0</v>
      </c>
      <c r="F36" s="580">
        <v>0</v>
      </c>
      <c r="G36" s="580">
        <v>21</v>
      </c>
      <c r="H36" s="1065">
        <v>39</v>
      </c>
      <c r="I36" s="580">
        <v>27</v>
      </c>
      <c r="J36" s="1066">
        <v>6</v>
      </c>
      <c r="K36" s="1068">
        <v>12</v>
      </c>
      <c r="L36" s="580">
        <v>12</v>
      </c>
      <c r="M36" s="1065">
        <v>0</v>
      </c>
      <c r="N36" s="1068">
        <v>12</v>
      </c>
      <c r="O36" s="580">
        <v>12</v>
      </c>
      <c r="P36" s="1039">
        <v>0</v>
      </c>
    </row>
    <row r="37" spans="1:16" ht="15" thickBot="1">
      <c r="A37" s="593" t="s">
        <v>386</v>
      </c>
      <c r="B37" s="598"/>
      <c r="C37" s="1321">
        <f t="shared" ref="C37:P37" si="0">C30-C36</f>
        <v>6</v>
      </c>
      <c r="D37" s="1297">
        <f t="shared" si="0"/>
        <v>3</v>
      </c>
      <c r="E37" s="1311">
        <f t="shared" si="0"/>
        <v>0</v>
      </c>
      <c r="F37" s="1323">
        <f t="shared" si="0"/>
        <v>0</v>
      </c>
      <c r="G37" s="1305">
        <f t="shared" si="0"/>
        <v>0</v>
      </c>
      <c r="H37" s="1298">
        <f t="shared" si="0"/>
        <v>3</v>
      </c>
      <c r="I37" s="1297">
        <f t="shared" si="0"/>
        <v>3</v>
      </c>
      <c r="J37" s="1337">
        <f t="shared" si="0"/>
        <v>3</v>
      </c>
      <c r="K37" s="1321">
        <f t="shared" si="0"/>
        <v>6</v>
      </c>
      <c r="L37" s="1297">
        <f t="shared" si="0"/>
        <v>3</v>
      </c>
      <c r="M37" s="1311">
        <f t="shared" si="0"/>
        <v>0</v>
      </c>
      <c r="N37" s="1321">
        <f t="shared" si="0"/>
        <v>3</v>
      </c>
      <c r="O37" s="1297">
        <f t="shared" si="0"/>
        <v>3</v>
      </c>
      <c r="P37" s="1350">
        <f t="shared" si="0"/>
        <v>0</v>
      </c>
    </row>
  </sheetData>
  <mergeCells count="4">
    <mergeCell ref="C6:H7"/>
    <mergeCell ref="K6:P6"/>
    <mergeCell ref="A4:P4"/>
    <mergeCell ref="A6:B12"/>
  </mergeCells>
  <printOptions horizontalCentered="1"/>
  <pageMargins left="0.19685039370078741" right="0.19685039370078741" top="0.98425196850393704" bottom="0.98425196850393704" header="0.51181102362204722" footer="0.51181102362204722"/>
  <pageSetup paperSize="9" scale="96" orientation="landscape" r:id="rId1"/>
  <headerFooter alignWithMargins="0">
    <oddHeader>&amp;C&amp;"Arial,Standard"&amp;8- 18 -&amp;R&amp;8&amp;D</oddHeader>
    <oddFooter>&amp;R
&amp;12...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W44"/>
  <sheetViews>
    <sheetView zoomScaleNormal="100" workbookViewId="0"/>
  </sheetViews>
  <sheetFormatPr baseColWidth="10" defaultColWidth="11.42578125" defaultRowHeight="16.5"/>
  <cols>
    <col min="1" max="1" width="19.85546875" style="1566" customWidth="1"/>
    <col min="2" max="2" width="8.42578125" style="1566" customWidth="1"/>
    <col min="3" max="3" width="9.42578125" style="1566" customWidth="1"/>
    <col min="4" max="4" width="14.5703125" style="1566" customWidth="1"/>
    <col min="5" max="5" width="14" style="1566" customWidth="1"/>
    <col min="6" max="8" width="13.42578125" style="1566" customWidth="1"/>
    <col min="9" max="10" width="17" style="1566" customWidth="1"/>
    <col min="11" max="16384" width="11.42578125" style="1566"/>
  </cols>
  <sheetData>
    <row r="1" spans="1:19" ht="18">
      <c r="A1" s="1599" t="s">
        <v>424</v>
      </c>
      <c r="B1" s="1599"/>
      <c r="C1" s="1423"/>
      <c r="D1" s="1423"/>
      <c r="E1" s="1423"/>
      <c r="F1" s="1423"/>
      <c r="G1" s="1423"/>
      <c r="H1" s="1423"/>
      <c r="I1" s="1423"/>
      <c r="J1" s="1423"/>
    </row>
    <row r="2" spans="1:19">
      <c r="A2" s="1600" t="s">
        <v>495</v>
      </c>
      <c r="B2" s="1600"/>
      <c r="C2" s="1600"/>
      <c r="D2" s="1600"/>
      <c r="E2" s="1600"/>
      <c r="F2" s="1600"/>
      <c r="G2" s="1600"/>
      <c r="H2" s="1600"/>
      <c r="I2" s="1600"/>
      <c r="J2" s="1600"/>
      <c r="K2" s="1646"/>
    </row>
    <row r="3" spans="1:19" ht="18">
      <c r="A3" s="1825" t="s">
        <v>559</v>
      </c>
      <c r="B3" s="1825"/>
      <c r="C3" s="1826"/>
      <c r="D3" s="1826"/>
      <c r="E3" s="1826"/>
      <c r="F3" s="1826"/>
      <c r="G3" s="1826"/>
      <c r="H3" s="1826"/>
      <c r="I3" s="1826"/>
      <c r="J3" s="1826"/>
    </row>
    <row r="4" spans="1:19" ht="66">
      <c r="A4" s="1421" t="s">
        <v>43</v>
      </c>
      <c r="B4" s="1706" t="s">
        <v>475</v>
      </c>
      <c r="C4" s="1706" t="s">
        <v>94</v>
      </c>
      <c r="D4" s="1708" t="s">
        <v>416</v>
      </c>
      <c r="E4" s="1420" t="s">
        <v>417</v>
      </c>
      <c r="F4" s="1419" t="s">
        <v>419</v>
      </c>
      <c r="G4" s="1419" t="s">
        <v>420</v>
      </c>
      <c r="H4" s="1419" t="s">
        <v>421</v>
      </c>
      <c r="I4" s="1419" t="s">
        <v>414</v>
      </c>
      <c r="J4" s="1418" t="s">
        <v>415</v>
      </c>
    </row>
    <row r="5" spans="1:19" ht="18">
      <c r="A5" s="1759" t="s">
        <v>437</v>
      </c>
      <c r="B5" s="1701"/>
      <c r="C5" s="1567">
        <v>48</v>
      </c>
      <c r="D5" s="1568">
        <v>45</v>
      </c>
      <c r="E5" s="1569">
        <v>3</v>
      </c>
      <c r="F5" s="1879">
        <v>18</v>
      </c>
      <c r="G5" s="1568">
        <v>15</v>
      </c>
      <c r="H5" s="1569">
        <v>15</v>
      </c>
      <c r="I5" s="1570">
        <v>18</v>
      </c>
      <c r="J5" s="1568">
        <v>0</v>
      </c>
      <c r="L5" s="1788"/>
      <c r="M5" s="1788"/>
      <c r="N5" s="1788"/>
      <c r="O5" s="1788"/>
      <c r="P5" s="1788"/>
      <c r="Q5" s="1788"/>
      <c r="R5" s="1788"/>
      <c r="S5" s="1788"/>
    </row>
    <row r="6" spans="1:19" ht="18">
      <c r="A6" s="1759" t="s">
        <v>438</v>
      </c>
      <c r="B6" s="1701"/>
      <c r="C6" s="1394">
        <v>6</v>
      </c>
      <c r="D6" s="1395">
        <v>3</v>
      </c>
      <c r="E6" s="1396">
        <v>0</v>
      </c>
      <c r="F6" s="1772">
        <v>3</v>
      </c>
      <c r="G6" s="1395">
        <v>3</v>
      </c>
      <c r="H6" s="1396">
        <v>0</v>
      </c>
      <c r="I6" s="1397">
        <v>3</v>
      </c>
      <c r="J6" s="1395">
        <v>0</v>
      </c>
      <c r="L6" s="1788"/>
      <c r="M6" s="1788"/>
      <c r="N6" s="1788"/>
      <c r="O6" s="1788"/>
      <c r="P6" s="1788"/>
      <c r="Q6" s="1788"/>
      <c r="R6" s="1788"/>
      <c r="S6" s="1788"/>
    </row>
    <row r="7" spans="1:19" ht="18">
      <c r="A7" s="1759" t="s">
        <v>439</v>
      </c>
      <c r="B7" s="1701"/>
      <c r="C7" s="1394">
        <v>138</v>
      </c>
      <c r="D7" s="1395">
        <v>114</v>
      </c>
      <c r="E7" s="1396">
        <v>24</v>
      </c>
      <c r="F7" s="1772">
        <v>45</v>
      </c>
      <c r="G7" s="1395">
        <v>48</v>
      </c>
      <c r="H7" s="1396">
        <v>45</v>
      </c>
      <c r="I7" s="1397">
        <v>48</v>
      </c>
      <c r="J7" s="1395">
        <v>6</v>
      </c>
      <c r="L7" s="1788"/>
      <c r="M7" s="1788"/>
      <c r="N7" s="1788"/>
      <c r="O7" s="1788"/>
      <c r="P7" s="1788"/>
      <c r="Q7" s="1788"/>
      <c r="R7" s="1788"/>
      <c r="S7" s="1788"/>
    </row>
    <row r="8" spans="1:19" ht="18">
      <c r="A8" s="1759" t="s">
        <v>440</v>
      </c>
      <c r="B8" s="1701"/>
      <c r="C8" s="1394">
        <v>0</v>
      </c>
      <c r="D8" s="1395">
        <v>0</v>
      </c>
      <c r="E8" s="1396">
        <v>0</v>
      </c>
      <c r="F8" s="1772">
        <v>0</v>
      </c>
      <c r="G8" s="1395">
        <v>0</v>
      </c>
      <c r="H8" s="1396">
        <v>0</v>
      </c>
      <c r="I8" s="1397">
        <v>0</v>
      </c>
      <c r="J8" s="1395">
        <v>0</v>
      </c>
      <c r="L8" s="1788"/>
      <c r="M8" s="1788"/>
      <c r="N8" s="1788"/>
      <c r="O8" s="1788"/>
      <c r="P8" s="1788"/>
      <c r="Q8" s="1788"/>
      <c r="R8" s="1788"/>
      <c r="S8" s="1788"/>
    </row>
    <row r="9" spans="1:19" ht="18">
      <c r="A9" s="1759" t="s">
        <v>441</v>
      </c>
      <c r="B9" s="1701">
        <v>1</v>
      </c>
      <c r="C9" s="1394">
        <f>270+9</f>
        <v>279</v>
      </c>
      <c r="D9" s="1395">
        <f>243+9</f>
        <v>252</v>
      </c>
      <c r="E9" s="1396">
        <v>27</v>
      </c>
      <c r="F9" s="1772">
        <v>87</v>
      </c>
      <c r="G9" s="1395">
        <f>90+3</f>
        <v>93</v>
      </c>
      <c r="H9" s="1396">
        <f>93+6</f>
        <v>99</v>
      </c>
      <c r="I9" s="1397">
        <v>99</v>
      </c>
      <c r="J9" s="1395">
        <f>9+3</f>
        <v>12</v>
      </c>
      <c r="L9" s="1788"/>
      <c r="M9" s="1788"/>
      <c r="N9" s="1788"/>
      <c r="O9" s="1788"/>
      <c r="P9" s="1788"/>
      <c r="Q9" s="1788"/>
      <c r="R9" s="1788"/>
      <c r="S9" s="1788"/>
    </row>
    <row r="10" spans="1:19" ht="18">
      <c r="A10" s="1759" t="s">
        <v>442</v>
      </c>
      <c r="B10" s="1701"/>
      <c r="C10" s="1394">
        <v>165</v>
      </c>
      <c r="D10" s="1395">
        <v>147</v>
      </c>
      <c r="E10" s="1396">
        <v>18</v>
      </c>
      <c r="F10" s="1772">
        <v>66</v>
      </c>
      <c r="G10" s="1395">
        <v>51</v>
      </c>
      <c r="H10" s="1396">
        <v>51</v>
      </c>
      <c r="I10" s="1397">
        <v>66</v>
      </c>
      <c r="J10" s="1395">
        <v>12</v>
      </c>
      <c r="L10" s="1788"/>
      <c r="M10" s="1788"/>
      <c r="N10" s="1788"/>
      <c r="O10" s="1788"/>
      <c r="P10" s="1788"/>
      <c r="Q10" s="1788"/>
      <c r="R10" s="1788"/>
      <c r="S10" s="1788"/>
    </row>
    <row r="11" spans="1:19" ht="18">
      <c r="A11" s="1759" t="s">
        <v>466</v>
      </c>
      <c r="B11" s="1701"/>
      <c r="C11" s="1394">
        <v>126</v>
      </c>
      <c r="D11" s="1395">
        <v>111</v>
      </c>
      <c r="E11" s="1396">
        <v>15</v>
      </c>
      <c r="F11" s="1772">
        <v>42</v>
      </c>
      <c r="G11" s="1395">
        <v>45</v>
      </c>
      <c r="H11" s="1396">
        <v>36</v>
      </c>
      <c r="I11" s="1925">
        <v>51</v>
      </c>
      <c r="J11" s="1502">
        <v>6</v>
      </c>
      <c r="L11" s="1788"/>
      <c r="M11" s="1788"/>
      <c r="N11" s="1788"/>
      <c r="O11" s="1788"/>
      <c r="P11" s="1788"/>
      <c r="Q11" s="1788"/>
      <c r="R11" s="1788"/>
      <c r="S11" s="1788"/>
    </row>
    <row r="12" spans="1:19" ht="18">
      <c r="A12" s="1759" t="s">
        <v>444</v>
      </c>
      <c r="B12" s="1701"/>
      <c r="C12" s="1394">
        <v>456</v>
      </c>
      <c r="D12" s="1395">
        <v>420</v>
      </c>
      <c r="E12" s="1396">
        <v>36</v>
      </c>
      <c r="F12" s="1772">
        <v>117</v>
      </c>
      <c r="G12" s="1395">
        <v>180</v>
      </c>
      <c r="H12" s="1396">
        <v>159</v>
      </c>
      <c r="I12" s="1397">
        <v>180</v>
      </c>
      <c r="J12" s="1395">
        <v>9</v>
      </c>
      <c r="L12" s="1788"/>
      <c r="M12" s="1788"/>
      <c r="N12" s="1788"/>
      <c r="O12" s="1788"/>
      <c r="P12" s="1788"/>
      <c r="Q12" s="1788"/>
      <c r="R12" s="1788"/>
      <c r="S12" s="1788"/>
    </row>
    <row r="13" spans="1:19" ht="18">
      <c r="A13" s="1759" t="s">
        <v>445</v>
      </c>
      <c r="B13" s="1701"/>
      <c r="C13" s="1394">
        <v>387</v>
      </c>
      <c r="D13" s="1395">
        <v>363</v>
      </c>
      <c r="E13" s="1396">
        <v>24</v>
      </c>
      <c r="F13" s="1772">
        <v>126</v>
      </c>
      <c r="G13" s="1395">
        <v>129</v>
      </c>
      <c r="H13" s="1396">
        <v>132</v>
      </c>
      <c r="I13" s="1397">
        <v>150</v>
      </c>
      <c r="J13" s="1395">
        <v>9</v>
      </c>
      <c r="L13" s="1788"/>
      <c r="M13" s="1788"/>
      <c r="N13" s="1788"/>
      <c r="O13" s="1788"/>
      <c r="P13" s="1788"/>
      <c r="Q13" s="1788"/>
      <c r="R13" s="1788"/>
      <c r="S13" s="1788"/>
    </row>
    <row r="14" spans="1:19" ht="18">
      <c r="A14" s="1759" t="s">
        <v>446</v>
      </c>
      <c r="B14" s="1701"/>
      <c r="C14" s="1394">
        <v>27</v>
      </c>
      <c r="D14" s="1395">
        <v>27</v>
      </c>
      <c r="E14" s="1396">
        <v>0</v>
      </c>
      <c r="F14" s="1772">
        <v>12</v>
      </c>
      <c r="G14" s="1395">
        <v>9</v>
      </c>
      <c r="H14" s="1396">
        <v>6</v>
      </c>
      <c r="I14" s="1397">
        <v>12</v>
      </c>
      <c r="J14" s="1395">
        <v>0</v>
      </c>
      <c r="L14" s="1788"/>
      <c r="M14" s="1788"/>
      <c r="N14" s="1788"/>
      <c r="O14" s="1788"/>
      <c r="P14" s="1788"/>
      <c r="Q14" s="1788"/>
      <c r="R14" s="1788"/>
      <c r="S14" s="1788"/>
    </row>
    <row r="15" spans="1:19" ht="18">
      <c r="A15" s="1759" t="s">
        <v>447</v>
      </c>
      <c r="B15" s="1701"/>
      <c r="C15" s="1501">
        <v>24</v>
      </c>
      <c r="D15" s="1502">
        <v>15</v>
      </c>
      <c r="E15" s="1500">
        <v>12</v>
      </c>
      <c r="F15" s="1873">
        <v>9</v>
      </c>
      <c r="G15" s="1502">
        <v>9</v>
      </c>
      <c r="H15" s="1500">
        <v>9</v>
      </c>
      <c r="I15" s="1397">
        <v>9</v>
      </c>
      <c r="J15" s="1395">
        <v>3</v>
      </c>
      <c r="L15" s="1788"/>
      <c r="M15" s="1788"/>
      <c r="N15" s="1788"/>
      <c r="O15" s="1788"/>
      <c r="P15" s="1788"/>
      <c r="Q15" s="1788"/>
      <c r="R15" s="1788"/>
      <c r="S15" s="1788"/>
    </row>
    <row r="16" spans="1:19" ht="18">
      <c r="A16" s="1759" t="s">
        <v>448</v>
      </c>
      <c r="B16" s="1701"/>
      <c r="C16" s="1394">
        <v>114</v>
      </c>
      <c r="D16" s="1395">
        <v>102</v>
      </c>
      <c r="E16" s="1396">
        <v>12</v>
      </c>
      <c r="F16" s="1772">
        <v>39</v>
      </c>
      <c r="G16" s="1395">
        <v>36</v>
      </c>
      <c r="H16" s="1396">
        <v>42</v>
      </c>
      <c r="I16" s="1397">
        <v>39</v>
      </c>
      <c r="J16" s="1395">
        <v>6</v>
      </c>
      <c r="L16" s="1788"/>
      <c r="M16" s="1788"/>
      <c r="N16" s="1788"/>
      <c r="O16" s="1788"/>
      <c r="P16" s="1788"/>
      <c r="Q16" s="1788"/>
      <c r="R16" s="1788"/>
      <c r="S16" s="1788"/>
    </row>
    <row r="17" spans="1:23" ht="18">
      <c r="A17" s="1759" t="s">
        <v>449</v>
      </c>
      <c r="B17" s="1701"/>
      <c r="C17" s="1394">
        <v>105</v>
      </c>
      <c r="D17" s="1395">
        <v>93</v>
      </c>
      <c r="E17" s="1396">
        <v>9</v>
      </c>
      <c r="F17" s="1772">
        <v>24</v>
      </c>
      <c r="G17" s="1395">
        <v>42</v>
      </c>
      <c r="H17" s="1396">
        <v>36</v>
      </c>
      <c r="I17" s="1925">
        <v>36</v>
      </c>
      <c r="J17" s="1502">
        <v>3</v>
      </c>
      <c r="L17" s="1788"/>
      <c r="M17" s="1788"/>
      <c r="N17" s="1788"/>
      <c r="O17" s="1788"/>
      <c r="P17" s="1788"/>
      <c r="Q17" s="1788"/>
      <c r="R17" s="1788"/>
      <c r="S17" s="1788"/>
    </row>
    <row r="18" spans="1:23" ht="18">
      <c r="A18" s="1759" t="s">
        <v>450</v>
      </c>
      <c r="B18" s="1701"/>
      <c r="C18" s="1394">
        <v>195</v>
      </c>
      <c r="D18" s="1395">
        <v>162</v>
      </c>
      <c r="E18" s="1396">
        <v>33</v>
      </c>
      <c r="F18" s="1772">
        <v>63</v>
      </c>
      <c r="G18" s="1395">
        <v>63</v>
      </c>
      <c r="H18" s="1396">
        <v>69</v>
      </c>
      <c r="I18" s="1397">
        <v>66</v>
      </c>
      <c r="J18" s="1395">
        <v>3</v>
      </c>
      <c r="L18" s="1788"/>
      <c r="M18" s="1788"/>
      <c r="N18" s="1788"/>
      <c r="O18" s="1788"/>
      <c r="P18" s="1788"/>
      <c r="Q18" s="1788"/>
      <c r="R18" s="1788"/>
      <c r="S18" s="1788"/>
    </row>
    <row r="19" spans="1:23" ht="18">
      <c r="A19" s="1759" t="s">
        <v>451</v>
      </c>
      <c r="B19" s="1701"/>
      <c r="C19" s="1394">
        <v>75</v>
      </c>
      <c r="D19" s="1395">
        <v>66</v>
      </c>
      <c r="E19" s="1396">
        <v>9</v>
      </c>
      <c r="F19" s="1772">
        <v>24</v>
      </c>
      <c r="G19" s="1395">
        <v>30</v>
      </c>
      <c r="H19" s="1396">
        <v>21</v>
      </c>
      <c r="I19" s="1925">
        <v>27</v>
      </c>
      <c r="J19" s="1502">
        <v>3</v>
      </c>
      <c r="L19" s="1788"/>
      <c r="M19" s="1788"/>
      <c r="N19" s="1788"/>
      <c r="O19" s="1788"/>
      <c r="P19" s="1788"/>
      <c r="Q19" s="1788"/>
      <c r="R19" s="1788"/>
      <c r="S19" s="1788"/>
    </row>
    <row r="20" spans="1:23" ht="18">
      <c r="A20" s="1759" t="s">
        <v>452</v>
      </c>
      <c r="B20" s="1701"/>
      <c r="C20" s="1394">
        <v>69</v>
      </c>
      <c r="D20" s="1395">
        <v>66</v>
      </c>
      <c r="E20" s="1396">
        <v>3</v>
      </c>
      <c r="F20" s="1772">
        <v>27</v>
      </c>
      <c r="G20" s="1395">
        <v>27</v>
      </c>
      <c r="H20" s="1396">
        <v>15</v>
      </c>
      <c r="I20" s="1397">
        <v>27</v>
      </c>
      <c r="J20" s="1395">
        <v>0</v>
      </c>
      <c r="L20" s="1788"/>
      <c r="M20" s="1788"/>
      <c r="N20" s="1788"/>
      <c r="O20" s="1788"/>
      <c r="P20" s="1788"/>
      <c r="Q20" s="1788"/>
      <c r="R20" s="1788"/>
      <c r="S20" s="1788"/>
    </row>
    <row r="21" spans="1:23">
      <c r="A21" s="1729" t="s">
        <v>418</v>
      </c>
      <c r="B21" s="1710"/>
      <c r="C21" s="1790">
        <v>2214</v>
      </c>
      <c r="D21" s="1791">
        <v>1989</v>
      </c>
      <c r="E21" s="1791">
        <v>225</v>
      </c>
      <c r="F21" s="1790">
        <v>705</v>
      </c>
      <c r="G21" s="1791">
        <v>777</v>
      </c>
      <c r="H21" s="1792">
        <v>732</v>
      </c>
      <c r="I21" s="1944">
        <v>834</v>
      </c>
      <c r="J21" s="1699">
        <v>75</v>
      </c>
      <c r="L21" s="1788"/>
      <c r="M21" s="1788"/>
      <c r="N21" s="1788"/>
      <c r="O21" s="1788"/>
      <c r="P21" s="1788"/>
      <c r="Q21" s="1788"/>
      <c r="R21" s="1788"/>
      <c r="S21" s="1788"/>
    </row>
    <row r="22" spans="1:23" ht="18">
      <c r="A22" s="1601" t="s">
        <v>552</v>
      </c>
      <c r="B22" s="1413"/>
      <c r="C22" s="1412"/>
      <c r="D22" s="1412"/>
      <c r="E22" s="1412"/>
      <c r="F22" s="1412"/>
      <c r="G22" s="1412"/>
      <c r="H22" s="1412"/>
      <c r="I22" s="1411"/>
      <c r="J22" s="1411"/>
    </row>
    <row r="23" spans="1:23" ht="66">
      <c r="A23" s="1730" t="s">
        <v>43</v>
      </c>
      <c r="B23" s="1706" t="s">
        <v>475</v>
      </c>
      <c r="C23" s="1706" t="s">
        <v>94</v>
      </c>
      <c r="D23" s="1707" t="s">
        <v>92</v>
      </c>
      <c r="E23" s="1409" t="s">
        <v>93</v>
      </c>
      <c r="F23" s="1419" t="s">
        <v>474</v>
      </c>
      <c r="G23" s="1419" t="s">
        <v>422</v>
      </c>
      <c r="H23" s="1714" t="s">
        <v>423</v>
      </c>
      <c r="I23" s="1408"/>
      <c r="J23" s="1408"/>
    </row>
    <row r="24" spans="1:23" ht="18">
      <c r="A24" s="1434" t="s">
        <v>437</v>
      </c>
      <c r="B24" s="1701"/>
      <c r="C24" s="1567">
        <v>24</v>
      </c>
      <c r="D24" s="1568">
        <v>18</v>
      </c>
      <c r="E24" s="1569">
        <v>3</v>
      </c>
      <c r="F24" s="1879">
        <v>12</v>
      </c>
      <c r="G24" s="1568">
        <v>9</v>
      </c>
      <c r="H24" s="1569">
        <v>0</v>
      </c>
      <c r="I24" s="1402"/>
      <c r="J24" s="1402"/>
      <c r="L24" s="1788"/>
      <c r="M24" s="1788"/>
      <c r="N24" s="1788"/>
      <c r="O24" s="1788"/>
      <c r="P24" s="1788"/>
      <c r="Q24" s="1788"/>
    </row>
    <row r="25" spans="1:23" ht="18">
      <c r="A25" s="1434" t="s">
        <v>438</v>
      </c>
      <c r="B25" s="1701"/>
      <c r="C25" s="1394">
        <v>0</v>
      </c>
      <c r="D25" s="1395">
        <v>0</v>
      </c>
      <c r="E25" s="1396">
        <v>0</v>
      </c>
      <c r="F25" s="1772">
        <v>0</v>
      </c>
      <c r="G25" s="1395">
        <v>0</v>
      </c>
      <c r="H25" s="1396">
        <v>0</v>
      </c>
      <c r="I25" s="1402"/>
      <c r="J25" s="1402"/>
      <c r="L25" s="1788"/>
      <c r="M25" s="1788"/>
      <c r="N25" s="1788"/>
      <c r="O25" s="1788"/>
      <c r="P25" s="1788"/>
      <c r="Q25" s="1788"/>
    </row>
    <row r="26" spans="1:23" ht="18">
      <c r="A26" s="1434" t="s">
        <v>439</v>
      </c>
      <c r="B26" s="1701"/>
      <c r="C26" s="1394">
        <v>39</v>
      </c>
      <c r="D26" s="1395">
        <v>36</v>
      </c>
      <c r="E26" s="1396">
        <v>3</v>
      </c>
      <c r="F26" s="1772">
        <v>39</v>
      </c>
      <c r="G26" s="1395">
        <v>36</v>
      </c>
      <c r="H26" s="1396">
        <v>3</v>
      </c>
      <c r="I26" s="1402"/>
      <c r="J26" s="1402"/>
      <c r="L26" s="1788"/>
      <c r="M26" s="1788"/>
      <c r="N26" s="1788"/>
      <c r="O26" s="1788"/>
      <c r="P26" s="1788"/>
      <c r="Q26" s="1788"/>
    </row>
    <row r="27" spans="1:23" ht="18">
      <c r="A27" s="1434" t="s">
        <v>440</v>
      </c>
      <c r="B27" s="1701"/>
      <c r="C27" s="1394">
        <v>0</v>
      </c>
      <c r="D27" s="1395">
        <v>0</v>
      </c>
      <c r="E27" s="1396">
        <v>0</v>
      </c>
      <c r="F27" s="1772">
        <v>0</v>
      </c>
      <c r="G27" s="1395">
        <v>0</v>
      </c>
      <c r="H27" s="1396">
        <v>0</v>
      </c>
      <c r="I27" s="1402"/>
      <c r="J27" s="1402"/>
      <c r="L27" s="1788"/>
      <c r="M27" s="1788"/>
      <c r="N27" s="1788"/>
      <c r="O27" s="1788"/>
      <c r="P27" s="1788"/>
      <c r="Q27" s="1788"/>
    </row>
    <row r="28" spans="1:23" ht="18">
      <c r="A28" s="1434" t="s">
        <v>441</v>
      </c>
      <c r="B28" s="1701"/>
      <c r="C28" s="1394">
        <v>93</v>
      </c>
      <c r="D28" s="1395">
        <v>87</v>
      </c>
      <c r="E28" s="1396">
        <v>6</v>
      </c>
      <c r="F28" s="1772">
        <v>69</v>
      </c>
      <c r="G28" s="1395">
        <v>66</v>
      </c>
      <c r="H28" s="1396">
        <v>3</v>
      </c>
      <c r="I28" s="1402"/>
      <c r="J28" s="1402"/>
      <c r="L28" s="1788"/>
      <c r="M28" s="1788"/>
      <c r="N28" s="1788"/>
      <c r="O28" s="1788"/>
      <c r="P28" s="1788"/>
      <c r="Q28" s="1788"/>
    </row>
    <row r="29" spans="1:23" ht="18">
      <c r="A29" s="1434" t="s">
        <v>442</v>
      </c>
      <c r="B29" s="1701"/>
      <c r="C29" s="1394">
        <v>60</v>
      </c>
      <c r="D29" s="1395">
        <v>54</v>
      </c>
      <c r="E29" s="1396">
        <v>6</v>
      </c>
      <c r="F29" s="1772">
        <v>48</v>
      </c>
      <c r="G29" s="1395">
        <v>42</v>
      </c>
      <c r="H29" s="1396">
        <v>6</v>
      </c>
      <c r="I29" s="1408"/>
      <c r="J29" s="1402"/>
      <c r="L29" s="1788"/>
      <c r="M29" s="1788"/>
      <c r="N29" s="1788"/>
      <c r="O29" s="1788"/>
      <c r="P29" s="1788"/>
      <c r="Q29" s="1788"/>
    </row>
    <row r="30" spans="1:23" ht="18">
      <c r="A30" s="1434" t="s">
        <v>443</v>
      </c>
      <c r="B30" s="1701"/>
      <c r="C30" s="1394">
        <v>39</v>
      </c>
      <c r="D30" s="1395">
        <v>33</v>
      </c>
      <c r="E30" s="1396">
        <v>6</v>
      </c>
      <c r="F30" s="1772">
        <v>39</v>
      </c>
      <c r="G30" s="1395">
        <v>33</v>
      </c>
      <c r="H30" s="1396">
        <v>6</v>
      </c>
      <c r="I30" s="1402"/>
      <c r="J30" s="1402"/>
      <c r="L30" s="1788"/>
      <c r="M30" s="1788"/>
      <c r="N30" s="1788"/>
      <c r="O30" s="1788"/>
      <c r="P30" s="1788"/>
      <c r="Q30" s="1788"/>
    </row>
    <row r="31" spans="1:23" ht="18">
      <c r="A31" s="1434" t="s">
        <v>444</v>
      </c>
      <c r="B31" s="1701"/>
      <c r="C31" s="1394">
        <v>150</v>
      </c>
      <c r="D31" s="1395">
        <v>132</v>
      </c>
      <c r="E31" s="1396">
        <v>18</v>
      </c>
      <c r="F31" s="1772">
        <v>147</v>
      </c>
      <c r="G31" s="1395">
        <v>129</v>
      </c>
      <c r="H31" s="1396">
        <v>18</v>
      </c>
      <c r="I31" s="1402"/>
      <c r="J31" s="1402"/>
      <c r="L31" s="1788"/>
      <c r="M31" s="1788"/>
      <c r="N31" s="1788"/>
      <c r="O31" s="1788"/>
      <c r="P31" s="1788"/>
      <c r="Q31" s="1788"/>
    </row>
    <row r="32" spans="1:23" ht="18">
      <c r="A32" s="1434" t="s">
        <v>445</v>
      </c>
      <c r="B32" s="1701"/>
      <c r="C32" s="1394">
        <v>120</v>
      </c>
      <c r="D32" s="1395">
        <v>117</v>
      </c>
      <c r="E32" s="1396">
        <v>3</v>
      </c>
      <c r="F32" s="1772">
        <v>120</v>
      </c>
      <c r="G32" s="1395">
        <v>117</v>
      </c>
      <c r="H32" s="1396">
        <v>3</v>
      </c>
      <c r="I32" s="1402"/>
      <c r="J32" s="1402"/>
      <c r="L32" s="1788"/>
      <c r="M32" s="1788"/>
      <c r="N32" s="1788"/>
      <c r="O32" s="1408"/>
      <c r="P32" s="1408"/>
      <c r="Q32" s="1596"/>
      <c r="R32" s="1405"/>
      <c r="S32" s="1405"/>
      <c r="T32" s="1596"/>
      <c r="U32" s="1405"/>
      <c r="V32" s="1405"/>
      <c r="W32" s="1402"/>
    </row>
    <row r="33" spans="1:23" ht="18">
      <c r="A33" s="1434" t="s">
        <v>446</v>
      </c>
      <c r="B33" s="1701"/>
      <c r="C33" s="1394">
        <v>9</v>
      </c>
      <c r="D33" s="1395">
        <v>9</v>
      </c>
      <c r="E33" s="1396">
        <v>0</v>
      </c>
      <c r="F33" s="1772">
        <v>6</v>
      </c>
      <c r="G33" s="1395">
        <v>6</v>
      </c>
      <c r="H33" s="1396">
        <v>0</v>
      </c>
      <c r="I33" s="1402"/>
      <c r="J33" s="1402"/>
      <c r="L33" s="1788"/>
      <c r="M33" s="1788"/>
      <c r="N33" s="1788"/>
      <c r="O33" s="1408"/>
      <c r="P33" s="1408"/>
      <c r="Q33" s="1596"/>
      <c r="R33" s="1405"/>
      <c r="S33" s="1405"/>
      <c r="T33" s="1596"/>
      <c r="U33" s="1405"/>
      <c r="V33" s="1405"/>
      <c r="W33" s="1402"/>
    </row>
    <row r="34" spans="1:23" ht="18">
      <c r="A34" s="1434" t="s">
        <v>447</v>
      </c>
      <c r="B34" s="1701"/>
      <c r="C34" s="1501">
        <v>6</v>
      </c>
      <c r="D34" s="1502">
        <v>3</v>
      </c>
      <c r="E34" s="1500">
        <v>3</v>
      </c>
      <c r="F34" s="1873">
        <v>6</v>
      </c>
      <c r="G34" s="1502">
        <v>3</v>
      </c>
      <c r="H34" s="1500">
        <v>3</v>
      </c>
      <c r="I34" s="1402"/>
      <c r="J34" s="1402"/>
      <c r="L34" s="1788"/>
      <c r="M34" s="1788"/>
      <c r="N34" s="1788"/>
      <c r="O34" s="1408"/>
      <c r="P34" s="1408"/>
      <c r="Q34" s="1596"/>
      <c r="R34" s="1405"/>
      <c r="S34" s="1405"/>
      <c r="T34" s="1596"/>
      <c r="U34" s="1405"/>
      <c r="V34" s="1405"/>
      <c r="W34" s="1402"/>
    </row>
    <row r="35" spans="1:23" ht="18">
      <c r="A35" s="1434" t="s">
        <v>448</v>
      </c>
      <c r="B35" s="1701"/>
      <c r="C35" s="1394">
        <v>42</v>
      </c>
      <c r="D35" s="1395">
        <v>36</v>
      </c>
      <c r="E35" s="1396">
        <v>6</v>
      </c>
      <c r="F35" s="1772">
        <v>33</v>
      </c>
      <c r="G35" s="1395">
        <v>30</v>
      </c>
      <c r="H35" s="1396">
        <v>6</v>
      </c>
      <c r="I35" s="1402"/>
      <c r="J35" s="1402"/>
      <c r="L35" s="1788"/>
      <c r="M35" s="1788"/>
      <c r="N35" s="1788"/>
      <c r="O35" s="1788"/>
      <c r="P35" s="1788"/>
      <c r="Q35" s="1788"/>
    </row>
    <row r="36" spans="1:23" ht="18">
      <c r="A36" s="1434" t="s">
        <v>449</v>
      </c>
      <c r="B36" s="1701"/>
      <c r="C36" s="1394">
        <v>30</v>
      </c>
      <c r="D36" s="1395">
        <v>24</v>
      </c>
      <c r="E36" s="1396">
        <v>6</v>
      </c>
      <c r="F36" s="1772">
        <v>30</v>
      </c>
      <c r="G36" s="1395">
        <v>24</v>
      </c>
      <c r="H36" s="1396">
        <v>6</v>
      </c>
      <c r="I36" s="1402"/>
      <c r="J36" s="1402"/>
      <c r="L36" s="1788"/>
      <c r="M36" s="1788"/>
      <c r="N36" s="1788"/>
      <c r="O36" s="1788"/>
      <c r="P36" s="1788"/>
      <c r="Q36" s="1788"/>
    </row>
    <row r="37" spans="1:23" ht="18">
      <c r="A37" s="1434" t="s">
        <v>450</v>
      </c>
      <c r="B37" s="1701"/>
      <c r="C37" s="1394">
        <v>63</v>
      </c>
      <c r="D37" s="1395">
        <v>57</v>
      </c>
      <c r="E37" s="1396">
        <v>6</v>
      </c>
      <c r="F37" s="1772">
        <v>60</v>
      </c>
      <c r="G37" s="1395">
        <v>54</v>
      </c>
      <c r="H37" s="1396">
        <v>6</v>
      </c>
      <c r="I37" s="1402"/>
      <c r="J37" s="1402"/>
      <c r="L37" s="1788"/>
      <c r="M37" s="1788"/>
      <c r="N37" s="1788"/>
      <c r="O37" s="1788"/>
      <c r="P37" s="1788"/>
      <c r="Q37" s="1788"/>
    </row>
    <row r="38" spans="1:23" ht="18">
      <c r="A38" s="1434" t="s">
        <v>451</v>
      </c>
      <c r="B38" s="1701"/>
      <c r="C38" s="1394">
        <v>27</v>
      </c>
      <c r="D38" s="1395">
        <v>24</v>
      </c>
      <c r="E38" s="1396">
        <v>3</v>
      </c>
      <c r="F38" s="1772">
        <v>24</v>
      </c>
      <c r="G38" s="1395">
        <v>21</v>
      </c>
      <c r="H38" s="1396">
        <v>3</v>
      </c>
      <c r="I38" s="1402"/>
      <c r="J38" s="1402"/>
      <c r="L38" s="1788"/>
      <c r="M38" s="1788"/>
      <c r="N38" s="1788"/>
      <c r="O38" s="1788"/>
      <c r="P38" s="1788"/>
      <c r="Q38" s="1788"/>
    </row>
    <row r="39" spans="1:23" ht="18">
      <c r="A39" s="1434" t="s">
        <v>452</v>
      </c>
      <c r="B39" s="1702"/>
      <c r="C39" s="1394">
        <v>18</v>
      </c>
      <c r="D39" s="1395">
        <v>15</v>
      </c>
      <c r="E39" s="1396">
        <v>3</v>
      </c>
      <c r="F39" s="1772">
        <v>15</v>
      </c>
      <c r="G39" s="1395">
        <v>15</v>
      </c>
      <c r="H39" s="1396">
        <v>0</v>
      </c>
      <c r="I39" s="1402"/>
      <c r="J39" s="1402"/>
      <c r="L39" s="1788"/>
      <c r="M39" s="1788"/>
      <c r="N39" s="1788"/>
      <c r="O39" s="1788"/>
      <c r="P39" s="1788"/>
      <c r="Q39" s="1788"/>
    </row>
    <row r="40" spans="1:23" ht="18">
      <c r="A40" s="1729" t="s">
        <v>418</v>
      </c>
      <c r="B40" s="1435"/>
      <c r="C40" s="1793">
        <v>720</v>
      </c>
      <c r="D40" s="1795">
        <v>648</v>
      </c>
      <c r="E40" s="1795">
        <v>72</v>
      </c>
      <c r="F40" s="1793">
        <v>648</v>
      </c>
      <c r="G40" s="1795">
        <v>585</v>
      </c>
      <c r="H40" s="1796">
        <v>66</v>
      </c>
      <c r="I40" s="1402"/>
      <c r="J40" s="1402"/>
      <c r="K40" s="1402"/>
      <c r="L40" s="1402"/>
      <c r="M40" s="1402"/>
      <c r="N40" s="1402"/>
      <c r="O40" s="1402"/>
      <c r="P40" s="1788"/>
      <c r="Q40" s="1788"/>
    </row>
    <row r="41" spans="1:23" ht="18" customHeight="1">
      <c r="A41" s="1402" t="s">
        <v>498</v>
      </c>
      <c r="B41" s="1408"/>
      <c r="C41" s="1596"/>
      <c r="D41" s="1405"/>
      <c r="E41" s="1405"/>
      <c r="F41" s="1596"/>
      <c r="G41" s="1405"/>
      <c r="H41" s="1609"/>
      <c r="I41" s="1402"/>
      <c r="J41" s="1402"/>
    </row>
    <row r="42" spans="1:23" ht="18" customHeight="1">
      <c r="A42" s="1401" t="s">
        <v>555</v>
      </c>
      <c r="B42" s="1408"/>
      <c r="C42" s="1596"/>
      <c r="D42" s="1405"/>
      <c r="E42" s="1405"/>
      <c r="F42" s="1596"/>
      <c r="G42" s="1405"/>
      <c r="H42" s="1405"/>
      <c r="I42" s="1402"/>
      <c r="J42" s="1402"/>
    </row>
    <row r="43" spans="1:23" ht="18" customHeight="1">
      <c r="A43" s="1402" t="s">
        <v>542</v>
      </c>
      <c r="B43" s="1408"/>
      <c r="C43" s="1596"/>
      <c r="D43" s="1405"/>
      <c r="E43" s="1405"/>
      <c r="F43" s="1596"/>
      <c r="G43" s="1405"/>
      <c r="H43" s="1405"/>
      <c r="I43" s="1402"/>
      <c r="J43" s="1402"/>
    </row>
    <row r="44" spans="1:23" ht="18" customHeight="1">
      <c r="A44" s="1408"/>
      <c r="B44" s="1402"/>
      <c r="C44" s="1402"/>
      <c r="D44" s="1402"/>
      <c r="E44" s="1403"/>
      <c r="F44" s="1402"/>
      <c r="G44" s="1402"/>
      <c r="H44" s="1402"/>
      <c r="I44" s="1402"/>
      <c r="J44" s="1402"/>
    </row>
  </sheetData>
  <printOptions horizontalCentered="1"/>
  <pageMargins left="0.70866141732283472" right="0.70866141732283472" top="0.78740157480314965" bottom="0.78740157480314965" header="0.31496062992125984" footer="0.31496062992125984"/>
  <pageSetup paperSize="9" scale="90" orientation="landscape" r:id="rId1"/>
  <rowBreaks count="1" manualBreakCount="1">
    <brk id="21" max="16383" man="1"/>
  </rowBreaks>
  <tableParts count="2">
    <tablePart r:id="rId2"/>
    <tablePart r:id="rId3"/>
  </tablePart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0.499984740745262"/>
  </sheetPr>
  <dimension ref="A1:AB41"/>
  <sheetViews>
    <sheetView zoomScaleNormal="100" zoomScaleSheetLayoutView="100" workbookViewId="0">
      <selection activeCell="N30" sqref="N30"/>
    </sheetView>
  </sheetViews>
  <sheetFormatPr baseColWidth="10" defaultColWidth="11.42578125" defaultRowHeight="14.25"/>
  <cols>
    <col min="1" max="1" width="5.5703125" style="986" customWidth="1"/>
    <col min="2" max="2" width="0.85546875" style="986" customWidth="1"/>
    <col min="3" max="8" width="7.5703125" style="37" customWidth="1"/>
    <col min="9" max="10" width="10.5703125" style="268" customWidth="1"/>
    <col min="11" max="16" width="7.5703125" style="37" customWidth="1"/>
    <col min="17" max="16384" width="11.42578125" style="37"/>
  </cols>
  <sheetData>
    <row r="1" spans="1:28" ht="13.35" customHeight="1"/>
    <row r="2" spans="1:28" ht="13.35" customHeight="1">
      <c r="A2" s="728" t="s">
        <v>215</v>
      </c>
      <c r="B2" s="863"/>
      <c r="C2" s="863"/>
      <c r="D2" s="870"/>
      <c r="E2" s="54"/>
      <c r="F2" s="235"/>
      <c r="G2" s="235"/>
      <c r="H2" s="235"/>
      <c r="I2" s="235"/>
      <c r="J2" s="856"/>
      <c r="K2" s="871"/>
      <c r="L2" s="857"/>
      <c r="M2" s="235"/>
      <c r="N2" s="534"/>
    </row>
    <row r="3" spans="1:28" ht="11.1" customHeight="1">
      <c r="A3" s="992"/>
      <c r="B3" s="992"/>
      <c r="C3" s="871"/>
      <c r="D3" s="871"/>
      <c r="E3" s="871"/>
      <c r="F3" s="871"/>
      <c r="G3" s="871"/>
      <c r="H3" s="871"/>
      <c r="I3" s="872"/>
      <c r="J3" s="872"/>
      <c r="L3" s="871"/>
      <c r="M3" s="871"/>
      <c r="N3" s="871" t="s">
        <v>40</v>
      </c>
    </row>
    <row r="4" spans="1:28" s="72" customFormat="1" ht="14.1" customHeight="1">
      <c r="A4" s="1978" t="s">
        <v>220</v>
      </c>
      <c r="B4" s="1978"/>
      <c r="C4" s="1978"/>
      <c r="D4" s="1978"/>
      <c r="E4" s="1978"/>
      <c r="F4" s="1978"/>
      <c r="G4" s="1978"/>
      <c r="H4" s="1978"/>
      <c r="I4" s="1978"/>
      <c r="J4" s="1978"/>
      <c r="K4" s="1978"/>
      <c r="L4" s="1978"/>
      <c r="M4" s="1978"/>
      <c r="N4" s="1978"/>
      <c r="O4" s="1979"/>
      <c r="P4" s="1979"/>
    </row>
    <row r="5" spans="1:28" ht="11.1" customHeight="1" thickBot="1">
      <c r="A5" s="993"/>
      <c r="B5" s="993"/>
      <c r="C5" s="873"/>
      <c r="D5" s="873"/>
      <c r="E5" s="873"/>
      <c r="F5" s="873"/>
      <c r="G5" s="873"/>
      <c r="H5" s="873"/>
      <c r="I5" s="874"/>
      <c r="J5" s="874"/>
      <c r="K5" s="873"/>
      <c r="L5" s="873"/>
      <c r="M5" s="873"/>
      <c r="N5" s="873"/>
    </row>
    <row r="6" spans="1:28" s="254" customFormat="1" ht="24.6" customHeight="1">
      <c r="A6" s="2055" t="s">
        <v>43</v>
      </c>
      <c r="B6" s="1984"/>
      <c r="C6" s="2056" t="s">
        <v>360</v>
      </c>
      <c r="D6" s="2056" t="s">
        <v>116</v>
      </c>
      <c r="E6" s="2056" t="s">
        <v>116</v>
      </c>
      <c r="F6" s="2056" t="s">
        <v>116</v>
      </c>
      <c r="G6" s="2056" t="s">
        <v>116</v>
      </c>
      <c r="H6" s="2057" t="s">
        <v>116</v>
      </c>
      <c r="I6" s="875" t="s">
        <v>0</v>
      </c>
      <c r="J6" s="875" t="s">
        <v>1</v>
      </c>
      <c r="K6" s="2063" t="s">
        <v>212</v>
      </c>
      <c r="L6" s="2053"/>
      <c r="M6" s="2053"/>
      <c r="N6" s="2053"/>
      <c r="O6" s="2053"/>
      <c r="P6" s="2054"/>
    </row>
    <row r="7" spans="1:28" s="254" customFormat="1" ht="12" customHeight="1">
      <c r="A7" s="1985"/>
      <c r="B7" s="1986"/>
      <c r="C7" s="2058"/>
      <c r="D7" s="2058"/>
      <c r="E7" s="2058"/>
      <c r="F7" s="2058"/>
      <c r="G7" s="2058"/>
      <c r="H7" s="2059"/>
      <c r="I7" s="876" t="s">
        <v>3</v>
      </c>
      <c r="J7" s="876" t="s">
        <v>4</v>
      </c>
      <c r="K7" s="877"/>
      <c r="L7" s="876"/>
      <c r="M7" s="878"/>
      <c r="N7" s="2060" t="s">
        <v>314</v>
      </c>
      <c r="O7" s="2061"/>
      <c r="P7" s="2062"/>
    </row>
    <row r="8" spans="1:28" s="254" customFormat="1" ht="12" customHeight="1">
      <c r="A8" s="1985"/>
      <c r="B8" s="1986"/>
      <c r="C8" s="879"/>
      <c r="D8" s="880"/>
      <c r="E8" s="880"/>
      <c r="F8" s="21" t="s">
        <v>167</v>
      </c>
      <c r="G8" s="881"/>
      <c r="H8" s="882"/>
      <c r="I8" s="876" t="s">
        <v>8</v>
      </c>
      <c r="J8" s="876" t="s">
        <v>8</v>
      </c>
      <c r="K8" s="883"/>
      <c r="L8" s="880"/>
      <c r="M8" s="884"/>
      <c r="N8" s="1974" t="s">
        <v>189</v>
      </c>
      <c r="O8" s="1975"/>
      <c r="P8" s="1977"/>
      <c r="Q8" s="235"/>
      <c r="R8" s="235"/>
      <c r="S8" s="856"/>
      <c r="T8" s="235"/>
      <c r="U8" s="235"/>
    </row>
    <row r="9" spans="1:28" s="254" customFormat="1" ht="12" customHeight="1">
      <c r="A9" s="1985"/>
      <c r="B9" s="1986"/>
      <c r="C9" s="1125"/>
      <c r="D9" s="876"/>
      <c r="E9" s="876"/>
      <c r="F9" s="886" t="s">
        <v>297</v>
      </c>
      <c r="G9" s="887"/>
      <c r="H9" s="888"/>
      <c r="I9" s="876" t="s">
        <v>20</v>
      </c>
      <c r="J9" s="876" t="s">
        <v>20</v>
      </c>
      <c r="K9" s="883"/>
      <c r="L9" s="880"/>
      <c r="M9" s="889"/>
      <c r="N9" s="890"/>
      <c r="O9" s="891"/>
      <c r="P9" s="892"/>
    </row>
    <row r="10" spans="1:28" s="254" customFormat="1" ht="12" customHeight="1">
      <c r="A10" s="1985"/>
      <c r="B10" s="1986"/>
      <c r="C10" s="894" t="s">
        <v>19</v>
      </c>
      <c r="D10" s="876" t="s">
        <v>17</v>
      </c>
      <c r="E10" s="876" t="s">
        <v>18</v>
      </c>
      <c r="F10" s="893"/>
      <c r="G10" s="893"/>
      <c r="H10" s="893"/>
      <c r="I10" s="876" t="s">
        <v>33</v>
      </c>
      <c r="J10" s="876" t="s">
        <v>33</v>
      </c>
      <c r="K10" s="894" t="s">
        <v>19</v>
      </c>
      <c r="L10" s="895" t="s">
        <v>17</v>
      </c>
      <c r="M10" s="896" t="s">
        <v>18</v>
      </c>
      <c r="N10" s="897" t="s">
        <v>19</v>
      </c>
      <c r="O10" s="898" t="s">
        <v>17</v>
      </c>
      <c r="P10" s="899" t="s">
        <v>18</v>
      </c>
    </row>
    <row r="11" spans="1:28" s="254" customFormat="1" ht="12" customHeight="1">
      <c r="A11" s="1985"/>
      <c r="B11" s="1986"/>
      <c r="C11" s="894" t="s">
        <v>29</v>
      </c>
      <c r="D11" s="1126" t="s">
        <v>28</v>
      </c>
      <c r="E11" s="880" t="s">
        <v>28</v>
      </c>
      <c r="F11" s="900" t="s">
        <v>30</v>
      </c>
      <c r="G11" s="900" t="s">
        <v>31</v>
      </c>
      <c r="H11" s="901" t="s">
        <v>32</v>
      </c>
      <c r="I11" s="876" t="s">
        <v>39</v>
      </c>
      <c r="J11" s="876" t="s">
        <v>39</v>
      </c>
      <c r="K11" s="894" t="s">
        <v>29</v>
      </c>
      <c r="L11" s="895" t="s">
        <v>28</v>
      </c>
      <c r="M11" s="896" t="s">
        <v>34</v>
      </c>
      <c r="N11" s="897" t="s">
        <v>29</v>
      </c>
      <c r="O11" s="898" t="s">
        <v>28</v>
      </c>
      <c r="P11" s="899" t="s">
        <v>34</v>
      </c>
    </row>
    <row r="12" spans="1:28" s="254" customFormat="1" ht="11.1" customHeight="1">
      <c r="A12" s="1987"/>
      <c r="B12" s="1988"/>
      <c r="C12" s="885"/>
      <c r="D12" s="876"/>
      <c r="E12" s="876"/>
      <c r="F12" s="902"/>
      <c r="G12" s="902"/>
      <c r="H12" s="903"/>
      <c r="I12" s="876"/>
      <c r="J12" s="876"/>
      <c r="K12" s="904"/>
      <c r="L12" s="905"/>
      <c r="M12" s="886"/>
      <c r="N12" s="906"/>
      <c r="O12" s="905"/>
      <c r="P12" s="907"/>
    </row>
    <row r="13" spans="1:28" s="267" customFormat="1" ht="15" customHeight="1">
      <c r="A13" s="592" t="s">
        <v>58</v>
      </c>
      <c r="B13" s="601"/>
      <c r="C13" s="1078">
        <v>30</v>
      </c>
      <c r="D13" s="1076">
        <v>30</v>
      </c>
      <c r="E13" s="1077">
        <v>0</v>
      </c>
      <c r="F13" s="1076">
        <v>9</v>
      </c>
      <c r="G13" s="1076">
        <v>12</v>
      </c>
      <c r="H13" s="1077">
        <v>12</v>
      </c>
      <c r="I13" s="1067">
        <v>9</v>
      </c>
      <c r="J13" s="1067">
        <v>0</v>
      </c>
      <c r="K13" s="1080">
        <v>9</v>
      </c>
      <c r="L13" s="1076">
        <v>9</v>
      </c>
      <c r="M13" s="1077">
        <v>0</v>
      </c>
      <c r="N13" s="1080">
        <v>6</v>
      </c>
      <c r="O13" s="1076">
        <v>6</v>
      </c>
      <c r="P13" s="1084">
        <v>0</v>
      </c>
    </row>
    <row r="14" spans="1:28" ht="15" customHeight="1">
      <c r="A14" s="592" t="s">
        <v>49</v>
      </c>
      <c r="B14" s="595"/>
      <c r="C14" s="1069">
        <v>6</v>
      </c>
      <c r="D14" s="5">
        <v>6</v>
      </c>
      <c r="E14" s="396">
        <v>0</v>
      </c>
      <c r="F14" s="5">
        <v>3</v>
      </c>
      <c r="G14" s="5">
        <v>3</v>
      </c>
      <c r="H14" s="396">
        <v>0</v>
      </c>
      <c r="I14" s="396">
        <v>3</v>
      </c>
      <c r="J14" s="396">
        <v>0</v>
      </c>
      <c r="K14" s="1081">
        <v>0</v>
      </c>
      <c r="L14" s="5">
        <v>0</v>
      </c>
      <c r="M14" s="396">
        <v>0</v>
      </c>
      <c r="N14" s="1081">
        <v>0</v>
      </c>
      <c r="O14" s="5">
        <v>0</v>
      </c>
      <c r="P14" s="1038">
        <v>0</v>
      </c>
      <c r="Q14" s="72"/>
      <c r="R14" s="72"/>
      <c r="S14" s="72"/>
      <c r="T14" s="72"/>
      <c r="U14" s="72"/>
      <c r="V14" s="72"/>
      <c r="W14" s="72"/>
      <c r="X14" s="72"/>
      <c r="Y14" s="72"/>
      <c r="Z14" s="72"/>
      <c r="AA14" s="72"/>
      <c r="AB14" s="72"/>
    </row>
    <row r="15" spans="1:28" ht="15" customHeight="1">
      <c r="A15" s="592" t="s">
        <v>52</v>
      </c>
      <c r="B15" s="595"/>
      <c r="C15" s="1069">
        <v>126</v>
      </c>
      <c r="D15" s="5">
        <v>117</v>
      </c>
      <c r="E15" s="396">
        <v>9</v>
      </c>
      <c r="F15" s="5">
        <v>42</v>
      </c>
      <c r="G15" s="5">
        <v>45</v>
      </c>
      <c r="H15" s="396">
        <v>39</v>
      </c>
      <c r="I15" s="396">
        <v>48</v>
      </c>
      <c r="J15" s="396">
        <v>3</v>
      </c>
      <c r="K15" s="1081">
        <v>45</v>
      </c>
      <c r="L15" s="5">
        <v>39</v>
      </c>
      <c r="M15" s="396">
        <v>6</v>
      </c>
      <c r="N15" s="1081">
        <v>42</v>
      </c>
      <c r="O15" s="5">
        <v>39</v>
      </c>
      <c r="P15" s="1038">
        <v>6</v>
      </c>
      <c r="Q15" s="72"/>
      <c r="R15" s="72"/>
      <c r="S15" s="72"/>
      <c r="T15" s="72"/>
      <c r="U15" s="72"/>
      <c r="V15" s="72"/>
      <c r="W15" s="72"/>
      <c r="X15" s="72"/>
      <c r="Y15" s="72"/>
      <c r="Z15" s="72"/>
      <c r="AA15" s="72"/>
      <c r="AB15" s="72"/>
    </row>
    <row r="16" spans="1:28" s="52" customFormat="1" ht="15" customHeight="1">
      <c r="A16" s="592" t="s">
        <v>48</v>
      </c>
      <c r="B16" s="595"/>
      <c r="C16" s="1069">
        <v>0</v>
      </c>
      <c r="D16" s="5">
        <v>0</v>
      </c>
      <c r="E16" s="396">
        <v>0</v>
      </c>
      <c r="F16" s="5">
        <v>0</v>
      </c>
      <c r="G16" s="5">
        <v>0</v>
      </c>
      <c r="H16" s="396">
        <v>0</v>
      </c>
      <c r="I16" s="396">
        <v>0</v>
      </c>
      <c r="J16" s="396">
        <v>0</v>
      </c>
      <c r="K16" s="1081">
        <v>0</v>
      </c>
      <c r="L16" s="5">
        <v>0</v>
      </c>
      <c r="M16" s="396">
        <v>0</v>
      </c>
      <c r="N16" s="1081">
        <v>0</v>
      </c>
      <c r="O16" s="5">
        <v>0</v>
      </c>
      <c r="P16" s="1038">
        <v>0</v>
      </c>
      <c r="Q16" s="51"/>
      <c r="R16" s="51"/>
      <c r="S16" s="51"/>
      <c r="T16" s="51"/>
      <c r="U16" s="51"/>
      <c r="V16" s="51"/>
      <c r="W16" s="51"/>
      <c r="X16" s="51"/>
      <c r="Y16" s="51"/>
      <c r="Z16" s="51"/>
      <c r="AA16" s="51"/>
      <c r="AB16" s="51"/>
    </row>
    <row r="17" spans="1:28" ht="15" customHeight="1">
      <c r="A17" s="592" t="s">
        <v>381</v>
      </c>
      <c r="B17" s="543"/>
      <c r="C17" s="1069">
        <f>240+12</f>
        <v>252</v>
      </c>
      <c r="D17" s="5">
        <f>225+12</f>
        <v>237</v>
      </c>
      <c r="E17" s="396">
        <v>18</v>
      </c>
      <c r="F17" s="5">
        <f>72+6</f>
        <v>78</v>
      </c>
      <c r="G17" s="5">
        <f>78+3</f>
        <v>81</v>
      </c>
      <c r="H17" s="396">
        <v>93</v>
      </c>
      <c r="I17" s="396">
        <f>84+6</f>
        <v>90</v>
      </c>
      <c r="J17" s="396">
        <v>6</v>
      </c>
      <c r="K17" s="1081">
        <f>81+6</f>
        <v>87</v>
      </c>
      <c r="L17" s="5">
        <f>75+6</f>
        <v>81</v>
      </c>
      <c r="M17" s="396">
        <v>6</v>
      </c>
      <c r="N17" s="1081">
        <f>69+6</f>
        <v>75</v>
      </c>
      <c r="O17" s="5">
        <f>63+6</f>
        <v>69</v>
      </c>
      <c r="P17" s="1038">
        <v>6</v>
      </c>
      <c r="Q17" s="72"/>
      <c r="R17" s="72"/>
      <c r="S17" s="72"/>
      <c r="T17" s="72"/>
      <c r="U17" s="72"/>
      <c r="V17" s="72"/>
      <c r="W17" s="72"/>
      <c r="X17" s="72"/>
      <c r="Y17" s="72"/>
      <c r="Z17" s="72"/>
      <c r="AA17" s="72"/>
      <c r="AB17" s="72"/>
    </row>
    <row r="18" spans="1:28" s="267" customFormat="1" ht="15" customHeight="1">
      <c r="A18" s="592" t="s">
        <v>50</v>
      </c>
      <c r="B18" s="595"/>
      <c r="C18" s="1069">
        <v>99</v>
      </c>
      <c r="D18" s="5">
        <v>93</v>
      </c>
      <c r="E18" s="396">
        <v>9</v>
      </c>
      <c r="F18" s="5">
        <v>42</v>
      </c>
      <c r="G18" s="5">
        <v>30</v>
      </c>
      <c r="H18" s="396">
        <v>27</v>
      </c>
      <c r="I18" s="396">
        <v>42</v>
      </c>
      <c r="J18" s="396">
        <v>3</v>
      </c>
      <c r="K18" s="1081">
        <v>36</v>
      </c>
      <c r="L18" s="5">
        <v>36</v>
      </c>
      <c r="M18" s="396">
        <v>3</v>
      </c>
      <c r="N18" s="1081">
        <v>33</v>
      </c>
      <c r="O18" s="5">
        <v>33</v>
      </c>
      <c r="P18" s="1038">
        <v>3</v>
      </c>
    </row>
    <row r="19" spans="1:28" ht="15" customHeight="1">
      <c r="A19" s="592" t="s">
        <v>54</v>
      </c>
      <c r="B19" s="595"/>
      <c r="C19" s="1069">
        <v>114</v>
      </c>
      <c r="D19" s="5">
        <v>111</v>
      </c>
      <c r="E19" s="396">
        <v>0</v>
      </c>
      <c r="F19" s="5">
        <v>30</v>
      </c>
      <c r="G19" s="5">
        <v>36</v>
      </c>
      <c r="H19" s="396">
        <v>48</v>
      </c>
      <c r="I19" s="396">
        <v>39</v>
      </c>
      <c r="J19" s="396">
        <v>3</v>
      </c>
      <c r="K19" s="1081">
        <v>51</v>
      </c>
      <c r="L19" s="5">
        <v>51</v>
      </c>
      <c r="M19" s="396">
        <v>0</v>
      </c>
      <c r="N19" s="1081">
        <v>48</v>
      </c>
      <c r="O19" s="5">
        <v>48</v>
      </c>
      <c r="P19" s="1038">
        <v>0</v>
      </c>
      <c r="Q19" s="72"/>
      <c r="R19" s="72"/>
      <c r="S19" s="72"/>
      <c r="T19" s="72"/>
      <c r="U19" s="72"/>
      <c r="V19" s="72"/>
      <c r="W19" s="72"/>
      <c r="X19" s="72"/>
      <c r="Y19" s="72"/>
      <c r="Z19" s="72"/>
      <c r="AA19" s="72"/>
      <c r="AB19" s="72"/>
    </row>
    <row r="20" spans="1:28" ht="15" customHeight="1">
      <c r="A20" s="592" t="s">
        <v>44</v>
      </c>
      <c r="B20" s="595"/>
      <c r="C20" s="1069">
        <v>393</v>
      </c>
      <c r="D20" s="5">
        <v>375</v>
      </c>
      <c r="E20" s="396">
        <v>21</v>
      </c>
      <c r="F20" s="5">
        <v>96</v>
      </c>
      <c r="G20" s="5">
        <v>144</v>
      </c>
      <c r="H20" s="396">
        <v>156</v>
      </c>
      <c r="I20" s="396">
        <v>141</v>
      </c>
      <c r="J20" s="396">
        <v>15</v>
      </c>
      <c r="K20" s="1081">
        <v>132</v>
      </c>
      <c r="L20" s="5">
        <v>129</v>
      </c>
      <c r="M20" s="396">
        <v>3</v>
      </c>
      <c r="N20" s="1081">
        <v>129</v>
      </c>
      <c r="O20" s="5">
        <v>126</v>
      </c>
      <c r="P20" s="1038">
        <v>3</v>
      </c>
      <c r="Q20" s="72"/>
      <c r="R20" s="72"/>
      <c r="S20" s="72"/>
      <c r="T20" s="72"/>
      <c r="U20" s="72"/>
      <c r="V20" s="72"/>
      <c r="W20" s="72"/>
      <c r="X20" s="72"/>
      <c r="Y20" s="72"/>
      <c r="Z20" s="72"/>
      <c r="AA20" s="72"/>
      <c r="AB20" s="72"/>
    </row>
    <row r="21" spans="1:28" ht="15" customHeight="1">
      <c r="A21" s="592" t="s">
        <v>45</v>
      </c>
      <c r="B21" s="595"/>
      <c r="C21" s="1069">
        <v>165</v>
      </c>
      <c r="D21" s="5">
        <v>159</v>
      </c>
      <c r="E21" s="396">
        <v>6</v>
      </c>
      <c r="F21" s="5">
        <v>42</v>
      </c>
      <c r="G21" s="5">
        <v>66</v>
      </c>
      <c r="H21" s="396">
        <v>57</v>
      </c>
      <c r="I21" s="396">
        <v>48</v>
      </c>
      <c r="J21" s="396">
        <v>9</v>
      </c>
      <c r="K21" s="1081">
        <v>57</v>
      </c>
      <c r="L21" s="5">
        <v>57</v>
      </c>
      <c r="M21" s="396">
        <v>0</v>
      </c>
      <c r="N21" s="1081">
        <v>54</v>
      </c>
      <c r="O21" s="5">
        <v>54</v>
      </c>
      <c r="P21" s="1038">
        <v>0</v>
      </c>
      <c r="Q21" s="72"/>
      <c r="R21" s="72"/>
      <c r="S21" s="72"/>
      <c r="T21" s="72"/>
      <c r="U21" s="72"/>
      <c r="V21" s="72"/>
      <c r="W21" s="72"/>
      <c r="X21" s="72"/>
      <c r="Y21" s="72"/>
      <c r="Z21" s="72"/>
      <c r="AA21" s="72"/>
      <c r="AB21" s="72"/>
    </row>
    <row r="22" spans="1:28" ht="15" customHeight="1">
      <c r="A22" s="592" t="s">
        <v>55</v>
      </c>
      <c r="B22" s="595"/>
      <c r="C22" s="1069">
        <v>12</v>
      </c>
      <c r="D22" s="5">
        <v>12</v>
      </c>
      <c r="E22" s="396">
        <v>0</v>
      </c>
      <c r="F22" s="5">
        <v>0</v>
      </c>
      <c r="G22" s="5">
        <v>0</v>
      </c>
      <c r="H22" s="396">
        <v>12</v>
      </c>
      <c r="I22" s="396">
        <v>0</v>
      </c>
      <c r="J22" s="396">
        <v>0</v>
      </c>
      <c r="K22" s="1081">
        <v>0</v>
      </c>
      <c r="L22" s="5">
        <v>0</v>
      </c>
      <c r="M22" s="396">
        <v>0</v>
      </c>
      <c r="N22" s="1081">
        <v>0</v>
      </c>
      <c r="O22" s="5">
        <v>0</v>
      </c>
      <c r="P22" s="1038">
        <v>0</v>
      </c>
      <c r="Q22" s="72"/>
      <c r="R22" s="72"/>
      <c r="S22" s="72"/>
      <c r="T22" s="72"/>
      <c r="U22" s="72"/>
      <c r="V22" s="72"/>
      <c r="W22" s="72"/>
      <c r="X22" s="72"/>
      <c r="Y22" s="72"/>
      <c r="Z22" s="72"/>
      <c r="AA22" s="72"/>
      <c r="AB22" s="72"/>
    </row>
    <row r="23" spans="1:28" s="267" customFormat="1" ht="15" customHeight="1">
      <c r="A23" s="592" t="s">
        <v>46</v>
      </c>
      <c r="B23" s="595"/>
      <c r="C23" s="1070">
        <v>24</v>
      </c>
      <c r="D23" s="1063">
        <v>15</v>
      </c>
      <c r="E23" s="1064">
        <v>9</v>
      </c>
      <c r="F23" s="1063">
        <v>9</v>
      </c>
      <c r="G23" s="1063">
        <v>6</v>
      </c>
      <c r="H23" s="1064">
        <v>6</v>
      </c>
      <c r="I23" s="396">
        <v>9</v>
      </c>
      <c r="J23" s="396">
        <v>3</v>
      </c>
      <c r="K23" s="1082">
        <v>6</v>
      </c>
      <c r="L23" s="1063">
        <v>6</v>
      </c>
      <c r="M23" s="1064">
        <v>0</v>
      </c>
      <c r="N23" s="1082">
        <v>6</v>
      </c>
      <c r="O23" s="1063">
        <v>6</v>
      </c>
      <c r="P23" s="1036">
        <v>0</v>
      </c>
    </row>
    <row r="24" spans="1:28" ht="15" customHeight="1">
      <c r="A24" s="592" t="s">
        <v>47</v>
      </c>
      <c r="B24" s="595"/>
      <c r="C24" s="1069">
        <v>108</v>
      </c>
      <c r="D24" s="5">
        <v>102</v>
      </c>
      <c r="E24" s="396">
        <v>9</v>
      </c>
      <c r="F24" s="5">
        <v>42</v>
      </c>
      <c r="G24" s="5">
        <v>36</v>
      </c>
      <c r="H24" s="396">
        <v>33</v>
      </c>
      <c r="I24" s="258">
        <v>42</v>
      </c>
      <c r="J24" s="258">
        <v>0</v>
      </c>
      <c r="K24" s="1081">
        <v>30</v>
      </c>
      <c r="L24" s="5">
        <v>30</v>
      </c>
      <c r="M24" s="396">
        <v>3</v>
      </c>
      <c r="N24" s="1081">
        <v>27</v>
      </c>
      <c r="O24" s="5">
        <v>27</v>
      </c>
      <c r="P24" s="1038">
        <v>3</v>
      </c>
      <c r="Q24" s="72"/>
      <c r="R24" s="72"/>
      <c r="S24" s="72"/>
      <c r="T24" s="72"/>
      <c r="U24" s="72"/>
      <c r="V24" s="72"/>
      <c r="W24" s="72"/>
      <c r="X24" s="72"/>
      <c r="Y24" s="72"/>
      <c r="Z24" s="72"/>
      <c r="AA24" s="72"/>
      <c r="AB24" s="72"/>
    </row>
    <row r="25" spans="1:28" ht="15" customHeight="1">
      <c r="A25" s="592" t="s">
        <v>51</v>
      </c>
      <c r="B25" s="595"/>
      <c r="C25" s="1069">
        <v>60</v>
      </c>
      <c r="D25" s="5">
        <v>51</v>
      </c>
      <c r="E25" s="396">
        <v>9</v>
      </c>
      <c r="F25" s="5">
        <v>12</v>
      </c>
      <c r="G25" s="5">
        <v>27</v>
      </c>
      <c r="H25" s="396">
        <v>21</v>
      </c>
      <c r="I25" s="396">
        <v>21</v>
      </c>
      <c r="J25" s="396">
        <v>0</v>
      </c>
      <c r="K25" s="1081">
        <v>21</v>
      </c>
      <c r="L25" s="5">
        <v>18</v>
      </c>
      <c r="M25" s="396">
        <v>3</v>
      </c>
      <c r="N25" s="1081">
        <v>21</v>
      </c>
      <c r="O25" s="5">
        <v>18</v>
      </c>
      <c r="P25" s="1038">
        <v>3</v>
      </c>
      <c r="Q25" s="72"/>
      <c r="R25" s="72"/>
      <c r="S25" s="72"/>
      <c r="T25" s="72"/>
      <c r="U25" s="72"/>
      <c r="V25" s="72"/>
      <c r="W25" s="72"/>
      <c r="X25" s="72"/>
      <c r="Y25" s="72"/>
      <c r="Z25" s="72"/>
      <c r="AA25" s="72"/>
      <c r="AB25" s="72"/>
    </row>
    <row r="26" spans="1:28" ht="15" customHeight="1">
      <c r="A26" s="592" t="s">
        <v>56</v>
      </c>
      <c r="B26" s="595"/>
      <c r="C26" s="1069">
        <v>135</v>
      </c>
      <c r="D26" s="5">
        <v>126</v>
      </c>
      <c r="E26" s="396">
        <v>12</v>
      </c>
      <c r="F26" s="5">
        <v>45</v>
      </c>
      <c r="G26" s="5">
        <v>48</v>
      </c>
      <c r="H26" s="396">
        <v>42</v>
      </c>
      <c r="I26" s="396">
        <v>48</v>
      </c>
      <c r="J26" s="396">
        <v>0</v>
      </c>
      <c r="K26" s="1081">
        <v>45</v>
      </c>
      <c r="L26" s="5">
        <v>42</v>
      </c>
      <c r="M26" s="396">
        <v>0</v>
      </c>
      <c r="N26" s="1081">
        <v>45</v>
      </c>
      <c r="O26" s="5">
        <v>42</v>
      </c>
      <c r="P26" s="1038">
        <v>0</v>
      </c>
      <c r="Q26" s="72"/>
      <c r="R26" s="72"/>
      <c r="S26" s="72"/>
      <c r="T26" s="72"/>
      <c r="U26" s="72"/>
      <c r="V26" s="72"/>
      <c r="W26" s="72"/>
      <c r="X26" s="72"/>
      <c r="Y26" s="72"/>
      <c r="Z26" s="72"/>
      <c r="AA26" s="72"/>
      <c r="AB26" s="72"/>
    </row>
    <row r="27" spans="1:28" s="254" customFormat="1" ht="15" customHeight="1">
      <c r="A27" s="592" t="s">
        <v>57</v>
      </c>
      <c r="B27" s="595"/>
      <c r="C27" s="1069">
        <v>87</v>
      </c>
      <c r="D27" s="5">
        <v>78</v>
      </c>
      <c r="E27" s="396">
        <v>9</v>
      </c>
      <c r="F27" s="5">
        <v>30</v>
      </c>
      <c r="G27" s="5">
        <v>27</v>
      </c>
      <c r="H27" s="396">
        <v>30</v>
      </c>
      <c r="I27" s="396">
        <v>33</v>
      </c>
      <c r="J27" s="396">
        <v>3</v>
      </c>
      <c r="K27" s="1081">
        <v>39</v>
      </c>
      <c r="L27" s="5">
        <v>36</v>
      </c>
      <c r="M27" s="396">
        <v>3</v>
      </c>
      <c r="N27" s="1081">
        <v>30</v>
      </c>
      <c r="O27" s="5">
        <v>30</v>
      </c>
      <c r="P27" s="1038">
        <v>3</v>
      </c>
    </row>
    <row r="28" spans="1:28" s="267" customFormat="1" ht="15" customHeight="1">
      <c r="A28" s="592" t="s">
        <v>59</v>
      </c>
      <c r="B28" s="595"/>
      <c r="C28" s="1069">
        <v>54</v>
      </c>
      <c r="D28" s="5">
        <v>51</v>
      </c>
      <c r="E28" s="396">
        <v>3</v>
      </c>
      <c r="F28" s="5">
        <v>18</v>
      </c>
      <c r="G28" s="5">
        <v>24</v>
      </c>
      <c r="H28" s="396">
        <v>12</v>
      </c>
      <c r="I28" s="1037">
        <v>18</v>
      </c>
      <c r="J28" s="1037">
        <v>0</v>
      </c>
      <c r="K28" s="1081">
        <v>27</v>
      </c>
      <c r="L28" s="5">
        <v>27</v>
      </c>
      <c r="M28" s="396">
        <v>0</v>
      </c>
      <c r="N28" s="1081">
        <v>21</v>
      </c>
      <c r="O28" s="5">
        <v>21</v>
      </c>
      <c r="P28" s="1038">
        <v>0</v>
      </c>
    </row>
    <row r="29" spans="1:28" s="336" customFormat="1" ht="4.5" customHeight="1">
      <c r="A29" s="656"/>
      <c r="B29" s="595"/>
      <c r="C29" s="408"/>
      <c r="D29" s="406"/>
      <c r="E29" s="407"/>
      <c r="F29" s="406"/>
      <c r="G29" s="406"/>
      <c r="H29" s="407"/>
      <c r="I29" s="1079"/>
      <c r="J29" s="1079"/>
      <c r="K29" s="1083"/>
      <c r="L29" s="406"/>
      <c r="M29" s="407"/>
      <c r="N29" s="1083"/>
      <c r="O29" s="406"/>
      <c r="P29" s="1085"/>
    </row>
    <row r="30" spans="1:28" s="255" customFormat="1" ht="21" customHeight="1" thickBot="1">
      <c r="A30" s="593" t="s">
        <v>60</v>
      </c>
      <c r="B30" s="658"/>
      <c r="C30" s="1068">
        <f>1656+12</f>
        <v>1668</v>
      </c>
      <c r="D30" s="580">
        <f>1545+12</f>
        <v>1557</v>
      </c>
      <c r="E30" s="1065">
        <v>111</v>
      </c>
      <c r="F30" s="580">
        <f>486+6</f>
        <v>492</v>
      </c>
      <c r="G30" s="580">
        <f>582+3</f>
        <v>585</v>
      </c>
      <c r="H30" s="1065">
        <v>585</v>
      </c>
      <c r="I30" s="1339">
        <f>582+6</f>
        <v>588</v>
      </c>
      <c r="J30" s="1066">
        <v>51</v>
      </c>
      <c r="K30" s="580">
        <f>579+6</f>
        <v>585</v>
      </c>
      <c r="L30" s="580">
        <f>549+6</f>
        <v>555</v>
      </c>
      <c r="M30" s="1065">
        <f>27</f>
        <v>27</v>
      </c>
      <c r="N30" s="580">
        <f>534+6</f>
        <v>540</v>
      </c>
      <c r="O30" s="580">
        <f>510+6</f>
        <v>516</v>
      </c>
      <c r="P30" s="1039">
        <v>24</v>
      </c>
    </row>
    <row r="31" spans="1:28" s="255" customFormat="1" ht="3.6" customHeight="1">
      <c r="A31" s="71"/>
      <c r="B31" s="71"/>
      <c r="C31" s="269"/>
      <c r="D31" s="269"/>
      <c r="E31" s="269"/>
      <c r="F31" s="269"/>
      <c r="G31" s="269"/>
      <c r="H31" s="269"/>
      <c r="I31" s="269"/>
      <c r="J31" s="269"/>
      <c r="K31" s="269"/>
      <c r="L31" s="269"/>
      <c r="M31" s="269"/>
      <c r="N31" s="269"/>
    </row>
    <row r="32" spans="1:28" s="255" customFormat="1" ht="11.25" customHeight="1">
      <c r="A32" s="70" t="s">
        <v>299</v>
      </c>
      <c r="B32" s="71"/>
      <c r="C32" s="269"/>
      <c r="D32" s="269"/>
      <c r="E32" s="269"/>
      <c r="F32" s="269"/>
      <c r="G32" s="269"/>
      <c r="H32" s="269"/>
      <c r="I32" s="269"/>
      <c r="J32" s="269"/>
      <c r="K32" s="269"/>
      <c r="L32" s="269"/>
      <c r="M32" s="269"/>
      <c r="N32" s="269"/>
    </row>
    <row r="33" spans="1:16" s="255" customFormat="1" ht="12" customHeight="1">
      <c r="A33" s="71" t="s">
        <v>313</v>
      </c>
      <c r="B33" s="71"/>
      <c r="C33" s="71"/>
      <c r="D33" s="71"/>
      <c r="E33" s="71"/>
      <c r="F33" s="71"/>
      <c r="G33" s="71"/>
      <c r="H33" s="71"/>
      <c r="I33" s="71"/>
      <c r="J33" s="71"/>
      <c r="K33" s="71"/>
      <c r="L33" s="71"/>
      <c r="M33" s="71"/>
      <c r="N33" s="71"/>
    </row>
    <row r="34" spans="1:16" s="255" customFormat="1" ht="15.95" customHeight="1">
      <c r="A34" s="994"/>
      <c r="B34" s="994"/>
      <c r="C34" s="269"/>
      <c r="D34" s="269"/>
      <c r="E34" s="269"/>
      <c r="F34" s="269"/>
      <c r="G34" s="269"/>
      <c r="H34" s="269"/>
      <c r="I34" s="269"/>
      <c r="J34" s="269"/>
      <c r="K34" s="269"/>
      <c r="L34" s="269"/>
      <c r="M34" s="269"/>
      <c r="N34" s="269"/>
    </row>
    <row r="35" spans="1:16">
      <c r="A35" s="995"/>
      <c r="B35" s="995"/>
      <c r="C35" s="254"/>
      <c r="D35" s="254"/>
      <c r="E35" s="254"/>
      <c r="F35" s="254"/>
      <c r="G35" s="254"/>
      <c r="H35" s="254"/>
      <c r="I35" s="869"/>
      <c r="J35" s="869"/>
      <c r="K35" s="254"/>
      <c r="L35" s="254"/>
      <c r="M35" s="254"/>
      <c r="N35" s="254"/>
    </row>
    <row r="36" spans="1:16" ht="15" thickBot="1">
      <c r="A36" s="593" t="s">
        <v>60</v>
      </c>
      <c r="B36" s="598"/>
      <c r="C36" s="1068">
        <v>1665</v>
      </c>
      <c r="D36" s="580">
        <v>1563</v>
      </c>
      <c r="E36" s="1065">
        <v>114</v>
      </c>
      <c r="F36" s="580">
        <v>498</v>
      </c>
      <c r="G36" s="580">
        <v>585</v>
      </c>
      <c r="H36" s="1065">
        <v>588</v>
      </c>
      <c r="I36" s="580">
        <v>591</v>
      </c>
      <c r="J36" s="1066">
        <v>45</v>
      </c>
      <c r="K36" s="1068">
        <v>585</v>
      </c>
      <c r="L36" s="580">
        <v>561</v>
      </c>
      <c r="M36" s="1065">
        <v>27</v>
      </c>
      <c r="N36" s="1068">
        <v>537</v>
      </c>
      <c r="O36" s="580">
        <v>519</v>
      </c>
      <c r="P36" s="1039">
        <v>27</v>
      </c>
    </row>
    <row r="37" spans="1:16" ht="15" thickBot="1">
      <c r="A37" s="593" t="s">
        <v>386</v>
      </c>
      <c r="B37" s="598"/>
      <c r="C37" s="1321">
        <f t="shared" ref="C37:P37" si="0">C30-C36</f>
        <v>3</v>
      </c>
      <c r="D37" s="1295">
        <f t="shared" si="0"/>
        <v>-6</v>
      </c>
      <c r="E37" s="1296">
        <f t="shared" si="0"/>
        <v>-3</v>
      </c>
      <c r="F37" s="1326">
        <f t="shared" si="0"/>
        <v>-6</v>
      </c>
      <c r="G37" s="1305">
        <f t="shared" si="0"/>
        <v>0</v>
      </c>
      <c r="H37" s="1296">
        <f t="shared" si="0"/>
        <v>-3</v>
      </c>
      <c r="I37" s="1295">
        <f t="shared" si="0"/>
        <v>-3</v>
      </c>
      <c r="J37" s="1337">
        <f t="shared" si="0"/>
        <v>6</v>
      </c>
      <c r="K37" s="1327">
        <f t="shared" si="0"/>
        <v>0</v>
      </c>
      <c r="L37" s="1295">
        <f t="shared" si="0"/>
        <v>-6</v>
      </c>
      <c r="M37" s="1311">
        <f t="shared" si="0"/>
        <v>0</v>
      </c>
      <c r="N37" s="1321">
        <f t="shared" si="0"/>
        <v>3</v>
      </c>
      <c r="O37" s="1295">
        <f t="shared" si="0"/>
        <v>-3</v>
      </c>
      <c r="P37" s="1349">
        <f t="shared" si="0"/>
        <v>-3</v>
      </c>
    </row>
    <row r="38" spans="1:16">
      <c r="C38" s="72"/>
      <c r="D38" s="72"/>
      <c r="E38" s="72"/>
      <c r="F38" s="72"/>
      <c r="G38" s="72"/>
      <c r="H38" s="72"/>
      <c r="I38" s="908"/>
      <c r="J38" s="908"/>
      <c r="K38" s="72"/>
      <c r="L38" s="72"/>
      <c r="M38" s="72"/>
      <c r="N38" s="72"/>
    </row>
    <row r="39" spans="1:16">
      <c r="A39" s="995"/>
      <c r="B39" s="995"/>
      <c r="C39" s="254"/>
      <c r="D39" s="254"/>
      <c r="E39" s="254"/>
      <c r="F39" s="254"/>
      <c r="G39" s="254"/>
      <c r="H39" s="254"/>
      <c r="I39" s="869"/>
      <c r="J39" s="869"/>
      <c r="K39" s="254"/>
      <c r="L39" s="254"/>
      <c r="M39" s="254"/>
      <c r="N39" s="254"/>
    </row>
    <row r="40" spans="1:16">
      <c r="C40" s="72"/>
      <c r="D40" s="72"/>
      <c r="E40" s="72"/>
      <c r="F40" s="72"/>
      <c r="G40" s="72"/>
      <c r="H40" s="72"/>
      <c r="I40" s="908"/>
      <c r="J40" s="908"/>
      <c r="K40" s="72"/>
      <c r="L40" s="72"/>
      <c r="M40" s="72"/>
      <c r="N40" s="72"/>
    </row>
    <row r="41" spans="1:16">
      <c r="A41" s="995"/>
      <c r="B41" s="995"/>
      <c r="C41" s="254"/>
      <c r="D41" s="254"/>
      <c r="E41" s="254"/>
      <c r="F41" s="254"/>
      <c r="G41" s="254"/>
      <c r="H41" s="254"/>
      <c r="I41" s="869"/>
      <c r="J41" s="869"/>
      <c r="K41" s="254"/>
      <c r="L41" s="254"/>
      <c r="M41" s="254"/>
      <c r="N41" s="254"/>
    </row>
  </sheetData>
  <mergeCells count="6">
    <mergeCell ref="A4:P4"/>
    <mergeCell ref="A6:B12"/>
    <mergeCell ref="C6:H7"/>
    <mergeCell ref="N7:P7"/>
    <mergeCell ref="N8:P8"/>
    <mergeCell ref="K6:P6"/>
  </mergeCells>
  <printOptions horizontalCentered="1"/>
  <pageMargins left="0.19685039370078741" right="0.19685039370078741" top="0.98425196850393704" bottom="0.59055118110236227" header="0.51181102362204722" footer="0.51181102362204722"/>
  <pageSetup paperSize="9" orientation="landscape" r:id="rId1"/>
  <headerFooter alignWithMargins="0">
    <oddHeader>&amp;C&amp;"Arial,Standard"&amp;8-19 -&amp;R&amp;8&amp;D</oddHeader>
    <oddFooter>&amp;R
&amp;12...</oddFoot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0.499984740745262"/>
  </sheetPr>
  <dimension ref="A1:AC41"/>
  <sheetViews>
    <sheetView zoomScaleNormal="100" zoomScaleSheetLayoutView="100" workbookViewId="0">
      <selection activeCell="K30" sqref="K30"/>
    </sheetView>
  </sheetViews>
  <sheetFormatPr baseColWidth="10" defaultColWidth="11.42578125" defaultRowHeight="15"/>
  <cols>
    <col min="1" max="1" width="5.5703125" style="270" customWidth="1"/>
    <col min="2" max="2" width="0.85546875" style="270" customWidth="1"/>
    <col min="3" max="4" width="7.5703125" style="270" customWidth="1"/>
    <col min="5" max="5" width="7.5703125" style="275" customWidth="1"/>
    <col min="6" max="8" width="7.5703125" style="270" customWidth="1"/>
    <col min="9" max="10" width="10.5703125" style="270" customWidth="1"/>
    <col min="11" max="12" width="7.5703125" style="270" customWidth="1"/>
    <col min="13" max="13" width="7.5703125" style="275" customWidth="1"/>
    <col min="14" max="16" width="7.5703125" style="270" customWidth="1"/>
    <col min="17" max="16384" width="11.42578125" style="270"/>
  </cols>
  <sheetData>
    <row r="1" spans="1:29" ht="13.35" customHeight="1"/>
    <row r="2" spans="1:29" ht="13.35" customHeight="1">
      <c r="A2" s="1355" t="s">
        <v>215</v>
      </c>
      <c r="B2" s="863"/>
      <c r="C2" s="863"/>
      <c r="D2" s="513"/>
      <c r="E2" s="513"/>
      <c r="F2" s="513"/>
      <c r="G2" s="513"/>
      <c r="H2" s="513"/>
      <c r="I2" s="909"/>
      <c r="J2" s="909"/>
      <c r="K2" s="909"/>
      <c r="L2" s="909"/>
      <c r="M2" s="909"/>
      <c r="N2" s="534"/>
    </row>
    <row r="3" spans="1:29" ht="11.1" customHeight="1">
      <c r="A3" s="996"/>
      <c r="B3" s="996"/>
      <c r="C3" s="910"/>
      <c r="D3" s="910"/>
      <c r="E3" s="911"/>
      <c r="F3" s="910"/>
      <c r="G3" s="910"/>
      <c r="H3" s="910"/>
      <c r="I3" s="910"/>
      <c r="K3" s="910"/>
      <c r="L3" s="910"/>
      <c r="M3" s="911" t="s">
        <v>40</v>
      </c>
      <c r="N3" s="910"/>
    </row>
    <row r="4" spans="1:29" ht="14.1" customHeight="1">
      <c r="A4" s="2052" t="s">
        <v>160</v>
      </c>
      <c r="B4" s="2052"/>
      <c r="C4" s="1979"/>
      <c r="D4" s="1979"/>
      <c r="E4" s="1979"/>
      <c r="F4" s="1979"/>
      <c r="G4" s="1979"/>
      <c r="H4" s="1979"/>
      <c r="I4" s="1979"/>
      <c r="J4" s="1979"/>
      <c r="K4" s="1979"/>
      <c r="L4" s="1979"/>
      <c r="M4" s="1979"/>
      <c r="N4" s="1979"/>
      <c r="O4" s="1979"/>
      <c r="P4" s="1979"/>
    </row>
    <row r="5" spans="1:29" ht="11.1" customHeight="1" thickBot="1">
      <c r="A5" s="910"/>
      <c r="B5" s="910"/>
      <c r="C5" s="910"/>
      <c r="D5" s="910"/>
      <c r="E5" s="911"/>
      <c r="F5" s="910"/>
      <c r="G5" s="910"/>
      <c r="H5" s="910"/>
      <c r="I5" s="910"/>
      <c r="J5" s="910"/>
      <c r="K5" s="910"/>
      <c r="L5" s="910"/>
      <c r="M5" s="911"/>
      <c r="N5" s="910"/>
    </row>
    <row r="6" spans="1:29" ht="24.6" customHeight="1">
      <c r="A6" s="2055" t="s">
        <v>43</v>
      </c>
      <c r="B6" s="1984"/>
      <c r="C6" s="2056" t="s">
        <v>360</v>
      </c>
      <c r="D6" s="2056" t="s">
        <v>116</v>
      </c>
      <c r="E6" s="2056" t="s">
        <v>116</v>
      </c>
      <c r="F6" s="2056" t="s">
        <v>116</v>
      </c>
      <c r="G6" s="2056" t="s">
        <v>116</v>
      </c>
      <c r="H6" s="2057" t="s">
        <v>116</v>
      </c>
      <c r="I6" s="875" t="s">
        <v>0</v>
      </c>
      <c r="J6" s="875" t="s">
        <v>1</v>
      </c>
      <c r="K6" s="2063" t="s">
        <v>212</v>
      </c>
      <c r="L6" s="2053"/>
      <c r="M6" s="2053"/>
      <c r="N6" s="2053"/>
      <c r="O6" s="2053"/>
      <c r="P6" s="2054"/>
    </row>
    <row r="7" spans="1:29" s="271" customFormat="1" ht="12" customHeight="1">
      <c r="A7" s="1985"/>
      <c r="B7" s="1986"/>
      <c r="C7" s="2058"/>
      <c r="D7" s="2058"/>
      <c r="E7" s="2058"/>
      <c r="F7" s="2058"/>
      <c r="G7" s="2058"/>
      <c r="H7" s="2059"/>
      <c r="I7" s="876" t="s">
        <v>3</v>
      </c>
      <c r="J7" s="876" t="s">
        <v>4</v>
      </c>
      <c r="K7" s="877"/>
      <c r="L7" s="876"/>
      <c r="M7" s="878"/>
      <c r="N7" s="2060" t="s">
        <v>314</v>
      </c>
      <c r="O7" s="2061"/>
      <c r="P7" s="2062"/>
      <c r="Q7" s="515"/>
      <c r="R7" s="513"/>
      <c r="S7" s="513"/>
      <c r="T7" s="513"/>
      <c r="U7" s="513"/>
      <c r="V7" s="513"/>
      <c r="W7" s="513"/>
      <c r="X7" s="513"/>
      <c r="Y7" s="513"/>
      <c r="Z7" s="514"/>
      <c r="AA7" s="513"/>
      <c r="AB7" s="513"/>
      <c r="AC7" s="516" t="s">
        <v>111</v>
      </c>
    </row>
    <row r="8" spans="1:29" s="271" customFormat="1" ht="12" customHeight="1">
      <c r="A8" s="1985"/>
      <c r="B8" s="1986"/>
      <c r="C8" s="879"/>
      <c r="D8" s="880"/>
      <c r="E8" s="880"/>
      <c r="F8" s="21" t="s">
        <v>167</v>
      </c>
      <c r="G8" s="881"/>
      <c r="H8" s="882"/>
      <c r="I8" s="876" t="s">
        <v>8</v>
      </c>
      <c r="J8" s="876" t="s">
        <v>8</v>
      </c>
      <c r="K8" s="883"/>
      <c r="L8" s="880"/>
      <c r="M8" s="884"/>
      <c r="N8" s="1974" t="s">
        <v>189</v>
      </c>
      <c r="O8" s="1975"/>
      <c r="P8" s="1977"/>
    </row>
    <row r="9" spans="1:29" s="271" customFormat="1" ht="12" customHeight="1">
      <c r="A9" s="1985"/>
      <c r="B9" s="1986"/>
      <c r="C9" s="1125"/>
      <c r="D9" s="876"/>
      <c r="E9" s="876"/>
      <c r="F9" s="886" t="s">
        <v>297</v>
      </c>
      <c r="G9" s="887"/>
      <c r="H9" s="888"/>
      <c r="I9" s="876" t="s">
        <v>20</v>
      </c>
      <c r="J9" s="876" t="s">
        <v>20</v>
      </c>
      <c r="K9" s="883"/>
      <c r="L9" s="880"/>
      <c r="M9" s="889"/>
      <c r="N9" s="890"/>
      <c r="O9" s="891"/>
      <c r="P9" s="892"/>
    </row>
    <row r="10" spans="1:29" s="271" customFormat="1" ht="12" customHeight="1">
      <c r="A10" s="1985"/>
      <c r="B10" s="1986"/>
      <c r="C10" s="894" t="s">
        <v>19</v>
      </c>
      <c r="D10" s="876" t="s">
        <v>17</v>
      </c>
      <c r="E10" s="876" t="s">
        <v>18</v>
      </c>
      <c r="F10" s="893"/>
      <c r="G10" s="893"/>
      <c r="H10" s="893"/>
      <c r="I10" s="876" t="s">
        <v>33</v>
      </c>
      <c r="J10" s="876" t="s">
        <v>33</v>
      </c>
      <c r="K10" s="894" t="s">
        <v>19</v>
      </c>
      <c r="L10" s="895" t="s">
        <v>17</v>
      </c>
      <c r="M10" s="896" t="s">
        <v>18</v>
      </c>
      <c r="N10" s="897" t="s">
        <v>19</v>
      </c>
      <c r="O10" s="898" t="s">
        <v>17</v>
      </c>
      <c r="P10" s="899" t="s">
        <v>18</v>
      </c>
    </row>
    <row r="11" spans="1:29" s="271" customFormat="1" ht="12" customHeight="1">
      <c r="A11" s="1985"/>
      <c r="B11" s="1986"/>
      <c r="C11" s="894" t="s">
        <v>29</v>
      </c>
      <c r="D11" s="1126" t="s">
        <v>28</v>
      </c>
      <c r="E11" s="880" t="s">
        <v>28</v>
      </c>
      <c r="F11" s="900" t="s">
        <v>30</v>
      </c>
      <c r="G11" s="900" t="s">
        <v>31</v>
      </c>
      <c r="H11" s="901" t="s">
        <v>32</v>
      </c>
      <c r="I11" s="876" t="s">
        <v>39</v>
      </c>
      <c r="J11" s="876" t="s">
        <v>39</v>
      </c>
      <c r="K11" s="894" t="s">
        <v>29</v>
      </c>
      <c r="L11" s="895" t="s">
        <v>28</v>
      </c>
      <c r="M11" s="896" t="s">
        <v>34</v>
      </c>
      <c r="N11" s="897" t="s">
        <v>29</v>
      </c>
      <c r="O11" s="898" t="s">
        <v>28</v>
      </c>
      <c r="P11" s="899" t="s">
        <v>34</v>
      </c>
    </row>
    <row r="12" spans="1:29" s="271" customFormat="1" ht="11.1" customHeight="1">
      <c r="A12" s="1987"/>
      <c r="B12" s="1988"/>
      <c r="C12" s="885"/>
      <c r="D12" s="876"/>
      <c r="E12" s="876"/>
      <c r="F12" s="902"/>
      <c r="G12" s="902"/>
      <c r="H12" s="903"/>
      <c r="I12" s="876"/>
      <c r="J12" s="876"/>
      <c r="K12" s="904"/>
      <c r="L12" s="905"/>
      <c r="M12" s="886"/>
      <c r="N12" s="906"/>
      <c r="O12" s="905"/>
      <c r="P12" s="907"/>
    </row>
    <row r="13" spans="1:29" ht="15" customHeight="1">
      <c r="A13" s="592" t="s">
        <v>58</v>
      </c>
      <c r="B13" s="601"/>
      <c r="C13" s="1078">
        <v>0</v>
      </c>
      <c r="D13" s="1076">
        <v>0</v>
      </c>
      <c r="E13" s="1077">
        <v>0</v>
      </c>
      <c r="F13" s="1076">
        <v>0</v>
      </c>
      <c r="G13" s="1076">
        <v>0</v>
      </c>
      <c r="H13" s="1077">
        <v>0</v>
      </c>
      <c r="I13" s="1067">
        <v>0</v>
      </c>
      <c r="J13" s="1067">
        <v>0</v>
      </c>
      <c r="K13" s="1080">
        <v>0</v>
      </c>
      <c r="L13" s="1076">
        <v>0</v>
      </c>
      <c r="M13" s="1077">
        <v>0</v>
      </c>
      <c r="N13" s="1080">
        <v>0</v>
      </c>
      <c r="O13" s="1076">
        <v>0</v>
      </c>
      <c r="P13" s="1084">
        <v>0</v>
      </c>
    </row>
    <row r="14" spans="1:29" ht="15" customHeight="1">
      <c r="A14" s="592" t="s">
        <v>49</v>
      </c>
      <c r="B14" s="595"/>
      <c r="C14" s="1069">
        <v>0</v>
      </c>
      <c r="D14" s="5">
        <v>0</v>
      </c>
      <c r="E14" s="396">
        <v>0</v>
      </c>
      <c r="F14" s="5">
        <v>0</v>
      </c>
      <c r="G14" s="5">
        <v>0</v>
      </c>
      <c r="H14" s="396">
        <v>0</v>
      </c>
      <c r="I14" s="396">
        <v>0</v>
      </c>
      <c r="J14" s="396">
        <v>0</v>
      </c>
      <c r="K14" s="1081">
        <v>0</v>
      </c>
      <c r="L14" s="5">
        <v>0</v>
      </c>
      <c r="M14" s="396">
        <v>0</v>
      </c>
      <c r="N14" s="1081">
        <v>0</v>
      </c>
      <c r="O14" s="5">
        <v>0</v>
      </c>
      <c r="P14" s="1038">
        <v>0</v>
      </c>
    </row>
    <row r="15" spans="1:29" ht="15" customHeight="1">
      <c r="A15" s="592" t="s">
        <v>52</v>
      </c>
      <c r="B15" s="595"/>
      <c r="C15" s="1069">
        <v>0</v>
      </c>
      <c r="D15" s="5">
        <v>0</v>
      </c>
      <c r="E15" s="396">
        <v>0</v>
      </c>
      <c r="F15" s="5">
        <v>0</v>
      </c>
      <c r="G15" s="5">
        <v>0</v>
      </c>
      <c r="H15" s="396">
        <v>0</v>
      </c>
      <c r="I15" s="396">
        <v>0</v>
      </c>
      <c r="J15" s="396">
        <v>0</v>
      </c>
      <c r="K15" s="1081">
        <v>0</v>
      </c>
      <c r="L15" s="5">
        <v>0</v>
      </c>
      <c r="M15" s="396">
        <v>0</v>
      </c>
      <c r="N15" s="1081">
        <v>0</v>
      </c>
      <c r="O15" s="5">
        <v>0</v>
      </c>
      <c r="P15" s="1038">
        <v>0</v>
      </c>
    </row>
    <row r="16" spans="1:29" ht="15" customHeight="1">
      <c r="A16" s="592" t="s">
        <v>48</v>
      </c>
      <c r="B16" s="595"/>
      <c r="C16" s="1069">
        <v>0</v>
      </c>
      <c r="D16" s="5">
        <v>0</v>
      </c>
      <c r="E16" s="396">
        <v>0</v>
      </c>
      <c r="F16" s="5">
        <v>0</v>
      </c>
      <c r="G16" s="5">
        <v>0</v>
      </c>
      <c r="H16" s="396">
        <v>0</v>
      </c>
      <c r="I16" s="396">
        <v>0</v>
      </c>
      <c r="J16" s="396">
        <v>0</v>
      </c>
      <c r="K16" s="1081">
        <v>0</v>
      </c>
      <c r="L16" s="5">
        <v>0</v>
      </c>
      <c r="M16" s="396">
        <v>0</v>
      </c>
      <c r="N16" s="1081">
        <v>0</v>
      </c>
      <c r="O16" s="5">
        <v>0</v>
      </c>
      <c r="P16" s="1038">
        <v>0</v>
      </c>
    </row>
    <row r="17" spans="1:16" ht="15" customHeight="1">
      <c r="A17" s="592" t="s">
        <v>53</v>
      </c>
      <c r="B17" s="543"/>
      <c r="C17" s="1069">
        <v>0</v>
      </c>
      <c r="D17" s="5">
        <v>0</v>
      </c>
      <c r="E17" s="396">
        <v>0</v>
      </c>
      <c r="F17" s="5">
        <v>0</v>
      </c>
      <c r="G17" s="5">
        <v>0</v>
      </c>
      <c r="H17" s="396">
        <v>0</v>
      </c>
      <c r="I17" s="396">
        <v>0</v>
      </c>
      <c r="J17" s="396">
        <v>0</v>
      </c>
      <c r="K17" s="1081">
        <v>0</v>
      </c>
      <c r="L17" s="5">
        <v>0</v>
      </c>
      <c r="M17" s="396">
        <v>0</v>
      </c>
      <c r="N17" s="1081">
        <v>0</v>
      </c>
      <c r="O17" s="5">
        <v>0</v>
      </c>
      <c r="P17" s="1038">
        <v>0</v>
      </c>
    </row>
    <row r="18" spans="1:16" ht="15" customHeight="1">
      <c r="A18" s="592" t="s">
        <v>50</v>
      </c>
      <c r="B18" s="595"/>
      <c r="C18" s="1069">
        <v>9</v>
      </c>
      <c r="D18" s="5">
        <v>6</v>
      </c>
      <c r="E18" s="396">
        <v>3</v>
      </c>
      <c r="F18" s="5">
        <v>0</v>
      </c>
      <c r="G18" s="5">
        <v>6</v>
      </c>
      <c r="H18" s="396">
        <v>3</v>
      </c>
      <c r="I18" s="396">
        <v>0</v>
      </c>
      <c r="J18" s="396">
        <v>0</v>
      </c>
      <c r="K18" s="1081">
        <v>12</v>
      </c>
      <c r="L18" s="5">
        <v>9</v>
      </c>
      <c r="M18" s="396">
        <v>0</v>
      </c>
      <c r="N18" s="1081">
        <v>9</v>
      </c>
      <c r="O18" s="5">
        <v>6</v>
      </c>
      <c r="P18" s="1038">
        <v>0</v>
      </c>
    </row>
    <row r="19" spans="1:16" ht="15" customHeight="1">
      <c r="A19" s="592" t="s">
        <v>54</v>
      </c>
      <c r="B19" s="595"/>
      <c r="C19" s="1069">
        <v>0</v>
      </c>
      <c r="D19" s="5">
        <v>0</v>
      </c>
      <c r="E19" s="396">
        <v>0</v>
      </c>
      <c r="F19" s="5">
        <v>0</v>
      </c>
      <c r="G19" s="5">
        <v>0</v>
      </c>
      <c r="H19" s="396">
        <v>0</v>
      </c>
      <c r="I19" s="396">
        <v>0</v>
      </c>
      <c r="J19" s="396">
        <v>0</v>
      </c>
      <c r="K19" s="1081">
        <v>0</v>
      </c>
      <c r="L19" s="5">
        <v>0</v>
      </c>
      <c r="M19" s="396">
        <v>0</v>
      </c>
      <c r="N19" s="1081">
        <v>0</v>
      </c>
      <c r="O19" s="5">
        <v>0</v>
      </c>
      <c r="P19" s="1038">
        <v>0</v>
      </c>
    </row>
    <row r="20" spans="1:16" ht="15" customHeight="1">
      <c r="A20" s="592" t="s">
        <v>44</v>
      </c>
      <c r="B20" s="595"/>
      <c r="C20" s="1069">
        <v>0</v>
      </c>
      <c r="D20" s="5">
        <v>0</v>
      </c>
      <c r="E20" s="396">
        <v>0</v>
      </c>
      <c r="F20" s="5">
        <v>0</v>
      </c>
      <c r="G20" s="5">
        <v>0</v>
      </c>
      <c r="H20" s="396">
        <v>0</v>
      </c>
      <c r="I20" s="396">
        <v>0</v>
      </c>
      <c r="J20" s="396">
        <v>0</v>
      </c>
      <c r="K20" s="1081">
        <v>0</v>
      </c>
      <c r="L20" s="5">
        <v>0</v>
      </c>
      <c r="M20" s="396">
        <v>0</v>
      </c>
      <c r="N20" s="1081">
        <v>0</v>
      </c>
      <c r="O20" s="5">
        <v>0</v>
      </c>
      <c r="P20" s="1038">
        <v>0</v>
      </c>
    </row>
    <row r="21" spans="1:16" ht="15" customHeight="1">
      <c r="A21" s="592" t="s">
        <v>45</v>
      </c>
      <c r="B21" s="595"/>
      <c r="C21" s="1069">
        <v>0</v>
      </c>
      <c r="D21" s="5">
        <v>0</v>
      </c>
      <c r="E21" s="396">
        <v>0</v>
      </c>
      <c r="F21" s="5">
        <v>0</v>
      </c>
      <c r="G21" s="5">
        <v>0</v>
      </c>
      <c r="H21" s="396">
        <v>0</v>
      </c>
      <c r="I21" s="396">
        <v>0</v>
      </c>
      <c r="J21" s="396">
        <v>0</v>
      </c>
      <c r="K21" s="1081">
        <v>0</v>
      </c>
      <c r="L21" s="5">
        <v>0</v>
      </c>
      <c r="M21" s="396">
        <v>0</v>
      </c>
      <c r="N21" s="1081">
        <v>0</v>
      </c>
      <c r="O21" s="5">
        <v>0</v>
      </c>
      <c r="P21" s="1038">
        <v>0</v>
      </c>
    </row>
    <row r="22" spans="1:16" ht="15" customHeight="1">
      <c r="A22" s="592" t="s">
        <v>55</v>
      </c>
      <c r="B22" s="595"/>
      <c r="C22" s="1069">
        <v>0</v>
      </c>
      <c r="D22" s="5">
        <v>0</v>
      </c>
      <c r="E22" s="396">
        <v>0</v>
      </c>
      <c r="F22" s="5">
        <v>0</v>
      </c>
      <c r="G22" s="5">
        <v>0</v>
      </c>
      <c r="H22" s="396">
        <v>0</v>
      </c>
      <c r="I22" s="396">
        <v>0</v>
      </c>
      <c r="J22" s="396">
        <v>0</v>
      </c>
      <c r="K22" s="1081">
        <v>0</v>
      </c>
      <c r="L22" s="5">
        <v>0</v>
      </c>
      <c r="M22" s="396">
        <v>0</v>
      </c>
      <c r="N22" s="1081">
        <v>0</v>
      </c>
      <c r="O22" s="5">
        <v>0</v>
      </c>
      <c r="P22" s="1038">
        <v>0</v>
      </c>
    </row>
    <row r="23" spans="1:16" ht="15" customHeight="1">
      <c r="A23" s="592" t="s">
        <v>46</v>
      </c>
      <c r="B23" s="595"/>
      <c r="C23" s="1070">
        <v>0</v>
      </c>
      <c r="D23" s="1063">
        <v>0</v>
      </c>
      <c r="E23" s="1064">
        <v>0</v>
      </c>
      <c r="F23" s="1063">
        <v>0</v>
      </c>
      <c r="G23" s="1063">
        <v>0</v>
      </c>
      <c r="H23" s="1064">
        <v>0</v>
      </c>
      <c r="I23" s="396">
        <v>0</v>
      </c>
      <c r="J23" s="396">
        <v>0</v>
      </c>
      <c r="K23" s="1082">
        <v>0</v>
      </c>
      <c r="L23" s="1063">
        <v>0</v>
      </c>
      <c r="M23" s="1064">
        <v>0</v>
      </c>
      <c r="N23" s="1082">
        <v>0</v>
      </c>
      <c r="O23" s="1063">
        <v>0</v>
      </c>
      <c r="P23" s="1036">
        <v>0</v>
      </c>
    </row>
    <row r="24" spans="1:16" ht="15" customHeight="1">
      <c r="A24" s="592" t="s">
        <v>47</v>
      </c>
      <c r="B24" s="595"/>
      <c r="C24" s="1069">
        <v>0</v>
      </c>
      <c r="D24" s="5">
        <v>0</v>
      </c>
      <c r="E24" s="396">
        <v>0</v>
      </c>
      <c r="F24" s="5">
        <v>0</v>
      </c>
      <c r="G24" s="5">
        <v>0</v>
      </c>
      <c r="H24" s="396">
        <v>0</v>
      </c>
      <c r="I24" s="258">
        <v>0</v>
      </c>
      <c r="J24" s="258">
        <v>0</v>
      </c>
      <c r="K24" s="1081">
        <v>0</v>
      </c>
      <c r="L24" s="5">
        <v>0</v>
      </c>
      <c r="M24" s="396">
        <v>0</v>
      </c>
      <c r="N24" s="1081">
        <v>0</v>
      </c>
      <c r="O24" s="5">
        <v>0</v>
      </c>
      <c r="P24" s="1038">
        <v>0</v>
      </c>
    </row>
    <row r="25" spans="1:16" ht="15" customHeight="1">
      <c r="A25" s="592" t="s">
        <v>51</v>
      </c>
      <c r="B25" s="595"/>
      <c r="C25" s="1069">
        <v>0</v>
      </c>
      <c r="D25" s="5">
        <v>0</v>
      </c>
      <c r="E25" s="396">
        <v>0</v>
      </c>
      <c r="F25" s="5">
        <v>0</v>
      </c>
      <c r="G25" s="5">
        <v>0</v>
      </c>
      <c r="H25" s="396">
        <v>0</v>
      </c>
      <c r="I25" s="396">
        <v>0</v>
      </c>
      <c r="J25" s="396">
        <v>0</v>
      </c>
      <c r="K25" s="1081">
        <v>0</v>
      </c>
      <c r="L25" s="5">
        <v>0</v>
      </c>
      <c r="M25" s="396">
        <v>0</v>
      </c>
      <c r="N25" s="1081">
        <v>0</v>
      </c>
      <c r="O25" s="5">
        <v>0</v>
      </c>
      <c r="P25" s="1038">
        <v>0</v>
      </c>
    </row>
    <row r="26" spans="1:16" ht="15" customHeight="1">
      <c r="A26" s="592" t="s">
        <v>56</v>
      </c>
      <c r="B26" s="595"/>
      <c r="C26" s="1069">
        <v>0</v>
      </c>
      <c r="D26" s="5">
        <v>0</v>
      </c>
      <c r="E26" s="396">
        <v>0</v>
      </c>
      <c r="F26" s="5">
        <v>0</v>
      </c>
      <c r="G26" s="5">
        <v>0</v>
      </c>
      <c r="H26" s="396">
        <v>0</v>
      </c>
      <c r="I26" s="396">
        <v>0</v>
      </c>
      <c r="J26" s="396">
        <v>0</v>
      </c>
      <c r="K26" s="1081">
        <v>0</v>
      </c>
      <c r="L26" s="5">
        <v>0</v>
      </c>
      <c r="M26" s="396">
        <v>0</v>
      </c>
      <c r="N26" s="1081">
        <v>0</v>
      </c>
      <c r="O26" s="5">
        <v>0</v>
      </c>
      <c r="P26" s="1038">
        <v>0</v>
      </c>
    </row>
    <row r="27" spans="1:16" s="271" customFormat="1" ht="15" customHeight="1">
      <c r="A27" s="592" t="s">
        <v>57</v>
      </c>
      <c r="B27" s="595"/>
      <c r="C27" s="1069">
        <v>0</v>
      </c>
      <c r="D27" s="5">
        <v>0</v>
      </c>
      <c r="E27" s="396">
        <v>0</v>
      </c>
      <c r="F27" s="5">
        <v>0</v>
      </c>
      <c r="G27" s="5">
        <v>0</v>
      </c>
      <c r="H27" s="396">
        <v>0</v>
      </c>
      <c r="I27" s="396">
        <v>0</v>
      </c>
      <c r="J27" s="396">
        <v>0</v>
      </c>
      <c r="K27" s="1081">
        <v>0</v>
      </c>
      <c r="L27" s="5">
        <v>0</v>
      </c>
      <c r="M27" s="396">
        <v>0</v>
      </c>
      <c r="N27" s="1081">
        <v>0</v>
      </c>
      <c r="O27" s="5">
        <v>0</v>
      </c>
      <c r="P27" s="1038">
        <v>0</v>
      </c>
    </row>
    <row r="28" spans="1:16" s="272" customFormat="1" ht="15" customHeight="1">
      <c r="A28" s="592" t="s">
        <v>59</v>
      </c>
      <c r="B28" s="595"/>
      <c r="C28" s="1069">
        <v>0</v>
      </c>
      <c r="D28" s="5">
        <v>0</v>
      </c>
      <c r="E28" s="396">
        <v>0</v>
      </c>
      <c r="F28" s="5">
        <v>0</v>
      </c>
      <c r="G28" s="5">
        <v>0</v>
      </c>
      <c r="H28" s="396">
        <v>0</v>
      </c>
      <c r="I28" s="1037">
        <v>0</v>
      </c>
      <c r="J28" s="1037">
        <v>0</v>
      </c>
      <c r="K28" s="1081">
        <v>0</v>
      </c>
      <c r="L28" s="5">
        <v>0</v>
      </c>
      <c r="M28" s="396">
        <v>0</v>
      </c>
      <c r="N28" s="1081">
        <v>0</v>
      </c>
      <c r="O28" s="5">
        <v>0</v>
      </c>
      <c r="P28" s="1038">
        <v>0</v>
      </c>
    </row>
    <row r="29" spans="1:16" s="337" customFormat="1" ht="4.5" customHeight="1">
      <c r="A29" s="656"/>
      <c r="B29" s="595"/>
      <c r="C29" s="408"/>
      <c r="D29" s="406"/>
      <c r="E29" s="407"/>
      <c r="F29" s="406"/>
      <c r="G29" s="406"/>
      <c r="H29" s="407"/>
      <c r="I29" s="1079"/>
      <c r="J29" s="1079"/>
      <c r="K29" s="1083"/>
      <c r="L29" s="406"/>
      <c r="M29" s="407"/>
      <c r="N29" s="1083"/>
      <c r="O29" s="406"/>
      <c r="P29" s="1085"/>
    </row>
    <row r="30" spans="1:16" s="273" customFormat="1" ht="21" customHeight="1" thickBot="1">
      <c r="A30" s="593" t="s">
        <v>60</v>
      </c>
      <c r="B30" s="658"/>
      <c r="C30" s="1068">
        <v>9</v>
      </c>
      <c r="D30" s="580">
        <v>6</v>
      </c>
      <c r="E30" s="1065">
        <v>3</v>
      </c>
      <c r="F30" s="580">
        <v>0</v>
      </c>
      <c r="G30" s="580">
        <v>6</v>
      </c>
      <c r="H30" s="1065">
        <v>3</v>
      </c>
      <c r="I30" s="1066">
        <f>SUM(I13:I28)</f>
        <v>0</v>
      </c>
      <c r="J30" s="1066">
        <v>0</v>
      </c>
      <c r="K30" s="580">
        <v>12</v>
      </c>
      <c r="L30" s="580">
        <v>9</v>
      </c>
      <c r="M30" s="1065">
        <v>0</v>
      </c>
      <c r="N30" s="580">
        <v>9</v>
      </c>
      <c r="O30" s="580">
        <v>6</v>
      </c>
      <c r="P30" s="1039">
        <v>0</v>
      </c>
    </row>
    <row r="31" spans="1:16" s="274" customFormat="1" ht="3.6" customHeight="1">
      <c r="A31" s="71"/>
      <c r="B31" s="71"/>
      <c r="C31" s="68"/>
      <c r="D31" s="68"/>
      <c r="E31" s="68"/>
      <c r="F31" s="68"/>
      <c r="G31" s="68"/>
      <c r="H31" s="68"/>
      <c r="I31" s="265"/>
      <c r="J31" s="68"/>
      <c r="K31" s="68"/>
      <c r="L31" s="68"/>
      <c r="M31" s="68"/>
      <c r="N31" s="68"/>
      <c r="O31" s="54"/>
      <c r="P31" s="54"/>
    </row>
    <row r="32" spans="1:16" s="274" customFormat="1" ht="11.1" customHeight="1">
      <c r="A32" s="70" t="s">
        <v>299</v>
      </c>
      <c r="B32" s="70"/>
      <c r="C32" s="68"/>
      <c r="D32" s="68"/>
      <c r="E32" s="68"/>
      <c r="F32" s="68"/>
      <c r="G32" s="68"/>
      <c r="H32" s="68"/>
      <c r="I32" s="265"/>
      <c r="J32" s="68"/>
      <c r="K32" s="68"/>
      <c r="L32" s="68"/>
      <c r="M32" s="68"/>
      <c r="N32" s="68"/>
      <c r="O32" s="54"/>
      <c r="P32" s="54"/>
    </row>
    <row r="33" spans="1:16" s="274" customFormat="1" ht="24.95" customHeight="1">
      <c r="A33" s="73"/>
      <c r="B33" s="73"/>
      <c r="C33" s="68"/>
      <c r="D33" s="68"/>
      <c r="E33" s="68"/>
      <c r="F33" s="68"/>
      <c r="G33" s="68"/>
      <c r="H33" s="68"/>
      <c r="I33" s="265"/>
      <c r="J33" s="68"/>
      <c r="K33" s="68"/>
      <c r="L33" s="68"/>
      <c r="M33" s="68"/>
      <c r="N33" s="68"/>
      <c r="O33" s="54"/>
      <c r="P33" s="54"/>
    </row>
    <row r="34" spans="1:16" s="274" customFormat="1" ht="24.95" customHeight="1">
      <c r="C34" s="68"/>
      <c r="D34" s="68"/>
      <c r="E34" s="68"/>
      <c r="F34" s="68"/>
      <c r="G34" s="68"/>
      <c r="H34" s="68"/>
      <c r="I34" s="265"/>
      <c r="J34" s="68"/>
      <c r="K34" s="68"/>
      <c r="L34" s="68"/>
      <c r="M34" s="68"/>
      <c r="N34" s="68"/>
      <c r="O34" s="54"/>
      <c r="P34" s="54"/>
    </row>
    <row r="35" spans="1:16">
      <c r="A35" s="6"/>
      <c r="B35" s="6"/>
      <c r="C35" s="6"/>
      <c r="D35" s="6"/>
      <c r="E35" s="53"/>
      <c r="F35" s="6"/>
      <c r="G35" s="6"/>
      <c r="H35" s="6"/>
      <c r="I35" s="6"/>
      <c r="J35" s="6"/>
      <c r="K35" s="6"/>
      <c r="L35" s="6"/>
      <c r="M35" s="53"/>
      <c r="N35" s="6"/>
    </row>
    <row r="36" spans="1:16" ht="15.75" thickBot="1">
      <c r="A36" s="593" t="s">
        <v>60</v>
      </c>
      <c r="B36" s="598"/>
      <c r="C36" s="1068">
        <v>9</v>
      </c>
      <c r="D36" s="580">
        <v>6</v>
      </c>
      <c r="E36" s="1065">
        <v>3</v>
      </c>
      <c r="F36" s="580">
        <v>0</v>
      </c>
      <c r="G36" s="580">
        <v>6</v>
      </c>
      <c r="H36" s="1065">
        <v>3</v>
      </c>
      <c r="I36" s="580">
        <v>0</v>
      </c>
      <c r="J36" s="1066">
        <v>0</v>
      </c>
      <c r="K36" s="1068">
        <v>12</v>
      </c>
      <c r="L36" s="580">
        <v>9</v>
      </c>
      <c r="M36" s="1065">
        <v>0</v>
      </c>
      <c r="N36" s="1068">
        <v>9</v>
      </c>
      <c r="O36" s="580">
        <v>6</v>
      </c>
      <c r="P36" s="1039">
        <v>0</v>
      </c>
    </row>
    <row r="37" spans="1:16" ht="15.75" thickBot="1">
      <c r="A37" s="593" t="s">
        <v>386</v>
      </c>
      <c r="B37" s="598"/>
      <c r="C37" s="1327">
        <f t="shared" ref="C37:P37" si="0">C30-C36</f>
        <v>0</v>
      </c>
      <c r="D37" s="1305">
        <f t="shared" si="0"/>
        <v>0</v>
      </c>
      <c r="E37" s="1311">
        <f t="shared" si="0"/>
        <v>0</v>
      </c>
      <c r="F37" s="1323">
        <f t="shared" si="0"/>
        <v>0</v>
      </c>
      <c r="G37" s="1305">
        <f t="shared" si="0"/>
        <v>0</v>
      </c>
      <c r="H37" s="1311">
        <f t="shared" si="0"/>
        <v>0</v>
      </c>
      <c r="I37" s="1305">
        <f t="shared" si="0"/>
        <v>0</v>
      </c>
      <c r="J37" s="1338">
        <f t="shared" si="0"/>
        <v>0</v>
      </c>
      <c r="K37" s="1327">
        <f t="shared" si="0"/>
        <v>0</v>
      </c>
      <c r="L37" s="1305">
        <f t="shared" si="0"/>
        <v>0</v>
      </c>
      <c r="M37" s="1311">
        <f t="shared" si="0"/>
        <v>0</v>
      </c>
      <c r="N37" s="1327">
        <f t="shared" si="0"/>
        <v>0</v>
      </c>
      <c r="O37" s="1305">
        <f t="shared" si="0"/>
        <v>0</v>
      </c>
      <c r="P37" s="1350">
        <f t="shared" si="0"/>
        <v>0</v>
      </c>
    </row>
    <row r="38" spans="1:16">
      <c r="A38" s="6"/>
      <c r="B38" s="6"/>
      <c r="C38" s="6"/>
      <c r="D38" s="6"/>
      <c r="E38" s="53"/>
      <c r="F38" s="6"/>
      <c r="G38" s="6"/>
      <c r="H38" s="6"/>
      <c r="I38" s="6"/>
      <c r="J38" s="6"/>
      <c r="K38" s="6"/>
      <c r="L38" s="6"/>
      <c r="M38" s="53"/>
      <c r="N38" s="6"/>
    </row>
    <row r="39" spans="1:16">
      <c r="A39" s="6"/>
      <c r="B39" s="6"/>
      <c r="C39" s="6"/>
      <c r="D39" s="6"/>
      <c r="E39" s="53"/>
      <c r="F39" s="6"/>
      <c r="G39" s="6"/>
      <c r="H39" s="6"/>
      <c r="I39" s="6"/>
      <c r="J39" s="6"/>
      <c r="K39" s="6"/>
      <c r="L39" s="6"/>
      <c r="M39" s="53"/>
      <c r="N39" s="6"/>
    </row>
    <row r="40" spans="1:16">
      <c r="A40" s="6"/>
      <c r="B40" s="6"/>
      <c r="C40" s="6"/>
      <c r="D40" s="6"/>
      <c r="E40" s="53"/>
      <c r="F40" s="6"/>
      <c r="G40" s="6"/>
      <c r="H40" s="6"/>
      <c r="I40" s="6"/>
      <c r="J40" s="6"/>
      <c r="K40" s="6"/>
      <c r="L40" s="6"/>
      <c r="M40" s="53"/>
      <c r="N40" s="6"/>
    </row>
    <row r="41" spans="1:16">
      <c r="A41" s="6"/>
      <c r="B41" s="6"/>
      <c r="C41" s="6"/>
      <c r="D41" s="6"/>
      <c r="E41" s="53"/>
      <c r="F41" s="6"/>
      <c r="G41" s="6"/>
      <c r="H41" s="6"/>
      <c r="I41" s="6"/>
      <c r="J41" s="6"/>
      <c r="K41" s="6"/>
      <c r="L41" s="6"/>
      <c r="M41" s="53"/>
      <c r="N41" s="6"/>
    </row>
  </sheetData>
  <mergeCells count="6">
    <mergeCell ref="A4:P4"/>
    <mergeCell ref="A6:B12"/>
    <mergeCell ref="C6:H7"/>
    <mergeCell ref="K6:P6"/>
    <mergeCell ref="N7:P7"/>
    <mergeCell ref="N8:P8"/>
  </mergeCells>
  <printOptions horizontalCentered="1"/>
  <pageMargins left="0.19685039370078741" right="0.19685039370078741" top="0.62992125984251968" bottom="0.47244094488188981" header="0.39370078740157483" footer="0.27559055118110237"/>
  <pageSetup paperSize="9" orientation="landscape" r:id="rId1"/>
  <headerFooter alignWithMargins="0">
    <oddHeader>&amp;C&amp;"Arial,Standard"&amp;8- 20 -&amp;R&amp;8&amp;D</oddHeader>
    <oddFooter>&amp;R
&amp;12...</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R43"/>
  <sheetViews>
    <sheetView zoomScaleNormal="100" workbookViewId="0"/>
  </sheetViews>
  <sheetFormatPr baseColWidth="10" defaultColWidth="11.42578125" defaultRowHeight="16.5"/>
  <cols>
    <col min="1" max="1" width="19.85546875" style="1566" customWidth="1"/>
    <col min="2" max="2" width="9.42578125" style="1566" customWidth="1"/>
    <col min="3" max="3" width="14.5703125" style="1566" customWidth="1"/>
    <col min="4" max="4" width="14" style="1566" customWidth="1"/>
    <col min="5" max="7" width="13.42578125" style="1566" customWidth="1"/>
    <col min="8" max="8" width="17.140625" style="1566" customWidth="1"/>
    <col min="9" max="9" width="17.42578125" style="1788" customWidth="1"/>
    <col min="10" max="16384" width="11.42578125" style="1566"/>
  </cols>
  <sheetData>
    <row r="1" spans="1:18" ht="18">
      <c r="A1" s="1599" t="s">
        <v>424</v>
      </c>
      <c r="B1" s="1423"/>
      <c r="C1" s="1423"/>
      <c r="D1" s="1423"/>
      <c r="E1" s="1423"/>
      <c r="F1" s="1423"/>
      <c r="G1" s="1423"/>
      <c r="H1" s="1423"/>
      <c r="I1" s="1423"/>
    </row>
    <row r="2" spans="1:18">
      <c r="A2" s="1600" t="s">
        <v>405</v>
      </c>
      <c r="B2" s="1600"/>
      <c r="C2" s="1600"/>
      <c r="D2" s="1600"/>
      <c r="E2" s="1600"/>
      <c r="F2" s="1600"/>
      <c r="G2" s="1600"/>
      <c r="H2" s="1600"/>
      <c r="I2" s="1600"/>
    </row>
    <row r="3" spans="1:18" ht="18">
      <c r="A3" s="1600" t="s">
        <v>559</v>
      </c>
      <c r="B3" s="1423"/>
      <c r="C3" s="1423"/>
      <c r="D3" s="1423"/>
      <c r="E3" s="1423"/>
      <c r="F3" s="1423"/>
      <c r="G3" s="1423"/>
      <c r="H3" s="1423"/>
      <c r="I3" s="1423"/>
    </row>
    <row r="4" spans="1:18" ht="66">
      <c r="A4" s="1421" t="s">
        <v>43</v>
      </c>
      <c r="B4" s="1706" t="s">
        <v>94</v>
      </c>
      <c r="C4" s="1708" t="s">
        <v>416</v>
      </c>
      <c r="D4" s="1420" t="s">
        <v>417</v>
      </c>
      <c r="E4" s="1419" t="s">
        <v>419</v>
      </c>
      <c r="F4" s="1419" t="s">
        <v>420</v>
      </c>
      <c r="G4" s="1419" t="s">
        <v>421</v>
      </c>
      <c r="H4" s="1419" t="s">
        <v>414</v>
      </c>
      <c r="I4" s="1860" t="s">
        <v>415</v>
      </c>
    </row>
    <row r="5" spans="1:18" ht="18">
      <c r="A5" s="1434" t="s">
        <v>437</v>
      </c>
      <c r="B5" s="1394">
        <v>3</v>
      </c>
      <c r="C5" s="1395">
        <v>0</v>
      </c>
      <c r="D5" s="1396">
        <v>0</v>
      </c>
      <c r="E5" s="1395">
        <v>0</v>
      </c>
      <c r="F5" s="1395">
        <v>0</v>
      </c>
      <c r="G5" s="1396">
        <v>0</v>
      </c>
      <c r="H5" s="1859">
        <v>0</v>
      </c>
      <c r="I5" s="1859">
        <v>0</v>
      </c>
      <c r="K5" s="1788"/>
      <c r="L5" s="1788"/>
      <c r="M5" s="1788"/>
      <c r="N5" s="1788"/>
      <c r="O5" s="1788"/>
      <c r="P5" s="1788"/>
      <c r="Q5" s="1788"/>
      <c r="R5" s="1788"/>
    </row>
    <row r="6" spans="1:18" ht="18">
      <c r="A6" s="1434" t="s">
        <v>438</v>
      </c>
      <c r="B6" s="1394">
        <v>0</v>
      </c>
      <c r="C6" s="1395">
        <v>0</v>
      </c>
      <c r="D6" s="1396">
        <v>0</v>
      </c>
      <c r="E6" s="1395">
        <v>0</v>
      </c>
      <c r="F6" s="1395">
        <v>0</v>
      </c>
      <c r="G6" s="1396">
        <v>0</v>
      </c>
      <c r="H6" s="1859">
        <v>0</v>
      </c>
      <c r="I6" s="1859">
        <v>0</v>
      </c>
      <c r="K6" s="1788"/>
      <c r="L6" s="1788"/>
      <c r="M6" s="1788"/>
      <c r="N6" s="1788"/>
      <c r="O6" s="1788"/>
      <c r="P6" s="1788"/>
      <c r="Q6" s="1788"/>
      <c r="R6" s="1788"/>
    </row>
    <row r="7" spans="1:18" ht="18">
      <c r="A7" s="1434" t="s">
        <v>439</v>
      </c>
      <c r="B7" s="1394">
        <v>75</v>
      </c>
      <c r="C7" s="1395">
        <v>27</v>
      </c>
      <c r="D7" s="1396">
        <v>48</v>
      </c>
      <c r="E7" s="1394">
        <v>21</v>
      </c>
      <c r="F7" s="1395">
        <v>21</v>
      </c>
      <c r="G7" s="1396">
        <v>30</v>
      </c>
      <c r="H7" s="1859">
        <v>21</v>
      </c>
      <c r="I7" s="1859">
        <v>9</v>
      </c>
      <c r="K7" s="1788"/>
      <c r="L7" s="1788"/>
      <c r="M7" s="1788"/>
      <c r="N7" s="1788"/>
      <c r="O7" s="1788"/>
      <c r="P7" s="1788"/>
      <c r="Q7" s="1788"/>
      <c r="R7" s="1788"/>
    </row>
    <row r="8" spans="1:18" ht="18">
      <c r="A8" s="1434" t="s">
        <v>440</v>
      </c>
      <c r="B8" s="1394">
        <v>0</v>
      </c>
      <c r="C8" s="1395">
        <v>0</v>
      </c>
      <c r="D8" s="1396">
        <v>0</v>
      </c>
      <c r="E8" s="1395">
        <v>0</v>
      </c>
      <c r="F8" s="1395">
        <v>0</v>
      </c>
      <c r="G8" s="1396">
        <v>0</v>
      </c>
      <c r="H8" s="1859">
        <v>0</v>
      </c>
      <c r="I8" s="1859">
        <v>0</v>
      </c>
      <c r="K8" s="1788"/>
      <c r="L8" s="1788"/>
      <c r="M8" s="1788"/>
      <c r="N8" s="1788"/>
      <c r="O8" s="1788"/>
      <c r="P8" s="1788"/>
      <c r="Q8" s="1788"/>
      <c r="R8" s="1788"/>
    </row>
    <row r="9" spans="1:18" ht="18">
      <c r="A9" s="1434" t="s">
        <v>441</v>
      </c>
      <c r="B9" s="1394">
        <v>33</v>
      </c>
      <c r="C9" s="1395">
        <v>18</v>
      </c>
      <c r="D9" s="1396">
        <v>12</v>
      </c>
      <c r="E9" s="1394">
        <v>9</v>
      </c>
      <c r="F9" s="1395">
        <v>12</v>
      </c>
      <c r="G9" s="1396">
        <v>9</v>
      </c>
      <c r="H9" s="1859">
        <v>12</v>
      </c>
      <c r="I9" s="1859">
        <v>0</v>
      </c>
      <c r="K9" s="1788"/>
      <c r="L9" s="1788"/>
      <c r="M9" s="1788"/>
      <c r="N9" s="1788"/>
      <c r="O9" s="1788"/>
      <c r="P9" s="1788"/>
      <c r="Q9" s="1788"/>
      <c r="R9" s="1788"/>
    </row>
    <row r="10" spans="1:18" ht="18">
      <c r="A10" s="1434" t="s">
        <v>442</v>
      </c>
      <c r="B10" s="1394">
        <v>6</v>
      </c>
      <c r="C10" s="1395">
        <v>3</v>
      </c>
      <c r="D10" s="1396">
        <v>6</v>
      </c>
      <c r="E10" s="1395">
        <v>3</v>
      </c>
      <c r="F10" s="1395">
        <v>3</v>
      </c>
      <c r="G10" s="1396">
        <v>0</v>
      </c>
      <c r="H10" s="1859">
        <v>3</v>
      </c>
      <c r="I10" s="1859">
        <v>0</v>
      </c>
      <c r="K10" s="1788"/>
      <c r="L10" s="1788"/>
      <c r="M10" s="1788"/>
      <c r="N10" s="1788"/>
      <c r="O10" s="1788"/>
      <c r="P10" s="1788"/>
      <c r="Q10" s="1788"/>
      <c r="R10" s="1788"/>
    </row>
    <row r="11" spans="1:18" ht="18">
      <c r="A11" s="1434" t="s">
        <v>466</v>
      </c>
      <c r="B11" s="1394">
        <v>3</v>
      </c>
      <c r="C11" s="1395">
        <v>0</v>
      </c>
      <c r="D11" s="1396">
        <v>3</v>
      </c>
      <c r="E11" s="1395">
        <v>0</v>
      </c>
      <c r="F11" s="1395">
        <v>0</v>
      </c>
      <c r="G11" s="1396">
        <v>3</v>
      </c>
      <c r="H11" s="1859">
        <v>0</v>
      </c>
      <c r="I11" s="1859">
        <v>0</v>
      </c>
      <c r="K11" s="1788"/>
      <c r="L11" s="1788"/>
      <c r="M11" s="1788"/>
      <c r="N11" s="1788"/>
      <c r="O11" s="1788"/>
      <c r="P11" s="1788"/>
      <c r="Q11" s="1788"/>
      <c r="R11" s="1788"/>
    </row>
    <row r="12" spans="1:18" ht="18">
      <c r="A12" s="1434" t="s">
        <v>444</v>
      </c>
      <c r="B12" s="1394">
        <v>6</v>
      </c>
      <c r="C12" s="1395">
        <v>3</v>
      </c>
      <c r="D12" s="1396">
        <v>3</v>
      </c>
      <c r="E12" s="1394">
        <v>0</v>
      </c>
      <c r="F12" s="1395">
        <v>3</v>
      </c>
      <c r="G12" s="1396">
        <v>0</v>
      </c>
      <c r="H12" s="1859">
        <v>0</v>
      </c>
      <c r="I12" s="1859">
        <v>0</v>
      </c>
      <c r="K12" s="1788"/>
      <c r="L12" s="1788"/>
      <c r="M12" s="1788"/>
      <c r="N12" s="1788"/>
      <c r="O12" s="1788"/>
      <c r="P12" s="1788"/>
      <c r="Q12" s="1788"/>
      <c r="R12" s="1788"/>
    </row>
    <row r="13" spans="1:18" ht="18">
      <c r="A13" s="1434" t="s">
        <v>445</v>
      </c>
      <c r="B13" s="1394">
        <v>9</v>
      </c>
      <c r="C13" s="1395">
        <v>3</v>
      </c>
      <c r="D13" s="1396">
        <v>6</v>
      </c>
      <c r="E13" s="1394">
        <v>3</v>
      </c>
      <c r="F13" s="1395">
        <v>3</v>
      </c>
      <c r="G13" s="1396">
        <v>3</v>
      </c>
      <c r="H13" s="1859">
        <v>3</v>
      </c>
      <c r="I13" s="1859">
        <v>0</v>
      </c>
      <c r="K13" s="1788"/>
      <c r="L13" s="1788"/>
      <c r="M13" s="1788"/>
      <c r="N13" s="1788"/>
      <c r="O13" s="1788"/>
      <c r="P13" s="1788"/>
      <c r="Q13" s="1788"/>
      <c r="R13" s="1788"/>
    </row>
    <row r="14" spans="1:18" ht="18">
      <c r="A14" s="1434" t="s">
        <v>446</v>
      </c>
      <c r="B14" s="1394">
        <v>0</v>
      </c>
      <c r="C14" s="1395">
        <v>0</v>
      </c>
      <c r="D14" s="1396">
        <v>0</v>
      </c>
      <c r="E14" s="1395">
        <v>0</v>
      </c>
      <c r="F14" s="1395">
        <v>0</v>
      </c>
      <c r="G14" s="1396">
        <v>0</v>
      </c>
      <c r="H14" s="1859">
        <v>0</v>
      </c>
      <c r="I14" s="1859">
        <v>0</v>
      </c>
      <c r="K14" s="1788"/>
      <c r="L14" s="1788"/>
      <c r="M14" s="1788"/>
      <c r="N14" s="1788"/>
      <c r="O14" s="1788"/>
      <c r="P14" s="1788"/>
      <c r="Q14" s="1788"/>
      <c r="R14" s="1788"/>
    </row>
    <row r="15" spans="1:18" ht="18">
      <c r="A15" s="1434" t="s">
        <v>447</v>
      </c>
      <c r="B15" s="1394">
        <v>0</v>
      </c>
      <c r="C15" s="1395">
        <v>0</v>
      </c>
      <c r="D15" s="1396">
        <v>0</v>
      </c>
      <c r="E15" s="1395">
        <v>0</v>
      </c>
      <c r="F15" s="1395">
        <v>0</v>
      </c>
      <c r="G15" s="1396">
        <v>0</v>
      </c>
      <c r="H15" s="1859">
        <v>0</v>
      </c>
      <c r="I15" s="1859">
        <v>0</v>
      </c>
      <c r="K15" s="1788"/>
      <c r="L15" s="1788"/>
      <c r="M15" s="1788"/>
      <c r="N15" s="1788"/>
      <c r="O15" s="1788"/>
      <c r="P15" s="1788"/>
      <c r="Q15" s="1788"/>
      <c r="R15" s="1788"/>
    </row>
    <row r="16" spans="1:18" ht="18">
      <c r="A16" s="1434" t="s">
        <v>448</v>
      </c>
      <c r="B16" s="1394">
        <v>0</v>
      </c>
      <c r="C16" s="1395">
        <v>0</v>
      </c>
      <c r="D16" s="1396">
        <v>0</v>
      </c>
      <c r="E16" s="1395">
        <v>0</v>
      </c>
      <c r="F16" s="1395">
        <v>0</v>
      </c>
      <c r="G16" s="1396">
        <v>0</v>
      </c>
      <c r="H16" s="1859">
        <v>0</v>
      </c>
      <c r="I16" s="1859">
        <v>0</v>
      </c>
      <c r="K16" s="1788"/>
      <c r="L16" s="1788"/>
      <c r="M16" s="1788"/>
      <c r="N16" s="1788"/>
      <c r="O16" s="1788"/>
      <c r="P16" s="1788"/>
      <c r="Q16" s="1788"/>
      <c r="R16" s="1788"/>
    </row>
    <row r="17" spans="1:18" ht="18">
      <c r="A17" s="1434" t="s">
        <v>449</v>
      </c>
      <c r="B17" s="1394">
        <v>6</v>
      </c>
      <c r="C17" s="1395">
        <v>3</v>
      </c>
      <c r="D17" s="1396">
        <v>3</v>
      </c>
      <c r="E17" s="1772">
        <v>6</v>
      </c>
      <c r="F17" s="1395">
        <v>0</v>
      </c>
      <c r="G17" s="1396">
        <v>0</v>
      </c>
      <c r="H17" s="1859">
        <v>6</v>
      </c>
      <c r="I17" s="1859">
        <v>0</v>
      </c>
      <c r="K17" s="1788"/>
      <c r="L17" s="1788"/>
      <c r="M17" s="1788"/>
      <c r="N17" s="1788"/>
      <c r="O17" s="1788"/>
      <c r="P17" s="1788"/>
      <c r="Q17" s="1788"/>
      <c r="R17" s="1788"/>
    </row>
    <row r="18" spans="1:18" ht="18">
      <c r="A18" s="1434" t="s">
        <v>450</v>
      </c>
      <c r="B18" s="1394">
        <v>3</v>
      </c>
      <c r="C18" s="1395">
        <v>3</v>
      </c>
      <c r="D18" s="1396">
        <v>0</v>
      </c>
      <c r="E18" s="1772">
        <v>3</v>
      </c>
      <c r="F18" s="1395">
        <v>0</v>
      </c>
      <c r="G18" s="1396">
        <v>0</v>
      </c>
      <c r="H18" s="1859">
        <v>3</v>
      </c>
      <c r="I18" s="1859">
        <v>0</v>
      </c>
      <c r="K18" s="1788"/>
      <c r="L18" s="1788"/>
      <c r="M18" s="1788"/>
      <c r="N18" s="1788"/>
      <c r="O18" s="1788"/>
      <c r="P18" s="1788"/>
      <c r="Q18" s="1788"/>
      <c r="R18" s="1788"/>
    </row>
    <row r="19" spans="1:18" ht="18">
      <c r="A19" s="1434" t="s">
        <v>451</v>
      </c>
      <c r="B19" s="1394">
        <v>15</v>
      </c>
      <c r="C19" s="1395">
        <v>6</v>
      </c>
      <c r="D19" s="1396">
        <v>9</v>
      </c>
      <c r="E19" s="1772">
        <v>3</v>
      </c>
      <c r="F19" s="1395">
        <v>3</v>
      </c>
      <c r="G19" s="1396">
        <v>6</v>
      </c>
      <c r="H19" s="1859">
        <v>3</v>
      </c>
      <c r="I19" s="1859">
        <v>3</v>
      </c>
      <c r="K19" s="1788"/>
      <c r="L19" s="1788"/>
      <c r="M19" s="1788"/>
      <c r="N19" s="1788"/>
      <c r="O19" s="1788"/>
      <c r="P19" s="1788"/>
      <c r="Q19" s="1788"/>
      <c r="R19" s="1788"/>
    </row>
    <row r="20" spans="1:18" ht="18">
      <c r="A20" s="1434" t="s">
        <v>452</v>
      </c>
      <c r="B20" s="1394">
        <v>3</v>
      </c>
      <c r="C20" s="1395">
        <v>3</v>
      </c>
      <c r="D20" s="1396">
        <v>0</v>
      </c>
      <c r="E20" s="1395">
        <v>0</v>
      </c>
      <c r="F20" s="1395">
        <v>0</v>
      </c>
      <c r="G20" s="1396">
        <v>0</v>
      </c>
      <c r="H20" s="1859">
        <v>0</v>
      </c>
      <c r="I20" s="1859">
        <v>0</v>
      </c>
      <c r="K20" s="1788"/>
      <c r="L20" s="1788"/>
      <c r="M20" s="1788"/>
      <c r="N20" s="1788"/>
      <c r="O20" s="1788"/>
      <c r="P20" s="1788"/>
      <c r="Q20" s="1788"/>
      <c r="R20" s="1788"/>
    </row>
    <row r="21" spans="1:18">
      <c r="A21" s="1604" t="s">
        <v>418</v>
      </c>
      <c r="B21" s="1793">
        <v>162</v>
      </c>
      <c r="C21" s="1795">
        <v>72</v>
      </c>
      <c r="D21" s="1795">
        <v>87</v>
      </c>
      <c r="E21" s="1793">
        <v>54</v>
      </c>
      <c r="F21" s="1795">
        <v>51</v>
      </c>
      <c r="G21" s="1796">
        <v>57</v>
      </c>
      <c r="H21" s="1945">
        <v>60</v>
      </c>
      <c r="I21" s="1770">
        <v>18</v>
      </c>
      <c r="K21" s="1788"/>
      <c r="L21" s="1788"/>
      <c r="M21" s="1788"/>
      <c r="N21" s="1788"/>
      <c r="O21" s="1788"/>
      <c r="P21" s="1788"/>
      <c r="Q21" s="1788"/>
      <c r="R21" s="1788"/>
    </row>
    <row r="22" spans="1:18" ht="18">
      <c r="A22" s="1601" t="s">
        <v>552</v>
      </c>
      <c r="B22" s="1412"/>
      <c r="C22" s="1412"/>
      <c r="D22" s="1412"/>
      <c r="E22" s="1412"/>
      <c r="F22" s="1412"/>
      <c r="G22" s="1412"/>
      <c r="H22" s="1411"/>
      <c r="I22" s="1411"/>
    </row>
    <row r="23" spans="1:18" ht="66">
      <c r="A23" s="1421" t="s">
        <v>43</v>
      </c>
      <c r="B23" s="1706" t="s">
        <v>94</v>
      </c>
      <c r="C23" s="1707" t="s">
        <v>92</v>
      </c>
      <c r="D23" s="1409" t="s">
        <v>93</v>
      </c>
      <c r="E23" s="1419" t="s">
        <v>474</v>
      </c>
      <c r="F23" s="1419" t="s">
        <v>422</v>
      </c>
      <c r="G23" s="1419" t="s">
        <v>423</v>
      </c>
      <c r="H23" s="1408"/>
      <c r="I23" s="1408"/>
    </row>
    <row r="24" spans="1:18" ht="18">
      <c r="A24" s="1434" t="s">
        <v>437</v>
      </c>
      <c r="B24" s="1394">
        <v>0</v>
      </c>
      <c r="C24" s="1395">
        <v>0</v>
      </c>
      <c r="D24" s="1396">
        <v>0</v>
      </c>
      <c r="E24" s="1395">
        <v>0</v>
      </c>
      <c r="F24" s="1395">
        <v>0</v>
      </c>
      <c r="G24" s="1396">
        <v>0</v>
      </c>
      <c r="H24" s="1402"/>
      <c r="I24" s="1772"/>
      <c r="K24" s="1788"/>
      <c r="L24" s="1788"/>
      <c r="M24" s="1788"/>
      <c r="N24" s="1788"/>
      <c r="O24" s="1788"/>
      <c r="P24" s="1788"/>
    </row>
    <row r="25" spans="1:18" ht="18">
      <c r="A25" s="1434" t="s">
        <v>438</v>
      </c>
      <c r="B25" s="1394">
        <v>0</v>
      </c>
      <c r="C25" s="1395">
        <v>0</v>
      </c>
      <c r="D25" s="1396">
        <v>0</v>
      </c>
      <c r="E25" s="1395">
        <v>0</v>
      </c>
      <c r="F25" s="1395">
        <v>0</v>
      </c>
      <c r="G25" s="1396">
        <v>0</v>
      </c>
      <c r="H25" s="1402"/>
      <c r="I25" s="1772"/>
      <c r="K25" s="1788"/>
      <c r="L25" s="1788"/>
      <c r="M25" s="1788"/>
      <c r="N25" s="1788"/>
      <c r="O25" s="1788"/>
      <c r="P25" s="1788"/>
    </row>
    <row r="26" spans="1:18" ht="18">
      <c r="A26" s="1434" t="s">
        <v>439</v>
      </c>
      <c r="B26" s="1394">
        <v>21</v>
      </c>
      <c r="C26" s="1395">
        <v>9</v>
      </c>
      <c r="D26" s="1396">
        <v>15</v>
      </c>
      <c r="E26" s="1394">
        <v>21</v>
      </c>
      <c r="F26" s="1395">
        <v>6</v>
      </c>
      <c r="G26" s="1396">
        <v>15</v>
      </c>
      <c r="H26" s="1402"/>
      <c r="I26" s="1772"/>
      <c r="K26" s="1788"/>
      <c r="L26" s="1788"/>
      <c r="M26" s="1788"/>
      <c r="N26" s="1788"/>
      <c r="O26" s="1788"/>
      <c r="P26" s="1788"/>
    </row>
    <row r="27" spans="1:18" ht="18">
      <c r="A27" s="1434" t="s">
        <v>440</v>
      </c>
      <c r="B27" s="1394">
        <v>0</v>
      </c>
      <c r="C27" s="1395">
        <v>0</v>
      </c>
      <c r="D27" s="1396">
        <v>0</v>
      </c>
      <c r="E27" s="1395">
        <v>0</v>
      </c>
      <c r="F27" s="1395">
        <v>0</v>
      </c>
      <c r="G27" s="1396">
        <v>0</v>
      </c>
      <c r="H27" s="1402"/>
      <c r="I27" s="1772"/>
      <c r="K27" s="1788"/>
      <c r="L27" s="1788"/>
      <c r="M27" s="1788"/>
      <c r="N27" s="1788"/>
      <c r="O27" s="1788"/>
      <c r="P27" s="1788"/>
    </row>
    <row r="28" spans="1:18" ht="18">
      <c r="A28" s="1434" t="s">
        <v>441</v>
      </c>
      <c r="B28" s="1394">
        <v>9</v>
      </c>
      <c r="C28" s="1395">
        <v>6</v>
      </c>
      <c r="D28" s="1396">
        <v>3</v>
      </c>
      <c r="E28" s="1394">
        <v>9</v>
      </c>
      <c r="F28" s="1395">
        <v>6</v>
      </c>
      <c r="G28" s="1396">
        <v>3</v>
      </c>
      <c r="H28" s="1402"/>
      <c r="I28" s="1772"/>
      <c r="K28" s="1788"/>
      <c r="L28" s="1788"/>
      <c r="M28" s="1788"/>
      <c r="N28" s="1788"/>
      <c r="O28" s="1788"/>
      <c r="P28" s="1788"/>
    </row>
    <row r="29" spans="1:18" ht="18">
      <c r="A29" s="1434" t="s">
        <v>442</v>
      </c>
      <c r="B29" s="1394">
        <v>3</v>
      </c>
      <c r="C29" s="1395">
        <v>0</v>
      </c>
      <c r="D29" s="1396">
        <v>3</v>
      </c>
      <c r="E29" s="1395">
        <v>3</v>
      </c>
      <c r="F29" s="1395">
        <v>0</v>
      </c>
      <c r="G29" s="1396">
        <v>3</v>
      </c>
      <c r="H29" s="1408"/>
      <c r="I29" s="1772"/>
      <c r="K29" s="1788"/>
      <c r="L29" s="1788"/>
      <c r="M29" s="1788"/>
      <c r="N29" s="1788"/>
      <c r="O29" s="1788"/>
      <c r="P29" s="1788"/>
    </row>
    <row r="30" spans="1:18" ht="18">
      <c r="A30" s="1434" t="s">
        <v>443</v>
      </c>
      <c r="B30" s="1394">
        <v>0</v>
      </c>
      <c r="C30" s="1395">
        <v>0</v>
      </c>
      <c r="D30" s="1396">
        <v>0</v>
      </c>
      <c r="E30" s="1395">
        <v>0</v>
      </c>
      <c r="F30" s="1395">
        <v>0</v>
      </c>
      <c r="G30" s="1396">
        <v>0</v>
      </c>
      <c r="H30" s="1402"/>
      <c r="I30" s="1772"/>
      <c r="K30" s="1788"/>
      <c r="L30" s="1788"/>
      <c r="M30" s="1788"/>
      <c r="N30" s="1788"/>
      <c r="O30" s="1788"/>
      <c r="P30" s="1788"/>
    </row>
    <row r="31" spans="1:18" ht="18">
      <c r="A31" s="1434" t="s">
        <v>444</v>
      </c>
      <c r="B31" s="1394">
        <v>0</v>
      </c>
      <c r="C31" s="1395">
        <v>0</v>
      </c>
      <c r="D31" s="1396">
        <v>0</v>
      </c>
      <c r="E31" s="1395">
        <v>0</v>
      </c>
      <c r="F31" s="1395">
        <v>0</v>
      </c>
      <c r="G31" s="1396">
        <v>0</v>
      </c>
      <c r="H31" s="1402"/>
      <c r="I31" s="1772"/>
      <c r="K31" s="1788"/>
      <c r="L31" s="1788"/>
      <c r="M31" s="1788"/>
      <c r="N31" s="1788"/>
      <c r="O31" s="1788"/>
      <c r="P31" s="1788"/>
    </row>
    <row r="32" spans="1:18" ht="18">
      <c r="A32" s="1434" t="s">
        <v>445</v>
      </c>
      <c r="B32" s="1394">
        <v>0</v>
      </c>
      <c r="C32" s="1395">
        <v>0</v>
      </c>
      <c r="D32" s="1396">
        <v>0</v>
      </c>
      <c r="E32" s="1395">
        <v>0</v>
      </c>
      <c r="F32" s="1395">
        <v>0</v>
      </c>
      <c r="G32" s="1396">
        <v>0</v>
      </c>
      <c r="H32" s="1402"/>
      <c r="I32" s="1772"/>
      <c r="K32" s="1788"/>
      <c r="L32" s="1788"/>
      <c r="M32" s="1788"/>
      <c r="N32" s="1788"/>
      <c r="O32" s="1788"/>
      <c r="P32" s="1788"/>
    </row>
    <row r="33" spans="1:16" ht="18">
      <c r="A33" s="1434" t="s">
        <v>446</v>
      </c>
      <c r="B33" s="1394">
        <v>0</v>
      </c>
      <c r="C33" s="1395">
        <v>0</v>
      </c>
      <c r="D33" s="1396">
        <v>0</v>
      </c>
      <c r="E33" s="1395">
        <v>0</v>
      </c>
      <c r="F33" s="1395">
        <v>0</v>
      </c>
      <c r="G33" s="1396">
        <v>0</v>
      </c>
      <c r="H33" s="1402"/>
      <c r="I33" s="1772"/>
      <c r="K33" s="1788"/>
      <c r="L33" s="1788"/>
      <c r="M33" s="1788"/>
      <c r="N33" s="1788"/>
      <c r="O33" s="1788"/>
      <c r="P33" s="1788"/>
    </row>
    <row r="34" spans="1:16" ht="18">
      <c r="A34" s="1434" t="s">
        <v>447</v>
      </c>
      <c r="B34" s="1394">
        <v>0</v>
      </c>
      <c r="C34" s="1395">
        <v>0</v>
      </c>
      <c r="D34" s="1396">
        <v>0</v>
      </c>
      <c r="E34" s="1395">
        <v>0</v>
      </c>
      <c r="F34" s="1395">
        <v>0</v>
      </c>
      <c r="G34" s="1396">
        <v>0</v>
      </c>
      <c r="H34" s="1402"/>
      <c r="I34" s="1772"/>
      <c r="K34" s="1788"/>
      <c r="L34" s="1788"/>
      <c r="M34" s="1788"/>
      <c r="N34" s="1788"/>
      <c r="O34" s="1788"/>
      <c r="P34" s="1788"/>
    </row>
    <row r="35" spans="1:16" ht="18">
      <c r="A35" s="1434" t="s">
        <v>448</v>
      </c>
      <c r="B35" s="1394">
        <v>3</v>
      </c>
      <c r="C35" s="1395">
        <v>3</v>
      </c>
      <c r="D35" s="1396">
        <v>0</v>
      </c>
      <c r="E35" s="1395">
        <v>3</v>
      </c>
      <c r="F35" s="1395">
        <v>3</v>
      </c>
      <c r="G35" s="1396">
        <v>0</v>
      </c>
      <c r="H35" s="1402"/>
      <c r="I35" s="1772"/>
      <c r="K35" s="1788"/>
      <c r="L35" s="1788"/>
      <c r="M35" s="1788"/>
      <c r="N35" s="1788"/>
      <c r="O35" s="1788"/>
      <c r="P35" s="1788"/>
    </row>
    <row r="36" spans="1:16" ht="18">
      <c r="A36" s="1434" t="s">
        <v>449</v>
      </c>
      <c r="B36" s="1394">
        <v>3</v>
      </c>
      <c r="C36" s="1395">
        <v>3</v>
      </c>
      <c r="D36" s="1396">
        <v>0</v>
      </c>
      <c r="E36" s="1772">
        <v>3</v>
      </c>
      <c r="F36" s="1395">
        <v>3</v>
      </c>
      <c r="G36" s="1396">
        <v>0</v>
      </c>
      <c r="H36" s="1402"/>
      <c r="I36" s="1772"/>
      <c r="K36" s="1788"/>
      <c r="L36" s="1788"/>
      <c r="M36" s="1788"/>
      <c r="N36" s="1788"/>
      <c r="O36" s="1788"/>
      <c r="P36" s="1788"/>
    </row>
    <row r="37" spans="1:16" ht="18">
      <c r="A37" s="1434" t="s">
        <v>450</v>
      </c>
      <c r="B37" s="1394">
        <v>0</v>
      </c>
      <c r="C37" s="1395">
        <v>0</v>
      </c>
      <c r="D37" s="1396">
        <v>0</v>
      </c>
      <c r="E37" s="1772">
        <v>0</v>
      </c>
      <c r="F37" s="1395">
        <v>0</v>
      </c>
      <c r="G37" s="1396">
        <v>0</v>
      </c>
      <c r="H37" s="1402"/>
      <c r="I37" s="1772"/>
      <c r="K37" s="1788"/>
      <c r="L37" s="1788"/>
      <c r="M37" s="1788"/>
      <c r="N37" s="1788"/>
      <c r="O37" s="1788"/>
      <c r="P37" s="1788"/>
    </row>
    <row r="38" spans="1:16" ht="18">
      <c r="A38" s="1434" t="s">
        <v>451</v>
      </c>
      <c r="B38" s="1394">
        <v>6</v>
      </c>
      <c r="C38" s="1395">
        <v>6</v>
      </c>
      <c r="D38" s="1396">
        <v>0</v>
      </c>
      <c r="E38" s="1772">
        <v>6</v>
      </c>
      <c r="F38" s="1395">
        <v>3</v>
      </c>
      <c r="G38" s="1396">
        <v>0</v>
      </c>
      <c r="H38" s="1402"/>
      <c r="I38" s="1772"/>
      <c r="K38" s="1788"/>
      <c r="L38" s="1788"/>
      <c r="M38" s="1788"/>
      <c r="N38" s="1788"/>
      <c r="O38" s="1788"/>
      <c r="P38" s="1788"/>
    </row>
    <row r="39" spans="1:16" ht="18">
      <c r="A39" s="1434" t="s">
        <v>452</v>
      </c>
      <c r="B39" s="1394">
        <v>0</v>
      </c>
      <c r="C39" s="1395">
        <v>0</v>
      </c>
      <c r="D39" s="1396">
        <v>0</v>
      </c>
      <c r="E39" s="1395">
        <v>0</v>
      </c>
      <c r="F39" s="1395">
        <v>0</v>
      </c>
      <c r="G39" s="1396">
        <v>0</v>
      </c>
      <c r="H39" s="1402"/>
      <c r="I39" s="1772"/>
      <c r="K39" s="1788"/>
      <c r="L39" s="1788"/>
      <c r="M39" s="1788"/>
      <c r="N39" s="1788"/>
      <c r="O39" s="1788"/>
      <c r="P39" s="1788"/>
    </row>
    <row r="40" spans="1:16" ht="18">
      <c r="A40" s="1728" t="s">
        <v>418</v>
      </c>
      <c r="B40" s="1793">
        <v>48</v>
      </c>
      <c r="C40" s="1795">
        <v>24</v>
      </c>
      <c r="D40" s="1795">
        <v>24</v>
      </c>
      <c r="E40" s="1793">
        <v>45</v>
      </c>
      <c r="F40" s="1795">
        <v>21</v>
      </c>
      <c r="G40" s="1796">
        <v>24</v>
      </c>
      <c r="H40" s="1402"/>
      <c r="I40" s="1405"/>
      <c r="J40" s="1405"/>
      <c r="K40" s="1405"/>
      <c r="L40" s="1405"/>
      <c r="M40" s="1405"/>
      <c r="N40" s="1405"/>
      <c r="O40" s="1788"/>
      <c r="P40" s="1788"/>
    </row>
    <row r="41" spans="1:16" ht="18">
      <c r="A41" s="1827" t="s">
        <v>498</v>
      </c>
      <c r="B41" s="1596"/>
      <c r="C41" s="1405"/>
      <c r="D41" s="1407"/>
      <c r="E41" s="1406"/>
      <c r="F41" s="1405"/>
      <c r="G41" s="1405"/>
      <c r="H41" s="1402"/>
      <c r="I41" s="1408"/>
    </row>
    <row r="42" spans="1:16" ht="18">
      <c r="A42" s="1408" t="s">
        <v>542</v>
      </c>
      <c r="B42" s="1402"/>
      <c r="C42" s="1402"/>
      <c r="D42" s="1403"/>
      <c r="E42" s="1402"/>
      <c r="F42" s="1402"/>
      <c r="G42" s="1402"/>
      <c r="H42" s="1402"/>
      <c r="I42" s="1408"/>
    </row>
    <row r="43" spans="1:16">
      <c r="I43" s="1787"/>
    </row>
  </sheetData>
  <printOptions horizontalCentered="1"/>
  <pageMargins left="0.70866141732283472" right="0.70866141732283472" top="0.78740157480314965" bottom="0.78740157480314965" header="0.31496062992125984" footer="0.31496062992125984"/>
  <pageSetup paperSize="9" scale="91" orientation="landscape" r:id="rId1"/>
  <rowBreaks count="1" manualBreakCount="1">
    <brk id="21" max="16383" man="1"/>
  </rowBreaks>
  <tableParts count="2">
    <tablePart r:id="rId2"/>
    <tablePart r:id="rId3"/>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R43"/>
  <sheetViews>
    <sheetView zoomScaleNormal="100" workbookViewId="0"/>
  </sheetViews>
  <sheetFormatPr baseColWidth="10" defaultColWidth="11.42578125" defaultRowHeight="16.5"/>
  <cols>
    <col min="1" max="1" width="19.85546875" style="1566" customWidth="1"/>
    <col min="2" max="2" width="9.42578125" style="1566" customWidth="1"/>
    <col min="3" max="3" width="14.5703125" style="1566" customWidth="1"/>
    <col min="4" max="4" width="14" style="1566" customWidth="1"/>
    <col min="5" max="7" width="13.42578125" style="1566" customWidth="1"/>
    <col min="8" max="9" width="17.140625" style="1566" customWidth="1"/>
    <col min="10" max="16384" width="11.42578125" style="1566"/>
  </cols>
  <sheetData>
    <row r="1" spans="1:18" ht="18">
      <c r="A1" s="1599" t="s">
        <v>424</v>
      </c>
      <c r="B1" s="1423"/>
      <c r="C1" s="1423"/>
      <c r="D1" s="1423"/>
      <c r="E1" s="1423"/>
      <c r="F1" s="1423"/>
      <c r="G1" s="1423"/>
      <c r="H1" s="1423"/>
      <c r="I1" s="1423"/>
    </row>
    <row r="2" spans="1:18" ht="18">
      <c r="A2" s="1600" t="s">
        <v>198</v>
      </c>
      <c r="B2" s="1600"/>
      <c r="C2" s="1600"/>
      <c r="D2" s="1600"/>
      <c r="E2" s="1600"/>
      <c r="F2" s="1600"/>
      <c r="G2" s="1600"/>
      <c r="H2" s="1600"/>
      <c r="I2" s="1600"/>
      <c r="J2" s="1646"/>
      <c r="K2" s="1646"/>
      <c r="L2" s="1646"/>
      <c r="M2" s="1646"/>
      <c r="N2" s="1423"/>
      <c r="O2" s="1423"/>
    </row>
    <row r="3" spans="1:18" ht="18">
      <c r="A3" s="1600" t="s">
        <v>559</v>
      </c>
      <c r="B3" s="1423"/>
      <c r="C3" s="1423"/>
      <c r="D3" s="1423"/>
      <c r="E3" s="1423"/>
      <c r="F3" s="1423"/>
      <c r="G3" s="1423"/>
      <c r="H3" s="1423"/>
      <c r="I3" s="1423"/>
    </row>
    <row r="4" spans="1:18" ht="66">
      <c r="A4" s="1421" t="s">
        <v>43</v>
      </c>
      <c r="B4" s="1706" t="s">
        <v>94</v>
      </c>
      <c r="C4" s="1708" t="s">
        <v>416</v>
      </c>
      <c r="D4" s="1420" t="s">
        <v>417</v>
      </c>
      <c r="E4" s="1419" t="s">
        <v>419</v>
      </c>
      <c r="F4" s="1419" t="s">
        <v>420</v>
      </c>
      <c r="G4" s="1419" t="s">
        <v>421</v>
      </c>
      <c r="H4" s="1419" t="s">
        <v>414</v>
      </c>
      <c r="I4" s="1714" t="s">
        <v>415</v>
      </c>
    </row>
    <row r="5" spans="1:18" ht="18">
      <c r="A5" s="1434" t="s">
        <v>437</v>
      </c>
      <c r="B5" s="1567">
        <v>45</v>
      </c>
      <c r="C5" s="1568">
        <v>36</v>
      </c>
      <c r="D5" s="1569">
        <v>12</v>
      </c>
      <c r="E5" s="1567">
        <v>15</v>
      </c>
      <c r="F5" s="1568">
        <v>15</v>
      </c>
      <c r="G5" s="1569">
        <v>18</v>
      </c>
      <c r="H5" s="1569">
        <v>15</v>
      </c>
      <c r="I5" s="1569">
        <v>0</v>
      </c>
      <c r="K5" s="1788"/>
      <c r="L5" s="1788"/>
      <c r="M5" s="1788"/>
      <c r="N5" s="1788"/>
      <c r="O5" s="1788"/>
      <c r="P5" s="1788"/>
      <c r="Q5" s="1788"/>
      <c r="R5" s="1788"/>
    </row>
    <row r="6" spans="1:18" ht="18">
      <c r="A6" s="1434" t="s">
        <v>438</v>
      </c>
      <c r="B6" s="1394">
        <v>0</v>
      </c>
      <c r="C6" s="1395">
        <v>0</v>
      </c>
      <c r="D6" s="1396">
        <v>0</v>
      </c>
      <c r="E6" s="1395">
        <v>0</v>
      </c>
      <c r="F6" s="1395">
        <v>0</v>
      </c>
      <c r="G6" s="1396">
        <v>0</v>
      </c>
      <c r="H6" s="1397">
        <v>0</v>
      </c>
      <c r="I6" s="1397">
        <v>0</v>
      </c>
      <c r="K6" s="1788"/>
      <c r="L6" s="1788"/>
      <c r="M6" s="1788"/>
      <c r="N6" s="1788"/>
      <c r="O6" s="1788"/>
      <c r="P6" s="1788"/>
      <c r="Q6" s="1788"/>
      <c r="R6" s="1788"/>
    </row>
    <row r="7" spans="1:18" ht="18">
      <c r="A7" s="1434" t="s">
        <v>439</v>
      </c>
      <c r="B7" s="1394">
        <v>72</v>
      </c>
      <c r="C7" s="1395">
        <v>45</v>
      </c>
      <c r="D7" s="1396">
        <v>24</v>
      </c>
      <c r="E7" s="1394">
        <v>24</v>
      </c>
      <c r="F7" s="1395">
        <v>24</v>
      </c>
      <c r="G7" s="1396">
        <v>24</v>
      </c>
      <c r="H7" s="1396">
        <v>24</v>
      </c>
      <c r="I7" s="1396">
        <v>9</v>
      </c>
      <c r="K7" s="1788"/>
      <c r="L7" s="1788"/>
      <c r="M7" s="1788"/>
      <c r="N7" s="1788"/>
      <c r="O7" s="1788"/>
      <c r="P7" s="1788"/>
      <c r="Q7" s="1788"/>
      <c r="R7" s="1788"/>
    </row>
    <row r="8" spans="1:18" ht="18">
      <c r="A8" s="1434" t="s">
        <v>440</v>
      </c>
      <c r="B8" s="1394">
        <v>0</v>
      </c>
      <c r="C8" s="1395">
        <v>0</v>
      </c>
      <c r="D8" s="1396">
        <v>0</v>
      </c>
      <c r="E8" s="1395">
        <v>0</v>
      </c>
      <c r="F8" s="1395">
        <v>0</v>
      </c>
      <c r="G8" s="1396">
        <v>0</v>
      </c>
      <c r="H8" s="1397">
        <v>0</v>
      </c>
      <c r="I8" s="1397">
        <v>0</v>
      </c>
      <c r="K8" s="1788"/>
      <c r="L8" s="1788"/>
      <c r="M8" s="1788"/>
      <c r="N8" s="1788"/>
      <c r="O8" s="1788"/>
      <c r="P8" s="1788"/>
      <c r="Q8" s="1788"/>
      <c r="R8" s="1788"/>
    </row>
    <row r="9" spans="1:18" ht="18">
      <c r="A9" s="1434" t="s">
        <v>441</v>
      </c>
      <c r="B9" s="1394">
        <v>27</v>
      </c>
      <c r="C9" s="1395">
        <v>15</v>
      </c>
      <c r="D9" s="1396">
        <v>12</v>
      </c>
      <c r="E9" s="1394">
        <v>12</v>
      </c>
      <c r="F9" s="1395">
        <v>6</v>
      </c>
      <c r="G9" s="1396">
        <v>9</v>
      </c>
      <c r="H9" s="1396">
        <v>12</v>
      </c>
      <c r="I9" s="1396">
        <v>0</v>
      </c>
      <c r="K9" s="1788"/>
      <c r="L9" s="1788"/>
      <c r="M9" s="1788"/>
      <c r="N9" s="1788"/>
      <c r="O9" s="1788"/>
      <c r="P9" s="1788"/>
      <c r="Q9" s="1788"/>
      <c r="R9" s="1788"/>
    </row>
    <row r="10" spans="1:18" ht="18">
      <c r="A10" s="1434" t="s">
        <v>442</v>
      </c>
      <c r="B10" s="1394">
        <v>18</v>
      </c>
      <c r="C10" s="1395">
        <v>9</v>
      </c>
      <c r="D10" s="1396">
        <v>9</v>
      </c>
      <c r="E10" s="1394">
        <v>6</v>
      </c>
      <c r="F10" s="1395">
        <v>6</v>
      </c>
      <c r="G10" s="1396">
        <v>6</v>
      </c>
      <c r="H10" s="1397">
        <v>6</v>
      </c>
      <c r="I10" s="1397">
        <v>0</v>
      </c>
      <c r="K10" s="1788"/>
      <c r="L10" s="1788"/>
      <c r="M10" s="1788"/>
      <c r="N10" s="1788"/>
      <c r="O10" s="1788"/>
      <c r="P10" s="1788"/>
      <c r="Q10" s="1788"/>
      <c r="R10" s="1788"/>
    </row>
    <row r="11" spans="1:18" ht="18">
      <c r="A11" s="1434" t="s">
        <v>466</v>
      </c>
      <c r="B11" s="1394">
        <v>6</v>
      </c>
      <c r="C11" s="1395">
        <v>3</v>
      </c>
      <c r="D11" s="1396">
        <v>3</v>
      </c>
      <c r="E11" s="1772">
        <v>3</v>
      </c>
      <c r="F11" s="1395">
        <v>0</v>
      </c>
      <c r="G11" s="1396">
        <v>3</v>
      </c>
      <c r="H11" s="1397">
        <v>3</v>
      </c>
      <c r="I11" s="1397">
        <v>3</v>
      </c>
      <c r="K11" s="1788"/>
      <c r="L11" s="1788"/>
      <c r="M11" s="1788"/>
      <c r="N11" s="1788"/>
      <c r="O11" s="1788"/>
      <c r="P11" s="1788"/>
      <c r="Q11" s="1788"/>
      <c r="R11" s="1788"/>
    </row>
    <row r="12" spans="1:18" ht="18">
      <c r="A12" s="1434" t="s">
        <v>444</v>
      </c>
      <c r="B12" s="1394">
        <v>42</v>
      </c>
      <c r="C12" s="1395">
        <v>33</v>
      </c>
      <c r="D12" s="1396">
        <v>9</v>
      </c>
      <c r="E12" s="1394">
        <v>15</v>
      </c>
      <c r="F12" s="1395">
        <v>12</v>
      </c>
      <c r="G12" s="1396">
        <v>15</v>
      </c>
      <c r="H12" s="1500">
        <v>15</v>
      </c>
      <c r="I12" s="1500">
        <v>3</v>
      </c>
      <c r="K12" s="1788"/>
      <c r="L12" s="1788"/>
      <c r="M12" s="1788"/>
      <c r="N12" s="1788"/>
      <c r="O12" s="1788"/>
      <c r="P12" s="1788"/>
      <c r="Q12" s="1788"/>
      <c r="R12" s="1788"/>
    </row>
    <row r="13" spans="1:18" ht="18">
      <c r="A13" s="1434" t="s">
        <v>445</v>
      </c>
      <c r="B13" s="1394">
        <v>258</v>
      </c>
      <c r="C13" s="1395">
        <v>189</v>
      </c>
      <c r="D13" s="1396">
        <v>72</v>
      </c>
      <c r="E13" s="1394">
        <v>99</v>
      </c>
      <c r="F13" s="1395">
        <v>87</v>
      </c>
      <c r="G13" s="1396">
        <v>72</v>
      </c>
      <c r="H13" s="1396">
        <v>99</v>
      </c>
      <c r="I13" s="1396">
        <v>15</v>
      </c>
      <c r="K13" s="1788"/>
      <c r="L13" s="1788"/>
      <c r="M13" s="1788"/>
      <c r="N13" s="1788"/>
      <c r="O13" s="1788"/>
      <c r="P13" s="1788"/>
      <c r="Q13" s="1788"/>
      <c r="R13" s="1788"/>
    </row>
    <row r="14" spans="1:18" ht="18">
      <c r="A14" s="1434" t="s">
        <v>446</v>
      </c>
      <c r="B14" s="1394">
        <v>0</v>
      </c>
      <c r="C14" s="1395">
        <v>0</v>
      </c>
      <c r="D14" s="1396">
        <v>0</v>
      </c>
      <c r="E14" s="1395">
        <v>0</v>
      </c>
      <c r="F14" s="1395">
        <v>0</v>
      </c>
      <c r="G14" s="1396">
        <v>0</v>
      </c>
      <c r="H14" s="1397">
        <v>0</v>
      </c>
      <c r="I14" s="1397">
        <v>0</v>
      </c>
      <c r="K14" s="1788"/>
      <c r="L14" s="1788"/>
      <c r="M14" s="1788"/>
      <c r="N14" s="1788"/>
      <c r="O14" s="1788"/>
      <c r="P14" s="1788"/>
      <c r="Q14" s="1788"/>
      <c r="R14" s="1788"/>
    </row>
    <row r="15" spans="1:18" ht="18">
      <c r="A15" s="1434" t="s">
        <v>447</v>
      </c>
      <c r="B15" s="1394">
        <v>0</v>
      </c>
      <c r="C15" s="1395">
        <v>0</v>
      </c>
      <c r="D15" s="1396">
        <v>0</v>
      </c>
      <c r="E15" s="1395">
        <v>0</v>
      </c>
      <c r="F15" s="1395">
        <v>0</v>
      </c>
      <c r="G15" s="1396">
        <v>0</v>
      </c>
      <c r="H15" s="1397">
        <v>0</v>
      </c>
      <c r="I15" s="1397">
        <v>0</v>
      </c>
      <c r="K15" s="1788"/>
      <c r="L15" s="1788"/>
      <c r="M15" s="1788"/>
      <c r="N15" s="1788"/>
      <c r="O15" s="1788"/>
      <c r="P15" s="1788"/>
      <c r="Q15" s="1788"/>
      <c r="R15" s="1788"/>
    </row>
    <row r="16" spans="1:18" ht="18">
      <c r="A16" s="1434" t="s">
        <v>448</v>
      </c>
      <c r="B16" s="1394">
        <v>9</v>
      </c>
      <c r="C16" s="1395">
        <v>6</v>
      </c>
      <c r="D16" s="1396">
        <v>3</v>
      </c>
      <c r="E16" s="1772">
        <v>6</v>
      </c>
      <c r="F16" s="1395">
        <v>0</v>
      </c>
      <c r="G16" s="1396">
        <v>0</v>
      </c>
      <c r="H16" s="1397">
        <v>6</v>
      </c>
      <c r="I16" s="1397">
        <v>0</v>
      </c>
      <c r="K16" s="1788"/>
      <c r="L16" s="1788"/>
      <c r="M16" s="1788"/>
      <c r="N16" s="1788"/>
      <c r="O16" s="1788"/>
      <c r="P16" s="1788"/>
      <c r="Q16" s="1788"/>
      <c r="R16" s="1788"/>
    </row>
    <row r="17" spans="1:18" ht="18">
      <c r="A17" s="1434" t="s">
        <v>449</v>
      </c>
      <c r="B17" s="1394">
        <v>21</v>
      </c>
      <c r="C17" s="1395">
        <v>15</v>
      </c>
      <c r="D17" s="1396">
        <v>6</v>
      </c>
      <c r="E17" s="1772">
        <v>9</v>
      </c>
      <c r="F17" s="1395">
        <v>6</v>
      </c>
      <c r="G17" s="1396">
        <v>9</v>
      </c>
      <c r="H17" s="1500">
        <v>9</v>
      </c>
      <c r="I17" s="1500">
        <v>3</v>
      </c>
      <c r="K17" s="1788"/>
      <c r="L17" s="1788"/>
      <c r="M17" s="1788"/>
      <c r="N17" s="1788"/>
      <c r="O17" s="1788"/>
      <c r="P17" s="1788"/>
      <c r="Q17" s="1788"/>
      <c r="R17" s="1788"/>
    </row>
    <row r="18" spans="1:18" ht="18">
      <c r="A18" s="1434" t="s">
        <v>450</v>
      </c>
      <c r="B18" s="1394">
        <v>39</v>
      </c>
      <c r="C18" s="1395">
        <v>21</v>
      </c>
      <c r="D18" s="1396">
        <v>18</v>
      </c>
      <c r="E18" s="1772">
        <v>15</v>
      </c>
      <c r="F18" s="1395">
        <v>12</v>
      </c>
      <c r="G18" s="1396">
        <v>12</v>
      </c>
      <c r="H18" s="1396">
        <v>15</v>
      </c>
      <c r="I18" s="1396">
        <v>3</v>
      </c>
      <c r="K18" s="1788"/>
      <c r="L18" s="1788"/>
      <c r="M18" s="1788"/>
      <c r="N18" s="1788"/>
      <c r="O18" s="1788"/>
      <c r="P18" s="1788"/>
      <c r="Q18" s="1788"/>
      <c r="R18" s="1788"/>
    </row>
    <row r="19" spans="1:18" ht="18">
      <c r="A19" s="1434" t="s">
        <v>451</v>
      </c>
      <c r="B19" s="1394">
        <v>15</v>
      </c>
      <c r="C19" s="1395">
        <v>12</v>
      </c>
      <c r="D19" s="1396">
        <v>3</v>
      </c>
      <c r="E19" s="1772">
        <v>6</v>
      </c>
      <c r="F19" s="1395">
        <v>3</v>
      </c>
      <c r="G19" s="1396">
        <v>6</v>
      </c>
      <c r="H19" s="1397">
        <v>6</v>
      </c>
      <c r="I19" s="1397">
        <v>0</v>
      </c>
      <c r="K19" s="1788"/>
      <c r="L19" s="1788"/>
      <c r="M19" s="1788"/>
      <c r="N19" s="1788"/>
      <c r="O19" s="1788"/>
      <c r="P19" s="1788"/>
      <c r="Q19" s="1788"/>
      <c r="R19" s="1788"/>
    </row>
    <row r="20" spans="1:18" ht="18">
      <c r="A20" s="1434" t="s">
        <v>452</v>
      </c>
      <c r="B20" s="1394">
        <v>6</v>
      </c>
      <c r="C20" s="1395">
        <v>3</v>
      </c>
      <c r="D20" s="1396">
        <v>3</v>
      </c>
      <c r="E20" s="1772">
        <v>3</v>
      </c>
      <c r="F20" s="1395">
        <v>0</v>
      </c>
      <c r="G20" s="1396">
        <v>3</v>
      </c>
      <c r="H20" s="1397">
        <v>3</v>
      </c>
      <c r="I20" s="1397">
        <v>3</v>
      </c>
      <c r="K20" s="1788"/>
      <c r="L20" s="1788"/>
      <c r="M20" s="1788"/>
      <c r="N20" s="1788"/>
      <c r="O20" s="1788"/>
      <c r="P20" s="1788"/>
      <c r="Q20" s="1788"/>
      <c r="R20" s="1788"/>
    </row>
    <row r="21" spans="1:18">
      <c r="A21" s="1604" t="s">
        <v>418</v>
      </c>
      <c r="B21" s="1793">
        <v>561</v>
      </c>
      <c r="C21" s="1795">
        <v>387</v>
      </c>
      <c r="D21" s="1795">
        <v>174</v>
      </c>
      <c r="E21" s="1793">
        <v>210</v>
      </c>
      <c r="F21" s="1795">
        <v>171</v>
      </c>
      <c r="G21" s="1796">
        <v>180</v>
      </c>
      <c r="H21" s="1945">
        <v>210</v>
      </c>
      <c r="I21" s="1770">
        <v>39</v>
      </c>
      <c r="K21" s="1788"/>
      <c r="L21" s="1788"/>
      <c r="M21" s="1788"/>
      <c r="N21" s="1788"/>
      <c r="O21" s="1788"/>
      <c r="P21" s="1788"/>
      <c r="Q21" s="1788"/>
      <c r="R21" s="1788"/>
    </row>
    <row r="22" spans="1:18" ht="18">
      <c r="A22" s="1601" t="s">
        <v>552</v>
      </c>
      <c r="B22" s="1412"/>
      <c r="C22" s="1412"/>
      <c r="D22" s="1412"/>
      <c r="E22" s="1412"/>
      <c r="F22" s="1412"/>
      <c r="G22" s="1412"/>
      <c r="H22" s="1411"/>
      <c r="I22" s="1411"/>
    </row>
    <row r="23" spans="1:18" ht="66">
      <c r="A23" s="1421" t="s">
        <v>43</v>
      </c>
      <c r="B23" s="1706" t="s">
        <v>94</v>
      </c>
      <c r="C23" s="1707" t="s">
        <v>92</v>
      </c>
      <c r="D23" s="1409" t="s">
        <v>93</v>
      </c>
      <c r="E23" s="1419" t="s">
        <v>474</v>
      </c>
      <c r="F23" s="1419" t="s">
        <v>422</v>
      </c>
      <c r="G23" s="1714" t="s">
        <v>423</v>
      </c>
      <c r="H23" s="1408"/>
      <c r="I23" s="1408"/>
      <c r="J23" s="1597"/>
      <c r="K23" s="1597"/>
      <c r="L23" s="1597"/>
      <c r="M23" s="1597"/>
      <c r="N23" s="1597"/>
      <c r="O23" s="1597"/>
    </row>
    <row r="24" spans="1:18" ht="18">
      <c r="A24" s="1434" t="s">
        <v>437</v>
      </c>
      <c r="B24" s="1567">
        <v>15</v>
      </c>
      <c r="C24" s="1568">
        <v>12</v>
      </c>
      <c r="D24" s="1569">
        <v>3</v>
      </c>
      <c r="E24" s="1567">
        <v>15</v>
      </c>
      <c r="F24" s="1568">
        <v>12</v>
      </c>
      <c r="G24" s="1569">
        <v>3</v>
      </c>
      <c r="H24" s="1402"/>
      <c r="I24" s="1772"/>
      <c r="J24" s="1395"/>
      <c r="K24" s="1395"/>
      <c r="L24" s="1772"/>
      <c r="M24" s="1395"/>
      <c r="N24" s="1395"/>
      <c r="O24" s="1787"/>
      <c r="P24" s="1788"/>
    </row>
    <row r="25" spans="1:18" ht="18">
      <c r="A25" s="1434" t="s">
        <v>438</v>
      </c>
      <c r="B25" s="1394">
        <v>0</v>
      </c>
      <c r="C25" s="1395">
        <v>0</v>
      </c>
      <c r="D25" s="1396">
        <v>0</v>
      </c>
      <c r="E25" s="1395">
        <v>0</v>
      </c>
      <c r="F25" s="1395">
        <v>0</v>
      </c>
      <c r="G25" s="1396">
        <v>0</v>
      </c>
      <c r="H25" s="1402"/>
      <c r="I25" s="1772"/>
      <c r="J25" s="1395"/>
      <c r="K25" s="1395"/>
      <c r="L25" s="1395"/>
      <c r="M25" s="1395"/>
      <c r="N25" s="1395"/>
      <c r="O25" s="1787"/>
      <c r="P25" s="1788"/>
    </row>
    <row r="26" spans="1:18" ht="18">
      <c r="A26" s="1434" t="s">
        <v>439</v>
      </c>
      <c r="B26" s="1394">
        <v>24</v>
      </c>
      <c r="C26" s="1395">
        <v>18</v>
      </c>
      <c r="D26" s="1396">
        <v>9</v>
      </c>
      <c r="E26" s="1394">
        <v>21</v>
      </c>
      <c r="F26" s="1395">
        <v>12</v>
      </c>
      <c r="G26" s="1396">
        <v>9</v>
      </c>
      <c r="H26" s="1402"/>
      <c r="I26" s="1772"/>
      <c r="J26" s="1395"/>
      <c r="K26" s="1395"/>
      <c r="L26" s="1772"/>
      <c r="M26" s="1395"/>
      <c r="N26" s="1395"/>
      <c r="O26" s="1787"/>
      <c r="P26" s="1788"/>
    </row>
    <row r="27" spans="1:18" ht="18">
      <c r="A27" s="1434" t="s">
        <v>440</v>
      </c>
      <c r="B27" s="1394">
        <v>0</v>
      </c>
      <c r="C27" s="1395">
        <v>0</v>
      </c>
      <c r="D27" s="1396">
        <v>0</v>
      </c>
      <c r="E27" s="1395">
        <v>0</v>
      </c>
      <c r="F27" s="1395">
        <v>0</v>
      </c>
      <c r="G27" s="1396">
        <v>0</v>
      </c>
      <c r="H27" s="1402"/>
      <c r="I27" s="1772"/>
      <c r="J27" s="1395"/>
      <c r="K27" s="1395"/>
      <c r="L27" s="1395"/>
      <c r="M27" s="1395"/>
      <c r="N27" s="1395"/>
      <c r="O27" s="1787"/>
      <c r="P27" s="1788"/>
    </row>
    <row r="28" spans="1:18" ht="18">
      <c r="A28" s="1434" t="s">
        <v>441</v>
      </c>
      <c r="B28" s="1394">
        <v>9</v>
      </c>
      <c r="C28" s="1395">
        <v>6</v>
      </c>
      <c r="D28" s="1396">
        <v>3</v>
      </c>
      <c r="E28" s="1394">
        <v>9</v>
      </c>
      <c r="F28" s="1395">
        <v>6</v>
      </c>
      <c r="G28" s="1396">
        <v>3</v>
      </c>
      <c r="H28" s="1402"/>
      <c r="I28" s="1772"/>
      <c r="J28" s="1395"/>
      <c r="K28" s="1395"/>
      <c r="L28" s="1772"/>
      <c r="M28" s="1395"/>
      <c r="N28" s="1395"/>
      <c r="O28" s="1787"/>
      <c r="P28" s="1788"/>
    </row>
    <row r="29" spans="1:18" ht="18">
      <c r="A29" s="1434" t="s">
        <v>442</v>
      </c>
      <c r="B29" s="1394">
        <v>6</v>
      </c>
      <c r="C29" s="1395">
        <v>3</v>
      </c>
      <c r="D29" s="1396">
        <v>3</v>
      </c>
      <c r="E29" s="1394">
        <v>6</v>
      </c>
      <c r="F29" s="1395">
        <v>3</v>
      </c>
      <c r="G29" s="1396">
        <v>3</v>
      </c>
      <c r="H29" s="1408"/>
      <c r="I29" s="1772"/>
      <c r="J29" s="1395"/>
      <c r="K29" s="1395"/>
      <c r="L29" s="1772"/>
      <c r="M29" s="1395"/>
      <c r="N29" s="1395"/>
      <c r="O29" s="1787"/>
      <c r="P29" s="1788"/>
    </row>
    <row r="30" spans="1:18" ht="18">
      <c r="A30" s="1434" t="s">
        <v>443</v>
      </c>
      <c r="B30" s="1394">
        <v>0</v>
      </c>
      <c r="C30" s="1395">
        <v>0</v>
      </c>
      <c r="D30" s="1396">
        <v>0</v>
      </c>
      <c r="E30" s="1395">
        <v>0</v>
      </c>
      <c r="F30" s="1395">
        <v>0</v>
      </c>
      <c r="G30" s="1396">
        <v>0</v>
      </c>
      <c r="H30" s="1402"/>
      <c r="I30" s="1772"/>
      <c r="J30" s="1395"/>
      <c r="K30" s="1395"/>
      <c r="L30" s="1395"/>
      <c r="M30" s="1395"/>
      <c r="N30" s="1395"/>
      <c r="O30" s="1787"/>
      <c r="P30" s="1788"/>
    </row>
    <row r="31" spans="1:18" ht="18">
      <c r="A31" s="1434" t="s">
        <v>444</v>
      </c>
      <c r="B31" s="1394">
        <v>6</v>
      </c>
      <c r="C31" s="1395">
        <v>3</v>
      </c>
      <c r="D31" s="1396">
        <v>3</v>
      </c>
      <c r="E31" s="1394">
        <v>0</v>
      </c>
      <c r="F31" s="1395">
        <v>0</v>
      </c>
      <c r="G31" s="1396">
        <v>0</v>
      </c>
      <c r="H31" s="1402"/>
      <c r="I31" s="1772"/>
      <c r="J31" s="1395"/>
      <c r="K31" s="1395"/>
      <c r="L31" s="1772"/>
      <c r="M31" s="1395"/>
      <c r="N31" s="1395"/>
      <c r="O31" s="1787"/>
      <c r="P31" s="1788"/>
    </row>
    <row r="32" spans="1:18" ht="18">
      <c r="A32" s="1434" t="s">
        <v>445</v>
      </c>
      <c r="B32" s="1394">
        <v>81</v>
      </c>
      <c r="C32" s="1395">
        <v>60</v>
      </c>
      <c r="D32" s="1396">
        <v>21</v>
      </c>
      <c r="E32" s="1394">
        <v>78</v>
      </c>
      <c r="F32" s="1395">
        <v>57</v>
      </c>
      <c r="G32" s="1396">
        <v>21</v>
      </c>
      <c r="H32" s="1402"/>
      <c r="I32" s="1772"/>
      <c r="J32" s="1395"/>
      <c r="K32" s="1395"/>
      <c r="L32" s="1772"/>
      <c r="M32" s="1395"/>
      <c r="N32" s="1395"/>
      <c r="O32" s="1787"/>
      <c r="P32" s="1788"/>
    </row>
    <row r="33" spans="1:16" ht="18">
      <c r="A33" s="1434" t="s">
        <v>446</v>
      </c>
      <c r="B33" s="1394">
        <v>0</v>
      </c>
      <c r="C33" s="1395">
        <v>0</v>
      </c>
      <c r="D33" s="1396">
        <v>0</v>
      </c>
      <c r="E33" s="1395">
        <v>0</v>
      </c>
      <c r="F33" s="1395">
        <v>0</v>
      </c>
      <c r="G33" s="1396">
        <v>0</v>
      </c>
      <c r="H33" s="1402"/>
      <c r="I33" s="1772"/>
      <c r="J33" s="1395"/>
      <c r="K33" s="1395"/>
      <c r="L33" s="1395"/>
      <c r="M33" s="1395"/>
      <c r="N33" s="1395"/>
      <c r="O33" s="1787"/>
      <c r="P33" s="1788"/>
    </row>
    <row r="34" spans="1:16" ht="18">
      <c r="A34" s="1434" t="s">
        <v>447</v>
      </c>
      <c r="B34" s="1394">
        <v>0</v>
      </c>
      <c r="C34" s="1395">
        <v>0</v>
      </c>
      <c r="D34" s="1396">
        <v>0</v>
      </c>
      <c r="E34" s="1395">
        <v>0</v>
      </c>
      <c r="F34" s="1395">
        <v>0</v>
      </c>
      <c r="G34" s="1396">
        <v>0</v>
      </c>
      <c r="H34" s="1402"/>
      <c r="I34" s="1772"/>
      <c r="J34" s="1395"/>
      <c r="K34" s="1395"/>
      <c r="L34" s="1395"/>
      <c r="M34" s="1395"/>
      <c r="N34" s="1395"/>
      <c r="O34" s="1787"/>
      <c r="P34" s="1788"/>
    </row>
    <row r="35" spans="1:16" ht="18">
      <c r="A35" s="1434" t="s">
        <v>448</v>
      </c>
      <c r="B35" s="1394">
        <v>3</v>
      </c>
      <c r="C35" s="1395">
        <v>0</v>
      </c>
      <c r="D35" s="1396">
        <v>0</v>
      </c>
      <c r="E35" s="1772">
        <v>3</v>
      </c>
      <c r="F35" s="1395">
        <v>0</v>
      </c>
      <c r="G35" s="1396">
        <v>0</v>
      </c>
      <c r="H35" s="1402"/>
      <c r="I35" s="1772"/>
      <c r="J35" s="1395"/>
      <c r="K35" s="1395"/>
      <c r="L35" s="1395"/>
      <c r="M35" s="1395"/>
      <c r="N35" s="1395"/>
      <c r="O35" s="1787"/>
      <c r="P35" s="1788"/>
    </row>
    <row r="36" spans="1:16" ht="18">
      <c r="A36" s="1434" t="s">
        <v>449</v>
      </c>
      <c r="B36" s="1394">
        <v>9</v>
      </c>
      <c r="C36" s="1395">
        <v>6</v>
      </c>
      <c r="D36" s="1396">
        <v>3</v>
      </c>
      <c r="E36" s="1772">
        <v>6</v>
      </c>
      <c r="F36" s="1395">
        <v>6</v>
      </c>
      <c r="G36" s="1396">
        <v>3</v>
      </c>
      <c r="H36" s="1402"/>
      <c r="I36" s="1772"/>
      <c r="J36" s="1395"/>
      <c r="K36" s="1395"/>
      <c r="L36" s="1395"/>
      <c r="M36" s="1395"/>
      <c r="N36" s="1395"/>
      <c r="O36" s="1787"/>
      <c r="P36" s="1788"/>
    </row>
    <row r="37" spans="1:16" ht="18">
      <c r="A37" s="1434" t="s">
        <v>450</v>
      </c>
      <c r="B37" s="1394">
        <v>12</v>
      </c>
      <c r="C37" s="1395">
        <v>9</v>
      </c>
      <c r="D37" s="1396">
        <v>3</v>
      </c>
      <c r="E37" s="1772">
        <v>12</v>
      </c>
      <c r="F37" s="1395">
        <v>9</v>
      </c>
      <c r="G37" s="1396">
        <v>3</v>
      </c>
      <c r="H37" s="1402"/>
      <c r="I37" s="1772"/>
      <c r="J37" s="1395"/>
      <c r="K37" s="1395"/>
      <c r="L37" s="1395"/>
      <c r="M37" s="1395"/>
      <c r="N37" s="1395"/>
      <c r="O37" s="1787"/>
      <c r="P37" s="1788"/>
    </row>
    <row r="38" spans="1:16" ht="18">
      <c r="A38" s="1434" t="s">
        <v>451</v>
      </c>
      <c r="B38" s="1394">
        <v>6</v>
      </c>
      <c r="C38" s="1395">
        <v>6</v>
      </c>
      <c r="D38" s="1396">
        <v>0</v>
      </c>
      <c r="E38" s="1772">
        <v>6</v>
      </c>
      <c r="F38" s="1395">
        <v>6</v>
      </c>
      <c r="G38" s="1396">
        <v>0</v>
      </c>
      <c r="H38" s="1402"/>
      <c r="I38" s="1772"/>
      <c r="J38" s="1395"/>
      <c r="K38" s="1395"/>
      <c r="L38" s="1395"/>
      <c r="M38" s="1395"/>
      <c r="N38" s="1395"/>
      <c r="O38" s="1787"/>
      <c r="P38" s="1788"/>
    </row>
    <row r="39" spans="1:16" ht="18">
      <c r="A39" s="1434" t="s">
        <v>452</v>
      </c>
      <c r="B39" s="1394">
        <v>3</v>
      </c>
      <c r="C39" s="1395">
        <v>3</v>
      </c>
      <c r="D39" s="1396">
        <v>0</v>
      </c>
      <c r="E39" s="1772">
        <v>3</v>
      </c>
      <c r="F39" s="1395">
        <v>3</v>
      </c>
      <c r="G39" s="1396">
        <v>0</v>
      </c>
      <c r="H39" s="1402"/>
      <c r="I39" s="1772"/>
      <c r="J39" s="1395"/>
      <c r="K39" s="1395"/>
      <c r="L39" s="1395"/>
      <c r="M39" s="1395"/>
      <c r="N39" s="1395"/>
      <c r="O39" s="1787"/>
      <c r="P39" s="1788"/>
    </row>
    <row r="40" spans="1:16" ht="18">
      <c r="A40" s="1728" t="s">
        <v>418</v>
      </c>
      <c r="B40" s="1793">
        <v>171</v>
      </c>
      <c r="C40" s="1795">
        <v>126</v>
      </c>
      <c r="D40" s="1795">
        <v>45</v>
      </c>
      <c r="E40" s="1793">
        <v>153</v>
      </c>
      <c r="F40" s="1795">
        <v>111</v>
      </c>
      <c r="G40" s="1796">
        <v>42</v>
      </c>
      <c r="H40" s="1402"/>
      <c r="I40" s="1405"/>
      <c r="J40" s="1405"/>
      <c r="K40" s="1405"/>
      <c r="L40" s="1405"/>
      <c r="M40" s="1405"/>
      <c r="N40" s="1405"/>
      <c r="O40" s="1405"/>
      <c r="P40" s="1405"/>
    </row>
    <row r="41" spans="1:16" ht="18">
      <c r="A41" s="1861" t="s">
        <v>498</v>
      </c>
      <c r="B41" s="1406"/>
      <c r="C41" s="1405"/>
      <c r="D41" s="1407"/>
      <c r="E41" s="1406"/>
      <c r="F41" s="1405"/>
      <c r="G41" s="1405"/>
      <c r="H41" s="1402"/>
      <c r="I41" s="1408"/>
      <c r="J41" s="1597"/>
      <c r="K41" s="1597"/>
      <c r="L41" s="1597"/>
      <c r="M41" s="1597"/>
      <c r="N41" s="1597"/>
      <c r="O41" s="1597"/>
    </row>
    <row r="42" spans="1:16" ht="18">
      <c r="A42" s="1402" t="s">
        <v>542</v>
      </c>
      <c r="B42" s="1402"/>
      <c r="C42" s="1402"/>
      <c r="D42" s="1403"/>
      <c r="E42" s="1402"/>
      <c r="F42" s="1402"/>
      <c r="G42" s="1402"/>
      <c r="H42" s="1402"/>
      <c r="I42" s="1408"/>
      <c r="J42" s="1597"/>
      <c r="K42" s="1597"/>
      <c r="L42" s="1597"/>
      <c r="M42" s="1597"/>
      <c r="N42" s="1597"/>
      <c r="O42" s="1597"/>
    </row>
    <row r="43" spans="1:16">
      <c r="I43" s="1597"/>
      <c r="J43" s="1597"/>
      <c r="K43" s="1597"/>
      <c r="L43" s="1597"/>
      <c r="M43" s="1597"/>
      <c r="N43" s="1597"/>
      <c r="O43" s="1597"/>
    </row>
  </sheetData>
  <printOptions horizontalCentered="1"/>
  <pageMargins left="0.70866141732283472" right="0.70866141732283472" top="0.78740157480314965" bottom="0.78740157480314965" header="0.31496062992125984" footer="0.31496062992125984"/>
  <pageSetup paperSize="9" orientation="landscape" r:id="rId1"/>
  <rowBreaks count="1" manualBreakCount="1">
    <brk id="21" max="8" man="1"/>
  </rowBreaks>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3:P55"/>
  <sheetViews>
    <sheetView zoomScaleNormal="100" zoomScaleSheetLayoutView="100" workbookViewId="0">
      <selection activeCell="I27" sqref="I27"/>
    </sheetView>
  </sheetViews>
  <sheetFormatPr baseColWidth="10" defaultColWidth="9.5703125" defaultRowHeight="11.25"/>
  <cols>
    <col min="1" max="1" width="5.5703125" style="6" customWidth="1"/>
    <col min="2" max="2" width="0.85546875" style="6" customWidth="1"/>
    <col min="3" max="4" width="7.5703125" style="6" customWidth="1"/>
    <col min="5" max="5" width="7.5703125" style="53" customWidth="1"/>
    <col min="6" max="8" width="7.5703125" style="6" customWidth="1"/>
    <col min="9" max="10" width="10.5703125" style="6" customWidth="1"/>
    <col min="11" max="13" width="7.5703125" style="6" customWidth="1"/>
    <col min="14" max="16" width="7.5703125" style="53" customWidth="1"/>
    <col min="17" max="17" width="16.85546875" style="6" customWidth="1"/>
    <col min="18" max="16384" width="9.5703125" style="6"/>
  </cols>
  <sheetData>
    <row r="3" spans="1:16" ht="12.75">
      <c r="A3" s="728" t="s">
        <v>215</v>
      </c>
      <c r="B3" s="63"/>
      <c r="C3" s="476"/>
      <c r="D3" s="719"/>
      <c r="E3" s="719"/>
      <c r="F3" s="719"/>
      <c r="G3" s="719"/>
      <c r="H3" s="719"/>
      <c r="I3" s="719"/>
      <c r="J3" s="720"/>
      <c r="K3" s="721"/>
      <c r="L3" s="43"/>
      <c r="M3" s="719"/>
      <c r="O3" s="529"/>
      <c r="P3" s="534"/>
    </row>
    <row r="4" spans="1:16" s="585" customFormat="1" ht="24.95" customHeight="1">
      <c r="A4" s="1960" t="s">
        <v>112</v>
      </c>
      <c r="B4" s="1960"/>
      <c r="C4" s="1960"/>
      <c r="D4" s="1960"/>
      <c r="E4" s="1960"/>
      <c r="F4" s="1960"/>
      <c r="G4" s="1960"/>
      <c r="H4" s="1960"/>
      <c r="I4" s="1960"/>
      <c r="J4" s="1960"/>
      <c r="K4" s="1960"/>
      <c r="L4" s="1960"/>
      <c r="M4" s="1960"/>
      <c r="N4" s="1960"/>
      <c r="O4" s="1960"/>
      <c r="P4" s="1960"/>
    </row>
    <row r="5" spans="1:16" s="585" customFormat="1" ht="24.95" customHeight="1">
      <c r="A5" s="1961" t="s">
        <v>41</v>
      </c>
      <c r="B5" s="1961"/>
      <c r="C5" s="1961"/>
      <c r="D5" s="1961"/>
      <c r="E5" s="1961"/>
      <c r="F5" s="1961"/>
      <c r="G5" s="1961"/>
      <c r="H5" s="1961"/>
      <c r="I5" s="1961"/>
      <c r="J5" s="1961"/>
      <c r="K5" s="1961"/>
      <c r="L5" s="1961"/>
      <c r="M5" s="1961"/>
      <c r="N5" s="1961"/>
      <c r="O5" s="1961"/>
      <c r="P5" s="1961"/>
    </row>
    <row r="6" spans="1:16" s="585" customFormat="1" ht="24.95" customHeight="1">
      <c r="A6" s="1959" t="s">
        <v>42</v>
      </c>
      <c r="B6" s="1959"/>
      <c r="C6" s="1959"/>
      <c r="D6" s="1959"/>
      <c r="E6" s="1959"/>
      <c r="F6" s="1959"/>
      <c r="G6" s="1959"/>
      <c r="H6" s="1959"/>
      <c r="I6" s="1959"/>
      <c r="J6" s="1959"/>
      <c r="K6" s="1959"/>
      <c r="L6" s="1959"/>
      <c r="M6" s="1959"/>
      <c r="N6" s="1959"/>
      <c r="O6" s="1959"/>
      <c r="P6" s="1959"/>
    </row>
    <row r="7" spans="1:16" ht="12" thickBot="1">
      <c r="A7" s="85"/>
      <c r="B7" s="85"/>
      <c r="C7" s="722"/>
      <c r="D7" s="722"/>
      <c r="E7" s="723"/>
      <c r="F7" s="722"/>
      <c r="G7" s="722"/>
      <c r="H7" s="722"/>
      <c r="I7" s="722"/>
      <c r="J7" s="722"/>
      <c r="K7" s="722"/>
      <c r="L7" s="722"/>
      <c r="M7" s="722"/>
      <c r="N7" s="723"/>
      <c r="O7" s="723"/>
      <c r="P7" s="723"/>
    </row>
    <row r="8" spans="1:16" ht="24.6" customHeight="1">
      <c r="A8" s="1953" t="s">
        <v>43</v>
      </c>
      <c r="B8" s="1954"/>
      <c r="C8" s="1965" t="s">
        <v>360</v>
      </c>
      <c r="D8" s="1966"/>
      <c r="E8" s="1966"/>
      <c r="F8" s="1966"/>
      <c r="G8" s="1966"/>
      <c r="H8" s="1967"/>
      <c r="I8" s="148" t="s">
        <v>0</v>
      </c>
      <c r="J8" s="148" t="s">
        <v>1</v>
      </c>
      <c r="K8" s="1962" t="s">
        <v>106</v>
      </c>
      <c r="L8" s="1963"/>
      <c r="M8" s="1963"/>
      <c r="N8" s="1963"/>
      <c r="O8" s="1963"/>
      <c r="P8" s="1964"/>
    </row>
    <row r="9" spans="1:16" ht="11.1" customHeight="1">
      <c r="A9" s="1955"/>
      <c r="B9" s="1956"/>
      <c r="C9" s="1968"/>
      <c r="D9" s="1969"/>
      <c r="E9" s="1969"/>
      <c r="F9" s="1969"/>
      <c r="G9" s="1969"/>
      <c r="H9" s="1970"/>
      <c r="I9" s="424" t="s">
        <v>3</v>
      </c>
      <c r="J9" s="15" t="s">
        <v>4</v>
      </c>
      <c r="K9" s="13"/>
      <c r="L9" s="724"/>
      <c r="M9" s="725"/>
      <c r="N9" s="1971" t="s">
        <v>300</v>
      </c>
      <c r="O9" s="1972"/>
      <c r="P9" s="1976"/>
    </row>
    <row r="10" spans="1:16" ht="12" customHeight="1">
      <c r="A10" s="1955"/>
      <c r="B10" s="1956"/>
      <c r="C10" s="13"/>
      <c r="D10" s="539"/>
      <c r="E10" s="1087"/>
      <c r="F10" s="1971" t="s">
        <v>298</v>
      </c>
      <c r="G10" s="1972"/>
      <c r="H10" s="1973"/>
      <c r="I10" s="424" t="s">
        <v>8</v>
      </c>
      <c r="J10" s="15" t="s">
        <v>8</v>
      </c>
      <c r="K10" s="23"/>
      <c r="L10" s="23"/>
      <c r="M10" s="24"/>
      <c r="N10" s="1974"/>
      <c r="O10" s="1975"/>
      <c r="P10" s="1977"/>
    </row>
    <row r="11" spans="1:16" ht="12" customHeight="1">
      <c r="A11" s="1955"/>
      <c r="B11" s="1956"/>
      <c r="C11" s="215"/>
      <c r="D11" s="18"/>
      <c r="E11" s="28"/>
      <c r="F11" s="1974"/>
      <c r="G11" s="1975"/>
      <c r="H11" s="1958"/>
      <c r="I11" s="424" t="s">
        <v>20</v>
      </c>
      <c r="J11" s="15" t="s">
        <v>20</v>
      </c>
      <c r="K11" s="18"/>
      <c r="L11" s="18"/>
      <c r="M11" s="28"/>
      <c r="N11" s="13"/>
      <c r="O11" s="215"/>
      <c r="P11" s="532"/>
    </row>
    <row r="12" spans="1:16" ht="12" customHeight="1">
      <c r="A12" s="1955"/>
      <c r="B12" s="1956"/>
      <c r="C12" s="542" t="s">
        <v>19</v>
      </c>
      <c r="D12" s="46" t="s">
        <v>17</v>
      </c>
      <c r="E12" s="25" t="s">
        <v>18</v>
      </c>
      <c r="F12" s="13"/>
      <c r="G12" s="726"/>
      <c r="H12" s="726"/>
      <c r="I12" s="15" t="s">
        <v>33</v>
      </c>
      <c r="J12" s="15" t="s">
        <v>33</v>
      </c>
      <c r="K12" s="30" t="s">
        <v>19</v>
      </c>
      <c r="L12" s="46" t="s">
        <v>17</v>
      </c>
      <c r="M12" s="25" t="s">
        <v>18</v>
      </c>
      <c r="N12" s="30" t="s">
        <v>19</v>
      </c>
      <c r="O12" s="46" t="s">
        <v>17</v>
      </c>
      <c r="P12" s="533" t="s">
        <v>18</v>
      </c>
    </row>
    <row r="13" spans="1:16" ht="12" customHeight="1">
      <c r="A13" s="1955"/>
      <c r="B13" s="1956"/>
      <c r="C13" s="30" t="s">
        <v>29</v>
      </c>
      <c r="D13" s="46" t="s">
        <v>28</v>
      </c>
      <c r="E13" s="25" t="s">
        <v>28</v>
      </c>
      <c r="F13" s="25" t="s">
        <v>30</v>
      </c>
      <c r="G13" s="31" t="s">
        <v>31</v>
      </c>
      <c r="H13" s="31" t="s">
        <v>32</v>
      </c>
      <c r="I13" s="331" t="s">
        <v>39</v>
      </c>
      <c r="J13" s="15" t="s">
        <v>39</v>
      </c>
      <c r="K13" s="30" t="s">
        <v>29</v>
      </c>
      <c r="L13" s="46" t="s">
        <v>28</v>
      </c>
      <c r="M13" s="25" t="s">
        <v>28</v>
      </c>
      <c r="N13" s="30" t="s">
        <v>29</v>
      </c>
      <c r="O13" s="46" t="s">
        <v>28</v>
      </c>
      <c r="P13" s="533" t="s">
        <v>28</v>
      </c>
    </row>
    <row r="14" spans="1:16" ht="12" customHeight="1">
      <c r="A14" s="1957"/>
      <c r="B14" s="1958"/>
      <c r="C14" s="32"/>
      <c r="D14" s="34"/>
      <c r="E14" s="33"/>
      <c r="F14" s="32"/>
      <c r="G14" s="34"/>
      <c r="H14" s="34"/>
      <c r="I14" s="332"/>
      <c r="J14" s="35"/>
      <c r="K14" s="32"/>
      <c r="L14" s="34"/>
      <c r="M14" s="33"/>
      <c r="N14" s="32"/>
      <c r="O14" s="34"/>
      <c r="P14" s="330"/>
    </row>
    <row r="15" spans="1:16" s="585" customFormat="1" ht="5.0999999999999996" customHeight="1">
      <c r="A15" s="591"/>
      <c r="B15" s="594"/>
      <c r="C15" s="47"/>
      <c r="D15" s="48"/>
      <c r="E15" s="140"/>
      <c r="F15" s="48"/>
      <c r="G15" s="48"/>
      <c r="H15" s="50"/>
      <c r="I15" s="147"/>
      <c r="J15" s="333"/>
      <c r="K15" s="1071"/>
      <c r="L15" s="48"/>
      <c r="M15" s="49"/>
      <c r="N15" s="47"/>
      <c r="O15" s="48"/>
      <c r="P15" s="531"/>
    </row>
    <row r="16" spans="1:16" ht="15" customHeight="1">
      <c r="A16" s="592" t="s">
        <v>58</v>
      </c>
      <c r="B16" s="595"/>
      <c r="C16" s="1069">
        <v>807</v>
      </c>
      <c r="D16" s="5">
        <v>684</v>
      </c>
      <c r="E16" s="396">
        <v>120</v>
      </c>
      <c r="F16" s="5">
        <v>222</v>
      </c>
      <c r="G16" s="5">
        <v>306</v>
      </c>
      <c r="H16" s="396">
        <v>279</v>
      </c>
      <c r="I16" s="396">
        <v>363</v>
      </c>
      <c r="J16" s="396">
        <v>120</v>
      </c>
      <c r="K16" s="1069">
        <v>303</v>
      </c>
      <c r="L16" s="5">
        <v>246</v>
      </c>
      <c r="M16" s="396">
        <v>57</v>
      </c>
      <c r="N16" s="1075">
        <v>282</v>
      </c>
      <c r="O16" s="1074">
        <v>228</v>
      </c>
      <c r="P16" s="1036">
        <v>54</v>
      </c>
    </row>
    <row r="17" spans="1:16" ht="15" customHeight="1">
      <c r="A17" s="592" t="s">
        <v>49</v>
      </c>
      <c r="B17" s="595"/>
      <c r="C17" s="1069">
        <v>6</v>
      </c>
      <c r="D17" s="5">
        <v>3</v>
      </c>
      <c r="E17" s="396">
        <v>3</v>
      </c>
      <c r="F17" s="5">
        <v>0</v>
      </c>
      <c r="G17" s="5">
        <v>0</v>
      </c>
      <c r="H17" s="396">
        <v>6</v>
      </c>
      <c r="I17" s="396">
        <v>3</v>
      </c>
      <c r="J17" s="396">
        <v>0</v>
      </c>
      <c r="K17" s="1069">
        <v>0</v>
      </c>
      <c r="L17" s="5">
        <v>0</v>
      </c>
      <c r="M17" s="396">
        <v>0</v>
      </c>
      <c r="N17" s="1069">
        <v>0</v>
      </c>
      <c r="O17" s="5">
        <v>0</v>
      </c>
      <c r="P17" s="1038">
        <v>0</v>
      </c>
    </row>
    <row r="18" spans="1:16" ht="15" customHeight="1">
      <c r="A18" s="592" t="s">
        <v>52</v>
      </c>
      <c r="B18" s="595"/>
      <c r="C18" s="1069">
        <v>2037</v>
      </c>
      <c r="D18" s="5">
        <v>1764</v>
      </c>
      <c r="E18" s="396">
        <v>273</v>
      </c>
      <c r="F18" s="5">
        <v>186</v>
      </c>
      <c r="G18" s="5">
        <v>885</v>
      </c>
      <c r="H18" s="396">
        <v>966</v>
      </c>
      <c r="I18" s="396">
        <v>948</v>
      </c>
      <c r="J18" s="396">
        <v>111</v>
      </c>
      <c r="K18" s="1069">
        <v>741</v>
      </c>
      <c r="L18" s="5">
        <v>633</v>
      </c>
      <c r="M18" s="396">
        <v>111</v>
      </c>
      <c r="N18" s="1075">
        <v>717</v>
      </c>
      <c r="O18" s="1074">
        <v>609</v>
      </c>
      <c r="P18" s="1036">
        <v>108</v>
      </c>
    </row>
    <row r="19" spans="1:16" ht="15" customHeight="1">
      <c r="A19" s="592" t="s">
        <v>48</v>
      </c>
      <c r="B19" s="596"/>
      <c r="C19" s="1069">
        <v>3</v>
      </c>
      <c r="D19" s="5">
        <v>0</v>
      </c>
      <c r="E19" s="396">
        <v>3</v>
      </c>
      <c r="F19" s="5">
        <v>0</v>
      </c>
      <c r="G19" s="5">
        <v>0</v>
      </c>
      <c r="H19" s="396">
        <v>3</v>
      </c>
      <c r="I19" s="396">
        <v>3</v>
      </c>
      <c r="J19" s="396">
        <v>0</v>
      </c>
      <c r="K19" s="1069">
        <v>3</v>
      </c>
      <c r="L19" s="5">
        <v>3</v>
      </c>
      <c r="M19" s="396">
        <v>0</v>
      </c>
      <c r="N19" s="1069">
        <v>3</v>
      </c>
      <c r="O19" s="5">
        <v>3</v>
      </c>
      <c r="P19" s="1038">
        <v>0</v>
      </c>
    </row>
    <row r="20" spans="1:16" ht="15" customHeight="1">
      <c r="A20" s="592" t="s">
        <v>53</v>
      </c>
      <c r="B20" s="596"/>
      <c r="C20" s="1069">
        <v>1560</v>
      </c>
      <c r="D20" s="5">
        <v>1389</v>
      </c>
      <c r="E20" s="396">
        <v>171</v>
      </c>
      <c r="F20" s="5">
        <v>348</v>
      </c>
      <c r="G20" s="5">
        <v>573</v>
      </c>
      <c r="H20" s="396">
        <v>639</v>
      </c>
      <c r="I20" s="396">
        <v>552</v>
      </c>
      <c r="J20" s="396">
        <v>75</v>
      </c>
      <c r="K20" s="1069">
        <v>588</v>
      </c>
      <c r="L20" s="5">
        <v>516</v>
      </c>
      <c r="M20" s="396">
        <v>72</v>
      </c>
      <c r="N20" s="1075">
        <v>528</v>
      </c>
      <c r="O20" s="1074">
        <v>462</v>
      </c>
      <c r="P20" s="1036">
        <v>66</v>
      </c>
    </row>
    <row r="21" spans="1:16" ht="15" customHeight="1">
      <c r="A21" s="592" t="s">
        <v>50</v>
      </c>
      <c r="B21" s="595"/>
      <c r="C21" s="1069">
        <v>462</v>
      </c>
      <c r="D21" s="5">
        <v>390</v>
      </c>
      <c r="E21" s="396">
        <v>75</v>
      </c>
      <c r="F21" s="5">
        <v>108</v>
      </c>
      <c r="G21" s="5">
        <v>174</v>
      </c>
      <c r="H21" s="396">
        <v>180</v>
      </c>
      <c r="I21" s="396">
        <v>174</v>
      </c>
      <c r="J21" s="396">
        <v>60</v>
      </c>
      <c r="K21" s="1069">
        <v>168</v>
      </c>
      <c r="L21" s="5">
        <v>147</v>
      </c>
      <c r="M21" s="396">
        <v>18</v>
      </c>
      <c r="N21" s="1075">
        <v>132</v>
      </c>
      <c r="O21" s="1074">
        <v>117</v>
      </c>
      <c r="P21" s="1036">
        <v>12</v>
      </c>
    </row>
    <row r="22" spans="1:16" ht="15" customHeight="1">
      <c r="A22" s="592" t="s">
        <v>54</v>
      </c>
      <c r="B22" s="595"/>
      <c r="C22" s="1069">
        <v>312</v>
      </c>
      <c r="D22" s="5">
        <v>270</v>
      </c>
      <c r="E22" s="396">
        <v>42</v>
      </c>
      <c r="F22" s="5">
        <v>84</v>
      </c>
      <c r="G22" s="5">
        <v>108</v>
      </c>
      <c r="H22" s="396">
        <v>120</v>
      </c>
      <c r="I22" s="396">
        <v>129</v>
      </c>
      <c r="J22" s="396">
        <v>24</v>
      </c>
      <c r="K22" s="1069">
        <v>108</v>
      </c>
      <c r="L22" s="5">
        <v>99</v>
      </c>
      <c r="M22" s="396">
        <v>12</v>
      </c>
      <c r="N22" s="1075">
        <v>96</v>
      </c>
      <c r="O22" s="1074">
        <v>84</v>
      </c>
      <c r="P22" s="1036">
        <v>12</v>
      </c>
    </row>
    <row r="23" spans="1:16" ht="15" customHeight="1">
      <c r="A23" s="592" t="s">
        <v>44</v>
      </c>
      <c r="B23" s="595"/>
      <c r="C23" s="1069">
        <v>522</v>
      </c>
      <c r="D23" s="5">
        <v>429</v>
      </c>
      <c r="E23" s="396">
        <v>93</v>
      </c>
      <c r="F23" s="5">
        <v>9</v>
      </c>
      <c r="G23" s="5">
        <v>252</v>
      </c>
      <c r="H23" s="396">
        <v>258</v>
      </c>
      <c r="I23" s="396">
        <v>276</v>
      </c>
      <c r="J23" s="396">
        <v>33</v>
      </c>
      <c r="K23" s="1069">
        <v>210</v>
      </c>
      <c r="L23" s="5">
        <v>177</v>
      </c>
      <c r="M23" s="396">
        <v>33</v>
      </c>
      <c r="N23" s="1075">
        <v>207</v>
      </c>
      <c r="O23" s="1074">
        <v>177</v>
      </c>
      <c r="P23" s="1036">
        <v>33</v>
      </c>
    </row>
    <row r="24" spans="1:16" ht="15" customHeight="1">
      <c r="A24" s="592" t="s">
        <v>45</v>
      </c>
      <c r="B24" s="595"/>
      <c r="C24" s="1069">
        <v>1458</v>
      </c>
      <c r="D24" s="5">
        <v>1275</v>
      </c>
      <c r="E24" s="396">
        <v>183</v>
      </c>
      <c r="F24" s="5">
        <v>84</v>
      </c>
      <c r="G24" s="5">
        <v>663</v>
      </c>
      <c r="H24" s="396">
        <v>711</v>
      </c>
      <c r="I24" s="396">
        <v>780</v>
      </c>
      <c r="J24" s="396">
        <v>54</v>
      </c>
      <c r="K24" s="1069">
        <v>744</v>
      </c>
      <c r="L24" s="5">
        <v>678</v>
      </c>
      <c r="M24" s="396">
        <v>66</v>
      </c>
      <c r="N24" s="1075">
        <v>696</v>
      </c>
      <c r="O24" s="1074">
        <v>633</v>
      </c>
      <c r="P24" s="1036">
        <v>63</v>
      </c>
    </row>
    <row r="25" spans="1:16" s="7" customFormat="1" ht="15" customHeight="1">
      <c r="A25" s="592" t="s">
        <v>55</v>
      </c>
      <c r="B25" s="597"/>
      <c r="C25" s="1069">
        <v>36</v>
      </c>
      <c r="D25" s="5">
        <v>27</v>
      </c>
      <c r="E25" s="396">
        <v>6</v>
      </c>
      <c r="F25" s="5">
        <v>6</v>
      </c>
      <c r="G25" s="5">
        <v>12</v>
      </c>
      <c r="H25" s="396">
        <v>15</v>
      </c>
      <c r="I25" s="396">
        <v>15</v>
      </c>
      <c r="J25" s="396">
        <v>6</v>
      </c>
      <c r="K25" s="1069">
        <v>9</v>
      </c>
      <c r="L25" s="5">
        <v>9</v>
      </c>
      <c r="M25" s="396">
        <v>0</v>
      </c>
      <c r="N25" s="1075">
        <v>9</v>
      </c>
      <c r="O25" s="5">
        <v>6</v>
      </c>
      <c r="P25" s="1036">
        <v>0</v>
      </c>
    </row>
    <row r="26" spans="1:16" ht="15" customHeight="1">
      <c r="A26" s="592" t="s">
        <v>46</v>
      </c>
      <c r="B26" s="595"/>
      <c r="C26" s="1070">
        <v>0</v>
      </c>
      <c r="D26" s="5">
        <v>0</v>
      </c>
      <c r="E26" s="396">
        <v>0</v>
      </c>
      <c r="F26" s="5">
        <v>0</v>
      </c>
      <c r="G26" s="5">
        <v>0</v>
      </c>
      <c r="H26" s="396">
        <v>0</v>
      </c>
      <c r="I26" s="396">
        <v>0</v>
      </c>
      <c r="J26" s="396">
        <v>0</v>
      </c>
      <c r="K26" s="1069">
        <v>0</v>
      </c>
      <c r="L26" s="5">
        <v>0</v>
      </c>
      <c r="M26" s="396">
        <v>0</v>
      </c>
      <c r="N26" s="1069">
        <v>0</v>
      </c>
      <c r="O26" s="5">
        <v>0</v>
      </c>
      <c r="P26" s="1036">
        <v>0</v>
      </c>
    </row>
    <row r="27" spans="1:16" s="70" customFormat="1" ht="15" customHeight="1">
      <c r="A27" s="592" t="s">
        <v>47</v>
      </c>
      <c r="B27" s="595"/>
      <c r="C27" s="1069">
        <v>405</v>
      </c>
      <c r="D27" s="5">
        <v>360</v>
      </c>
      <c r="E27" s="396">
        <v>45</v>
      </c>
      <c r="F27" s="62">
        <v>144</v>
      </c>
      <c r="G27" s="62">
        <v>126</v>
      </c>
      <c r="H27" s="258">
        <v>135</v>
      </c>
      <c r="I27" s="258">
        <v>171</v>
      </c>
      <c r="J27" s="258">
        <v>42</v>
      </c>
      <c r="K27" s="1072">
        <v>132</v>
      </c>
      <c r="L27" s="303">
        <v>123</v>
      </c>
      <c r="M27" s="732">
        <v>9</v>
      </c>
      <c r="N27" s="1070">
        <v>105</v>
      </c>
      <c r="O27" s="1074">
        <v>96</v>
      </c>
      <c r="P27" s="1036">
        <v>6</v>
      </c>
    </row>
    <row r="28" spans="1:16" ht="15" customHeight="1">
      <c r="A28" s="592" t="s">
        <v>51</v>
      </c>
      <c r="B28" s="595"/>
      <c r="C28" s="1069">
        <v>441</v>
      </c>
      <c r="D28" s="5">
        <v>399</v>
      </c>
      <c r="E28" s="396">
        <v>42</v>
      </c>
      <c r="F28" s="5">
        <v>129</v>
      </c>
      <c r="G28" s="5">
        <v>171</v>
      </c>
      <c r="H28" s="396">
        <v>144</v>
      </c>
      <c r="I28" s="1037">
        <v>201</v>
      </c>
      <c r="J28" s="1037">
        <v>69</v>
      </c>
      <c r="K28" s="1072">
        <v>156</v>
      </c>
      <c r="L28" s="303">
        <v>147</v>
      </c>
      <c r="M28" s="732">
        <v>9</v>
      </c>
      <c r="N28" s="1070">
        <v>117</v>
      </c>
      <c r="O28" s="1074">
        <v>111</v>
      </c>
      <c r="P28" s="1036">
        <v>6</v>
      </c>
    </row>
    <row r="29" spans="1:16" s="70" customFormat="1" ht="15" customHeight="1">
      <c r="A29" s="592" t="s">
        <v>56</v>
      </c>
      <c r="B29" s="595"/>
      <c r="C29" s="1069">
        <v>543</v>
      </c>
      <c r="D29" s="5">
        <v>465</v>
      </c>
      <c r="E29" s="396">
        <v>78</v>
      </c>
      <c r="F29" s="5">
        <v>180</v>
      </c>
      <c r="G29" s="5">
        <v>186</v>
      </c>
      <c r="H29" s="396">
        <v>180</v>
      </c>
      <c r="I29" s="1037">
        <v>240</v>
      </c>
      <c r="J29" s="1037">
        <v>18</v>
      </c>
      <c r="K29" s="1072">
        <v>165</v>
      </c>
      <c r="L29" s="303">
        <v>144</v>
      </c>
      <c r="M29" s="732">
        <v>21</v>
      </c>
      <c r="N29" s="1070">
        <v>153</v>
      </c>
      <c r="O29" s="1074">
        <v>135</v>
      </c>
      <c r="P29" s="1036">
        <v>21</v>
      </c>
    </row>
    <row r="30" spans="1:16" ht="15" customHeight="1">
      <c r="A30" s="592" t="s">
        <v>57</v>
      </c>
      <c r="B30" s="597"/>
      <c r="C30" s="1069">
        <v>393</v>
      </c>
      <c r="D30" s="5">
        <v>351</v>
      </c>
      <c r="E30" s="396">
        <v>42</v>
      </c>
      <c r="F30" s="5">
        <v>138</v>
      </c>
      <c r="G30" s="5">
        <v>129</v>
      </c>
      <c r="H30" s="396">
        <v>126</v>
      </c>
      <c r="I30" s="1037">
        <v>192</v>
      </c>
      <c r="J30" s="1037">
        <v>54</v>
      </c>
      <c r="K30" s="1072">
        <v>123</v>
      </c>
      <c r="L30" s="303">
        <v>114</v>
      </c>
      <c r="M30" s="732">
        <v>12</v>
      </c>
      <c r="N30" s="1070">
        <v>111</v>
      </c>
      <c r="O30" s="1074">
        <v>99</v>
      </c>
      <c r="P30" s="1036">
        <v>9</v>
      </c>
    </row>
    <row r="31" spans="1:16" s="70" customFormat="1" ht="15" customHeight="1">
      <c r="A31" s="592" t="s">
        <v>59</v>
      </c>
      <c r="B31" s="597"/>
      <c r="C31" s="1069">
        <v>465</v>
      </c>
      <c r="D31" s="5">
        <v>420</v>
      </c>
      <c r="E31" s="396">
        <v>48</v>
      </c>
      <c r="F31" s="5">
        <v>165</v>
      </c>
      <c r="G31" s="5">
        <v>156</v>
      </c>
      <c r="H31" s="396">
        <v>147</v>
      </c>
      <c r="I31" s="1037">
        <v>195</v>
      </c>
      <c r="J31" s="1037">
        <v>45</v>
      </c>
      <c r="K31" s="1072">
        <v>126</v>
      </c>
      <c r="L31" s="303">
        <v>120</v>
      </c>
      <c r="M31" s="732">
        <v>6</v>
      </c>
      <c r="N31" s="1070">
        <v>99</v>
      </c>
      <c r="O31" s="1074">
        <v>93</v>
      </c>
      <c r="P31" s="1036">
        <v>6</v>
      </c>
    </row>
    <row r="32" spans="1:16" s="8" customFormat="1" ht="4.3499999999999996" customHeight="1">
      <c r="A32" s="329"/>
      <c r="B32" s="596"/>
      <c r="C32" s="398"/>
      <c r="D32" s="399"/>
      <c r="E32" s="400"/>
      <c r="F32" s="399"/>
      <c r="G32" s="399"/>
      <c r="H32" s="401"/>
      <c r="I32" s="397"/>
      <c r="J32" s="677"/>
      <c r="K32" s="1073"/>
      <c r="L32" s="399"/>
      <c r="M32" s="400"/>
      <c r="N32" s="1073"/>
      <c r="O32" s="399"/>
      <c r="P32" s="402"/>
    </row>
    <row r="33" spans="1:16" s="54" customFormat="1" ht="21" customHeight="1" thickBot="1">
      <c r="A33" s="593" t="s">
        <v>60</v>
      </c>
      <c r="B33" s="598"/>
      <c r="C33" s="1068">
        <v>9453</v>
      </c>
      <c r="D33" s="580">
        <v>8232</v>
      </c>
      <c r="E33" s="1065">
        <v>1224</v>
      </c>
      <c r="F33" s="580">
        <v>1800</v>
      </c>
      <c r="G33" s="580">
        <v>3744</v>
      </c>
      <c r="H33" s="1065">
        <v>3909</v>
      </c>
      <c r="I33" s="580">
        <v>4239</v>
      </c>
      <c r="J33" s="1066">
        <v>717</v>
      </c>
      <c r="K33" s="1068">
        <v>3579</v>
      </c>
      <c r="L33" s="580">
        <v>3150</v>
      </c>
      <c r="M33" s="1065">
        <v>426</v>
      </c>
      <c r="N33" s="1068">
        <v>3255</v>
      </c>
      <c r="O33" s="580">
        <v>2856</v>
      </c>
      <c r="P33" s="1039">
        <v>399</v>
      </c>
    </row>
    <row r="34" spans="1:16" s="54" customFormat="1" ht="3.6" customHeight="1">
      <c r="A34" s="122"/>
      <c r="B34" s="122"/>
      <c r="C34" s="265"/>
      <c r="D34" s="265"/>
      <c r="E34" s="265"/>
      <c r="F34" s="68"/>
      <c r="G34" s="68"/>
      <c r="H34" s="68"/>
      <c r="I34" s="68"/>
      <c r="J34" s="68"/>
      <c r="K34" s="265"/>
      <c r="L34" s="265"/>
      <c r="M34" s="265"/>
      <c r="N34" s="530"/>
      <c r="O34" s="530"/>
      <c r="P34" s="530"/>
    </row>
    <row r="35" spans="1:16" s="82" customFormat="1" ht="11.25" customHeight="1">
      <c r="A35" s="70" t="s">
        <v>299</v>
      </c>
      <c r="B35" s="70"/>
      <c r="C35" s="71"/>
      <c r="D35" s="71"/>
      <c r="E35" s="71"/>
      <c r="F35" s="71"/>
      <c r="G35" s="71"/>
      <c r="H35" s="71"/>
      <c r="I35" s="71"/>
      <c r="J35" s="71"/>
      <c r="K35" s="71"/>
      <c r="L35" s="71"/>
      <c r="M35" s="71"/>
      <c r="N35" s="71"/>
      <c r="O35" s="71"/>
      <c r="P35" s="71"/>
    </row>
    <row r="36" spans="1:16">
      <c r="C36" s="5"/>
      <c r="D36" s="8"/>
      <c r="E36" s="9"/>
      <c r="F36" s="62"/>
      <c r="G36" s="62"/>
      <c r="H36" s="62"/>
      <c r="I36" s="5"/>
      <c r="J36" s="8"/>
      <c r="K36" s="8"/>
      <c r="L36" s="8"/>
      <c r="M36" s="8"/>
      <c r="N36" s="9"/>
      <c r="O36" s="9"/>
      <c r="P36" s="9"/>
    </row>
    <row r="37" spans="1:16">
      <c r="D37" s="665"/>
    </row>
    <row r="38" spans="1:16" ht="12" thickBot="1">
      <c r="A38" s="593" t="s">
        <v>60</v>
      </c>
      <c r="B38" s="598"/>
      <c r="C38" s="1068">
        <v>9450</v>
      </c>
      <c r="D38" s="580">
        <v>8226</v>
      </c>
      <c r="E38" s="1065">
        <v>1224</v>
      </c>
      <c r="F38" s="580">
        <v>1803</v>
      </c>
      <c r="G38" s="580">
        <v>3741</v>
      </c>
      <c r="H38" s="1065">
        <v>3909</v>
      </c>
      <c r="I38" s="580">
        <v>4242</v>
      </c>
      <c r="J38" s="1066">
        <v>711</v>
      </c>
      <c r="K38" s="1068">
        <v>3576</v>
      </c>
      <c r="L38" s="580">
        <v>3156</v>
      </c>
      <c r="M38" s="1065">
        <v>426</v>
      </c>
      <c r="N38" s="1068">
        <v>3255</v>
      </c>
      <c r="O38" s="580">
        <v>2853</v>
      </c>
      <c r="P38" s="1039">
        <v>396</v>
      </c>
    </row>
    <row r="39" spans="1:16" ht="12" thickBot="1">
      <c r="A39" s="593" t="s">
        <v>386</v>
      </c>
      <c r="B39" s="598"/>
      <c r="C39" s="1292">
        <f>C33-C38</f>
        <v>3</v>
      </c>
      <c r="D39" s="1293">
        <f t="shared" ref="D39:P39" si="0">D33-D38</f>
        <v>6</v>
      </c>
      <c r="E39" s="1302">
        <v>0</v>
      </c>
      <c r="F39" s="1295">
        <f t="shared" si="0"/>
        <v>-3</v>
      </c>
      <c r="G39" s="1293">
        <f t="shared" si="0"/>
        <v>3</v>
      </c>
      <c r="H39" s="1302">
        <f t="shared" si="0"/>
        <v>0</v>
      </c>
      <c r="I39" s="1295">
        <f t="shared" si="0"/>
        <v>-3</v>
      </c>
      <c r="J39" s="1334">
        <f t="shared" si="0"/>
        <v>6</v>
      </c>
      <c r="K39" s="1292">
        <f t="shared" si="0"/>
        <v>3</v>
      </c>
      <c r="L39" s="1295">
        <f t="shared" si="0"/>
        <v>-6</v>
      </c>
      <c r="M39" s="1302">
        <f t="shared" si="0"/>
        <v>0</v>
      </c>
      <c r="N39" s="1303">
        <f t="shared" si="0"/>
        <v>0</v>
      </c>
      <c r="O39" s="1293">
        <f t="shared" si="0"/>
        <v>3</v>
      </c>
      <c r="P39" s="1341">
        <f t="shared" si="0"/>
        <v>3</v>
      </c>
    </row>
    <row r="50" spans="1:13" s="53" customFormat="1">
      <c r="A50" s="6"/>
      <c r="B50" s="6"/>
      <c r="C50" s="6"/>
      <c r="D50" s="6"/>
      <c r="F50" s="6"/>
      <c r="G50" s="6"/>
      <c r="H50" s="6"/>
      <c r="I50" s="6"/>
      <c r="J50" s="6"/>
      <c r="K50" s="6"/>
      <c r="L50" s="6"/>
      <c r="M50" s="6"/>
    </row>
    <row r="55" spans="1:13">
      <c r="A55" s="988"/>
      <c r="B55" s="988"/>
    </row>
  </sheetData>
  <mergeCells count="8">
    <mergeCell ref="A8:B14"/>
    <mergeCell ref="A6:P6"/>
    <mergeCell ref="A4:P4"/>
    <mergeCell ref="A5:P5"/>
    <mergeCell ref="K8:P8"/>
    <mergeCell ref="C8:H9"/>
    <mergeCell ref="F10:H11"/>
    <mergeCell ref="N9:P10"/>
  </mergeCells>
  <printOptions horizontalCentered="1"/>
  <pageMargins left="0.27559055118110237" right="0.19685039370078741" top="0.35433070866141736" bottom="0.39370078740157483" header="0.19685039370078741" footer="0.23622047244094491"/>
  <pageSetup paperSize="9" orientation="landscape" r:id="rId1"/>
  <headerFooter alignWithMargins="0">
    <oddHeader xml:space="preserve">&amp;C&amp;"Arial,Standard"&amp;9- 1 - &amp;R&amp;8&amp;D&amp;11
</oddHeader>
    <oddFooter>&amp;R&amp;10
&amp;12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499984740745262"/>
  </sheetPr>
  <dimension ref="A1:AC42"/>
  <sheetViews>
    <sheetView zoomScaleNormal="100" zoomScaleSheetLayoutView="100" workbookViewId="0">
      <selection activeCell="O37" sqref="O37"/>
    </sheetView>
  </sheetViews>
  <sheetFormatPr baseColWidth="10" defaultColWidth="11.42578125" defaultRowHeight="15"/>
  <cols>
    <col min="1" max="1" width="5.5703125" style="270" customWidth="1"/>
    <col min="2" max="2" width="0.85546875" style="270" customWidth="1"/>
    <col min="3" max="4" width="7.5703125" style="270" customWidth="1"/>
    <col min="5" max="5" width="7.5703125" style="275" customWidth="1"/>
    <col min="6" max="8" width="7.5703125" style="270" customWidth="1"/>
    <col min="9" max="10" width="10.5703125" style="270" customWidth="1"/>
    <col min="11" max="12" width="7.5703125" style="270" customWidth="1"/>
    <col min="13" max="13" width="7.5703125" style="275" customWidth="1"/>
    <col min="14" max="16" width="7.5703125" style="270" customWidth="1"/>
    <col min="17" max="16384" width="11.42578125" style="270"/>
  </cols>
  <sheetData>
    <row r="1" spans="1:29" ht="13.35" customHeight="1"/>
    <row r="2" spans="1:29" ht="13.35" customHeight="1">
      <c r="A2" s="728" t="s">
        <v>215</v>
      </c>
      <c r="B2" s="863"/>
      <c r="C2" s="863"/>
      <c r="D2" s="513"/>
      <c r="E2" s="513"/>
      <c r="F2" s="513"/>
      <c r="G2" s="513"/>
      <c r="H2" s="513"/>
      <c r="I2" s="909"/>
      <c r="J2" s="909"/>
      <c r="K2" s="909"/>
      <c r="L2" s="909"/>
      <c r="M2" s="909"/>
      <c r="N2" s="534"/>
    </row>
    <row r="3" spans="1:29" ht="11.1" customHeight="1">
      <c r="A3" s="996"/>
      <c r="B3" s="996"/>
      <c r="C3" s="910"/>
      <c r="D3" s="910"/>
      <c r="E3" s="911"/>
      <c r="F3" s="910"/>
      <c r="G3" s="910"/>
      <c r="H3" s="910"/>
      <c r="I3" s="910"/>
      <c r="K3" s="910"/>
      <c r="L3" s="910"/>
      <c r="M3" s="911" t="s">
        <v>40</v>
      </c>
      <c r="N3" s="910"/>
    </row>
    <row r="4" spans="1:29" ht="14.1" customHeight="1">
      <c r="A4" s="2052" t="s">
        <v>198</v>
      </c>
      <c r="B4" s="2052"/>
      <c r="C4" s="1979"/>
      <c r="D4" s="1979"/>
      <c r="E4" s="1979"/>
      <c r="F4" s="1979"/>
      <c r="G4" s="1979"/>
      <c r="H4" s="1979"/>
      <c r="I4" s="1979"/>
      <c r="J4" s="1979"/>
      <c r="K4" s="1979"/>
      <c r="L4" s="1979"/>
      <c r="M4" s="1979"/>
      <c r="N4" s="1979"/>
      <c r="O4" s="1979"/>
      <c r="P4" s="1979"/>
    </row>
    <row r="5" spans="1:29" ht="11.1" customHeight="1" thickBot="1">
      <c r="A5" s="910"/>
      <c r="B5" s="910"/>
      <c r="C5" s="910"/>
      <c r="D5" s="910"/>
      <c r="E5" s="911"/>
      <c r="F5" s="910"/>
      <c r="G5" s="910"/>
      <c r="H5" s="910"/>
      <c r="I5" s="910"/>
      <c r="J5" s="910"/>
      <c r="K5" s="910"/>
      <c r="L5" s="910"/>
      <c r="M5" s="911"/>
      <c r="N5" s="910"/>
    </row>
    <row r="6" spans="1:29" ht="24.95" customHeight="1">
      <c r="A6" s="2055" t="s">
        <v>43</v>
      </c>
      <c r="B6" s="1984"/>
      <c r="C6" s="2056" t="s">
        <v>360</v>
      </c>
      <c r="D6" s="2056" t="s">
        <v>116</v>
      </c>
      <c r="E6" s="2056" t="s">
        <v>116</v>
      </c>
      <c r="F6" s="2056" t="s">
        <v>116</v>
      </c>
      <c r="G6" s="2056" t="s">
        <v>116</v>
      </c>
      <c r="H6" s="2057" t="s">
        <v>116</v>
      </c>
      <c r="I6" s="875" t="s">
        <v>0</v>
      </c>
      <c r="J6" s="875" t="s">
        <v>1</v>
      </c>
      <c r="K6" s="2063" t="s">
        <v>212</v>
      </c>
      <c r="L6" s="2053"/>
      <c r="M6" s="2053"/>
      <c r="N6" s="2053"/>
      <c r="O6" s="2053"/>
      <c r="P6" s="2054"/>
    </row>
    <row r="7" spans="1:29" s="271" customFormat="1" ht="12" customHeight="1">
      <c r="A7" s="1985"/>
      <c r="B7" s="1986"/>
      <c r="C7" s="2058"/>
      <c r="D7" s="2058"/>
      <c r="E7" s="2058"/>
      <c r="F7" s="2058"/>
      <c r="G7" s="2058"/>
      <c r="H7" s="2059"/>
      <c r="I7" s="876" t="s">
        <v>3</v>
      </c>
      <c r="J7" s="876" t="s">
        <v>4</v>
      </c>
      <c r="K7" s="877"/>
      <c r="L7" s="876"/>
      <c r="M7" s="878"/>
      <c r="N7" s="2060" t="s">
        <v>314</v>
      </c>
      <c r="O7" s="2061"/>
      <c r="P7" s="2062"/>
    </row>
    <row r="8" spans="1:29" s="271" customFormat="1" ht="12" customHeight="1">
      <c r="A8" s="1985"/>
      <c r="B8" s="1986"/>
      <c r="C8" s="879"/>
      <c r="D8" s="880"/>
      <c r="E8" s="880"/>
      <c r="F8" s="21" t="s">
        <v>167</v>
      </c>
      <c r="G8" s="881"/>
      <c r="H8" s="882"/>
      <c r="I8" s="876" t="s">
        <v>8</v>
      </c>
      <c r="J8" s="876" t="s">
        <v>8</v>
      </c>
      <c r="K8" s="883"/>
      <c r="L8" s="880"/>
      <c r="M8" s="884"/>
      <c r="N8" s="1974" t="s">
        <v>315</v>
      </c>
      <c r="O8" s="1975"/>
      <c r="P8" s="1977"/>
      <c r="Q8" s="515"/>
      <c r="R8" s="513"/>
      <c r="S8" s="513"/>
      <c r="T8" s="513"/>
      <c r="U8" s="513"/>
      <c r="V8" s="513"/>
      <c r="W8" s="513"/>
      <c r="X8" s="513"/>
      <c r="Y8" s="513"/>
      <c r="Z8" s="514"/>
      <c r="AA8" s="513"/>
      <c r="AB8" s="513"/>
      <c r="AC8" s="516" t="s">
        <v>111</v>
      </c>
    </row>
    <row r="9" spans="1:29" s="271" customFormat="1" ht="12" customHeight="1">
      <c r="A9" s="1985"/>
      <c r="B9" s="1986"/>
      <c r="C9" s="1125"/>
      <c r="D9" s="876"/>
      <c r="E9" s="876"/>
      <c r="F9" s="886" t="s">
        <v>297</v>
      </c>
      <c r="G9" s="887"/>
      <c r="H9" s="888"/>
      <c r="I9" s="876" t="s">
        <v>20</v>
      </c>
      <c r="J9" s="876" t="s">
        <v>20</v>
      </c>
      <c r="K9" s="883"/>
      <c r="L9" s="880"/>
      <c r="M9" s="889"/>
      <c r="N9" s="890"/>
      <c r="O9" s="891"/>
      <c r="P9" s="892"/>
    </row>
    <row r="10" spans="1:29" s="271" customFormat="1" ht="12" customHeight="1">
      <c r="A10" s="1985"/>
      <c r="B10" s="1986"/>
      <c r="C10" s="894" t="s">
        <v>19</v>
      </c>
      <c r="D10" s="876" t="s">
        <v>17</v>
      </c>
      <c r="E10" s="876" t="s">
        <v>18</v>
      </c>
      <c r="F10" s="893"/>
      <c r="G10" s="893"/>
      <c r="H10" s="893"/>
      <c r="I10" s="876" t="s">
        <v>33</v>
      </c>
      <c r="J10" s="876" t="s">
        <v>33</v>
      </c>
      <c r="K10" s="894" t="s">
        <v>19</v>
      </c>
      <c r="L10" s="895" t="s">
        <v>17</v>
      </c>
      <c r="M10" s="896" t="s">
        <v>18</v>
      </c>
      <c r="N10" s="897" t="s">
        <v>19</v>
      </c>
      <c r="O10" s="898" t="s">
        <v>17</v>
      </c>
      <c r="P10" s="899" t="s">
        <v>18</v>
      </c>
    </row>
    <row r="11" spans="1:29" s="271" customFormat="1" ht="12" customHeight="1">
      <c r="A11" s="1985"/>
      <c r="B11" s="1986"/>
      <c r="C11" s="894" t="s">
        <v>29</v>
      </c>
      <c r="D11" s="1126" t="s">
        <v>28</v>
      </c>
      <c r="E11" s="880" t="s">
        <v>28</v>
      </c>
      <c r="F11" s="900" t="s">
        <v>30</v>
      </c>
      <c r="G11" s="900" t="s">
        <v>31</v>
      </c>
      <c r="H11" s="901" t="s">
        <v>32</v>
      </c>
      <c r="I11" s="876" t="s">
        <v>39</v>
      </c>
      <c r="J11" s="876" t="s">
        <v>39</v>
      </c>
      <c r="K11" s="894" t="s">
        <v>29</v>
      </c>
      <c r="L11" s="895" t="s">
        <v>28</v>
      </c>
      <c r="M11" s="896" t="s">
        <v>34</v>
      </c>
      <c r="N11" s="897" t="s">
        <v>29</v>
      </c>
      <c r="O11" s="898" t="s">
        <v>28</v>
      </c>
      <c r="P11" s="899" t="s">
        <v>34</v>
      </c>
    </row>
    <row r="12" spans="1:29" s="271" customFormat="1" ht="11.1" customHeight="1">
      <c r="A12" s="1987"/>
      <c r="B12" s="1988"/>
      <c r="C12" s="885"/>
      <c r="D12" s="876"/>
      <c r="E12" s="876"/>
      <c r="F12" s="902"/>
      <c r="G12" s="902"/>
      <c r="H12" s="903"/>
      <c r="I12" s="876"/>
      <c r="J12" s="876"/>
      <c r="K12" s="904"/>
      <c r="L12" s="905"/>
      <c r="M12" s="886"/>
      <c r="N12" s="906"/>
      <c r="O12" s="905"/>
      <c r="P12" s="907"/>
    </row>
    <row r="13" spans="1:29" ht="15" customHeight="1">
      <c r="A13" s="592" t="s">
        <v>58</v>
      </c>
      <c r="B13" s="601"/>
      <c r="C13" s="1078">
        <v>60</v>
      </c>
      <c r="D13" s="1076">
        <v>42</v>
      </c>
      <c r="E13" s="1077">
        <v>21</v>
      </c>
      <c r="F13" s="1076">
        <v>24</v>
      </c>
      <c r="G13" s="1076">
        <v>18</v>
      </c>
      <c r="H13" s="1077">
        <v>21</v>
      </c>
      <c r="I13" s="1067">
        <v>24</v>
      </c>
      <c r="J13" s="1067">
        <v>3</v>
      </c>
      <c r="K13" s="1080">
        <v>18</v>
      </c>
      <c r="L13" s="1076">
        <v>15</v>
      </c>
      <c r="M13" s="1077">
        <v>3</v>
      </c>
      <c r="N13" s="1080">
        <v>18</v>
      </c>
      <c r="O13" s="1076">
        <v>15</v>
      </c>
      <c r="P13" s="1084">
        <v>3</v>
      </c>
    </row>
    <row r="14" spans="1:29" ht="15" customHeight="1">
      <c r="A14" s="592" t="s">
        <v>49</v>
      </c>
      <c r="B14" s="595"/>
      <c r="C14" s="1069">
        <v>0</v>
      </c>
      <c r="D14" s="5">
        <v>0</v>
      </c>
      <c r="E14" s="396">
        <v>0</v>
      </c>
      <c r="F14" s="5">
        <v>0</v>
      </c>
      <c r="G14" s="5">
        <v>0</v>
      </c>
      <c r="H14" s="396">
        <v>0</v>
      </c>
      <c r="I14" s="396">
        <v>0</v>
      </c>
      <c r="J14" s="396">
        <v>0</v>
      </c>
      <c r="K14" s="1081">
        <v>0</v>
      </c>
      <c r="L14" s="5">
        <v>0</v>
      </c>
      <c r="M14" s="396">
        <v>0</v>
      </c>
      <c r="N14" s="1081">
        <v>0</v>
      </c>
      <c r="O14" s="5">
        <v>0</v>
      </c>
      <c r="P14" s="1038">
        <v>0</v>
      </c>
    </row>
    <row r="15" spans="1:29" ht="15" customHeight="1">
      <c r="A15" s="592" t="s">
        <v>52</v>
      </c>
      <c r="B15" s="595"/>
      <c r="C15" s="1069">
        <v>99</v>
      </c>
      <c r="D15" s="5">
        <v>75</v>
      </c>
      <c r="E15" s="396">
        <v>24</v>
      </c>
      <c r="F15" s="5">
        <v>36</v>
      </c>
      <c r="G15" s="5">
        <v>33</v>
      </c>
      <c r="H15" s="396">
        <v>30</v>
      </c>
      <c r="I15" s="396">
        <v>39</v>
      </c>
      <c r="J15" s="396">
        <v>3</v>
      </c>
      <c r="K15" s="1081">
        <v>30</v>
      </c>
      <c r="L15" s="5">
        <v>24</v>
      </c>
      <c r="M15" s="396">
        <v>6</v>
      </c>
      <c r="N15" s="1081">
        <v>30</v>
      </c>
      <c r="O15" s="5">
        <v>24</v>
      </c>
      <c r="P15" s="1038">
        <v>6</v>
      </c>
    </row>
    <row r="16" spans="1:29" ht="15" customHeight="1">
      <c r="A16" s="592" t="s">
        <v>48</v>
      </c>
      <c r="B16" s="595"/>
      <c r="C16" s="1069">
        <v>0</v>
      </c>
      <c r="D16" s="5">
        <v>0</v>
      </c>
      <c r="E16" s="396">
        <v>0</v>
      </c>
      <c r="F16" s="5">
        <v>0</v>
      </c>
      <c r="G16" s="5">
        <v>0</v>
      </c>
      <c r="H16" s="396">
        <v>0</v>
      </c>
      <c r="I16" s="396">
        <v>0</v>
      </c>
      <c r="J16" s="396">
        <v>0</v>
      </c>
      <c r="K16" s="1081">
        <v>0</v>
      </c>
      <c r="L16" s="5">
        <v>0</v>
      </c>
      <c r="M16" s="396">
        <v>0</v>
      </c>
      <c r="N16" s="1081">
        <v>0</v>
      </c>
      <c r="O16" s="5">
        <v>0</v>
      </c>
      <c r="P16" s="1038">
        <v>0</v>
      </c>
    </row>
    <row r="17" spans="1:16" ht="15" customHeight="1">
      <c r="A17" s="592" t="s">
        <v>53</v>
      </c>
      <c r="B17" s="543"/>
      <c r="C17" s="1069">
        <v>42</v>
      </c>
      <c r="D17" s="5">
        <v>39</v>
      </c>
      <c r="E17" s="396">
        <v>3</v>
      </c>
      <c r="F17" s="5">
        <v>18</v>
      </c>
      <c r="G17" s="5">
        <v>15</v>
      </c>
      <c r="H17" s="396">
        <v>9</v>
      </c>
      <c r="I17" s="396">
        <v>18</v>
      </c>
      <c r="J17" s="396">
        <v>0</v>
      </c>
      <c r="K17" s="1081">
        <v>18</v>
      </c>
      <c r="L17" s="5">
        <v>15</v>
      </c>
      <c r="M17" s="396">
        <v>3</v>
      </c>
      <c r="N17" s="1081">
        <v>18</v>
      </c>
      <c r="O17" s="5">
        <v>15</v>
      </c>
      <c r="P17" s="1038">
        <v>3</v>
      </c>
    </row>
    <row r="18" spans="1:16" ht="15" customHeight="1">
      <c r="A18" s="592" t="s">
        <v>50</v>
      </c>
      <c r="B18" s="595"/>
      <c r="C18" s="1069">
        <v>6</v>
      </c>
      <c r="D18" s="5">
        <v>3</v>
      </c>
      <c r="E18" s="396">
        <v>3</v>
      </c>
      <c r="F18" s="5">
        <v>6</v>
      </c>
      <c r="G18" s="5">
        <v>0</v>
      </c>
      <c r="H18" s="396">
        <v>0</v>
      </c>
      <c r="I18" s="396">
        <v>6</v>
      </c>
      <c r="J18" s="396">
        <v>0</v>
      </c>
      <c r="K18" s="1081">
        <v>0</v>
      </c>
      <c r="L18" s="5">
        <v>0</v>
      </c>
      <c r="M18" s="396">
        <v>0</v>
      </c>
      <c r="N18" s="1081">
        <v>0</v>
      </c>
      <c r="O18" s="5">
        <v>0</v>
      </c>
      <c r="P18" s="1038">
        <v>0</v>
      </c>
    </row>
    <row r="19" spans="1:16" ht="15" customHeight="1">
      <c r="A19" s="592" t="s">
        <v>54</v>
      </c>
      <c r="B19" s="595"/>
      <c r="C19" s="1069">
        <v>12</v>
      </c>
      <c r="D19" s="5">
        <v>9</v>
      </c>
      <c r="E19" s="396">
        <v>0</v>
      </c>
      <c r="F19" s="5">
        <v>3</v>
      </c>
      <c r="G19" s="5">
        <v>3</v>
      </c>
      <c r="H19" s="396">
        <v>3</v>
      </c>
      <c r="I19" s="396">
        <v>3</v>
      </c>
      <c r="J19" s="396">
        <v>0</v>
      </c>
      <c r="K19" s="1081">
        <v>6</v>
      </c>
      <c r="L19" s="5">
        <v>3</v>
      </c>
      <c r="M19" s="396">
        <v>0</v>
      </c>
      <c r="N19" s="1081">
        <v>6</v>
      </c>
      <c r="O19" s="5">
        <v>3</v>
      </c>
      <c r="P19" s="1038">
        <v>0</v>
      </c>
    </row>
    <row r="20" spans="1:16" ht="15" customHeight="1">
      <c r="A20" s="592" t="s">
        <v>44</v>
      </c>
      <c r="B20" s="595"/>
      <c r="C20" s="1069">
        <v>48</v>
      </c>
      <c r="D20" s="5">
        <v>39</v>
      </c>
      <c r="E20" s="396">
        <v>9</v>
      </c>
      <c r="F20" s="5">
        <v>15</v>
      </c>
      <c r="G20" s="5">
        <v>12</v>
      </c>
      <c r="H20" s="396">
        <v>18</v>
      </c>
      <c r="I20" s="396">
        <v>15</v>
      </c>
      <c r="J20" s="396">
        <v>0</v>
      </c>
      <c r="K20" s="1081">
        <v>15</v>
      </c>
      <c r="L20" s="5">
        <v>12</v>
      </c>
      <c r="M20" s="396">
        <v>3</v>
      </c>
      <c r="N20" s="1081">
        <v>15</v>
      </c>
      <c r="O20" s="5">
        <v>9</v>
      </c>
      <c r="P20" s="1038">
        <v>3</v>
      </c>
    </row>
    <row r="21" spans="1:16" ht="15" customHeight="1">
      <c r="A21" s="592" t="s">
        <v>45</v>
      </c>
      <c r="B21" s="595"/>
      <c r="C21" s="1069">
        <v>333</v>
      </c>
      <c r="D21" s="5">
        <v>258</v>
      </c>
      <c r="E21" s="396">
        <v>75</v>
      </c>
      <c r="F21" s="5">
        <v>117</v>
      </c>
      <c r="G21" s="5">
        <v>120</v>
      </c>
      <c r="H21" s="396">
        <v>96</v>
      </c>
      <c r="I21" s="396">
        <v>120</v>
      </c>
      <c r="J21" s="396">
        <v>12</v>
      </c>
      <c r="K21" s="1081">
        <v>105</v>
      </c>
      <c r="L21" s="5">
        <v>75</v>
      </c>
      <c r="M21" s="396">
        <v>27</v>
      </c>
      <c r="N21" s="1081">
        <v>99</v>
      </c>
      <c r="O21" s="5">
        <v>72</v>
      </c>
      <c r="P21" s="1038">
        <v>27</v>
      </c>
    </row>
    <row r="22" spans="1:16" ht="15" customHeight="1">
      <c r="A22" s="592" t="s">
        <v>55</v>
      </c>
      <c r="B22" s="595"/>
      <c r="C22" s="1069">
        <v>0</v>
      </c>
      <c r="D22" s="5">
        <v>0</v>
      </c>
      <c r="E22" s="396">
        <v>0</v>
      </c>
      <c r="F22" s="5">
        <v>0</v>
      </c>
      <c r="G22" s="5">
        <v>0</v>
      </c>
      <c r="H22" s="396">
        <v>0</v>
      </c>
      <c r="I22" s="396">
        <v>0</v>
      </c>
      <c r="J22" s="396">
        <v>0</v>
      </c>
      <c r="K22" s="1081">
        <v>0</v>
      </c>
      <c r="L22" s="5">
        <v>0</v>
      </c>
      <c r="M22" s="396">
        <v>0</v>
      </c>
      <c r="N22" s="1081">
        <v>0</v>
      </c>
      <c r="O22" s="5">
        <v>0</v>
      </c>
      <c r="P22" s="1038">
        <v>0</v>
      </c>
    </row>
    <row r="23" spans="1:16" ht="15" customHeight="1">
      <c r="A23" s="592" t="s">
        <v>46</v>
      </c>
      <c r="B23" s="595"/>
      <c r="C23" s="1070">
        <v>0</v>
      </c>
      <c r="D23" s="1063">
        <v>0</v>
      </c>
      <c r="E23" s="1064">
        <v>0</v>
      </c>
      <c r="F23" s="1063">
        <v>0</v>
      </c>
      <c r="G23" s="1063">
        <v>0</v>
      </c>
      <c r="H23" s="1064">
        <v>0</v>
      </c>
      <c r="I23" s="396">
        <v>0</v>
      </c>
      <c r="J23" s="396">
        <v>0</v>
      </c>
      <c r="K23" s="1082">
        <v>0</v>
      </c>
      <c r="L23" s="1063">
        <v>0</v>
      </c>
      <c r="M23" s="1064">
        <v>0</v>
      </c>
      <c r="N23" s="1082">
        <v>0</v>
      </c>
      <c r="O23" s="1063">
        <v>0</v>
      </c>
      <c r="P23" s="1036">
        <v>0</v>
      </c>
    </row>
    <row r="24" spans="1:16" ht="15" customHeight="1">
      <c r="A24" s="592" t="s">
        <v>47</v>
      </c>
      <c r="B24" s="595"/>
      <c r="C24" s="1069">
        <v>18</v>
      </c>
      <c r="D24" s="5">
        <v>15</v>
      </c>
      <c r="E24" s="396">
        <v>3</v>
      </c>
      <c r="F24" s="5">
        <v>9</v>
      </c>
      <c r="G24" s="5">
        <v>3</v>
      </c>
      <c r="H24" s="396">
        <v>6</v>
      </c>
      <c r="I24" s="258">
        <v>9</v>
      </c>
      <c r="J24" s="258">
        <v>3</v>
      </c>
      <c r="K24" s="1081">
        <v>3</v>
      </c>
      <c r="L24" s="5">
        <v>3</v>
      </c>
      <c r="M24" s="396">
        <v>0</v>
      </c>
      <c r="N24" s="1081">
        <v>3</v>
      </c>
      <c r="O24" s="5">
        <v>3</v>
      </c>
      <c r="P24" s="1038">
        <v>0</v>
      </c>
    </row>
    <row r="25" spans="1:16" ht="15" customHeight="1">
      <c r="A25" s="592" t="s">
        <v>51</v>
      </c>
      <c r="B25" s="595"/>
      <c r="C25" s="1069">
        <v>33</v>
      </c>
      <c r="D25" s="5">
        <v>27</v>
      </c>
      <c r="E25" s="396">
        <v>3</v>
      </c>
      <c r="F25" s="5">
        <v>12</v>
      </c>
      <c r="G25" s="5">
        <v>12</v>
      </c>
      <c r="H25" s="396">
        <v>9</v>
      </c>
      <c r="I25" s="396">
        <v>12</v>
      </c>
      <c r="J25" s="396">
        <v>3</v>
      </c>
      <c r="K25" s="1081">
        <v>15</v>
      </c>
      <c r="L25" s="5">
        <v>15</v>
      </c>
      <c r="M25" s="396">
        <v>0</v>
      </c>
      <c r="N25" s="1081">
        <v>15</v>
      </c>
      <c r="O25" s="5">
        <v>12</v>
      </c>
      <c r="P25" s="1038">
        <v>0</v>
      </c>
    </row>
    <row r="26" spans="1:16" ht="15" customHeight="1">
      <c r="A26" s="592" t="s">
        <v>56</v>
      </c>
      <c r="B26" s="595"/>
      <c r="C26" s="1069">
        <v>57</v>
      </c>
      <c r="D26" s="5">
        <v>42</v>
      </c>
      <c r="E26" s="396">
        <v>15</v>
      </c>
      <c r="F26" s="5">
        <v>24</v>
      </c>
      <c r="G26" s="5">
        <v>21</v>
      </c>
      <c r="H26" s="396">
        <v>12</v>
      </c>
      <c r="I26" s="396">
        <v>24</v>
      </c>
      <c r="J26" s="396">
        <v>0</v>
      </c>
      <c r="K26" s="1081">
        <v>12</v>
      </c>
      <c r="L26" s="5">
        <v>9</v>
      </c>
      <c r="M26" s="396">
        <v>3</v>
      </c>
      <c r="N26" s="1081">
        <v>12</v>
      </c>
      <c r="O26" s="5">
        <v>9</v>
      </c>
      <c r="P26" s="1038">
        <v>3</v>
      </c>
    </row>
    <row r="27" spans="1:16" s="271" customFormat="1" ht="15" customHeight="1">
      <c r="A27" s="592" t="s">
        <v>57</v>
      </c>
      <c r="B27" s="595"/>
      <c r="C27" s="1069">
        <v>27</v>
      </c>
      <c r="D27" s="5">
        <v>18</v>
      </c>
      <c r="E27" s="396">
        <v>9</v>
      </c>
      <c r="F27" s="5">
        <v>9</v>
      </c>
      <c r="G27" s="5">
        <v>6</v>
      </c>
      <c r="H27" s="396">
        <v>15</v>
      </c>
      <c r="I27" s="396">
        <v>6</v>
      </c>
      <c r="J27" s="396">
        <v>0</v>
      </c>
      <c r="K27" s="1081">
        <v>3</v>
      </c>
      <c r="L27" s="5">
        <v>3</v>
      </c>
      <c r="M27" s="396">
        <v>0</v>
      </c>
      <c r="N27" s="1081">
        <v>3</v>
      </c>
      <c r="O27" s="5">
        <v>3</v>
      </c>
      <c r="P27" s="1038">
        <v>0</v>
      </c>
    </row>
    <row r="28" spans="1:16" s="272" customFormat="1" ht="15" customHeight="1">
      <c r="A28" s="592" t="s">
        <v>59</v>
      </c>
      <c r="B28" s="595"/>
      <c r="C28" s="1069">
        <v>15</v>
      </c>
      <c r="D28" s="5">
        <v>6</v>
      </c>
      <c r="E28" s="396">
        <v>6</v>
      </c>
      <c r="F28" s="5">
        <v>6</v>
      </c>
      <c r="G28" s="5">
        <v>6</v>
      </c>
      <c r="H28" s="396">
        <v>3</v>
      </c>
      <c r="I28" s="1037">
        <v>9</v>
      </c>
      <c r="J28" s="1037">
        <v>0</v>
      </c>
      <c r="K28" s="1081">
        <v>3</v>
      </c>
      <c r="L28" s="5">
        <v>3</v>
      </c>
      <c r="M28" s="396">
        <v>0</v>
      </c>
      <c r="N28" s="1081">
        <v>3</v>
      </c>
      <c r="O28" s="5">
        <v>3</v>
      </c>
      <c r="P28" s="1038">
        <v>0</v>
      </c>
    </row>
    <row r="29" spans="1:16" s="337" customFormat="1" ht="4.5" customHeight="1">
      <c r="A29" s="656"/>
      <c r="B29" s="595"/>
      <c r="C29" s="408"/>
      <c r="D29" s="406"/>
      <c r="E29" s="407"/>
      <c r="F29" s="406"/>
      <c r="G29" s="406"/>
      <c r="H29" s="407"/>
      <c r="I29" s="1079"/>
      <c r="J29" s="1079"/>
      <c r="K29" s="1083"/>
      <c r="L29" s="406"/>
      <c r="M29" s="407"/>
      <c r="N29" s="1083"/>
      <c r="O29" s="406"/>
      <c r="P29" s="1085"/>
    </row>
    <row r="30" spans="1:16" s="273" customFormat="1" ht="21" customHeight="1" thickBot="1">
      <c r="A30" s="593" t="s">
        <v>60</v>
      </c>
      <c r="B30" s="658"/>
      <c r="C30" s="1068">
        <v>747</v>
      </c>
      <c r="D30" s="580">
        <v>573</v>
      </c>
      <c r="E30" s="1065">
        <v>174</v>
      </c>
      <c r="F30" s="580">
        <v>279</v>
      </c>
      <c r="G30" s="580">
        <v>246</v>
      </c>
      <c r="H30" s="1065">
        <v>219</v>
      </c>
      <c r="I30" s="1066">
        <v>285</v>
      </c>
      <c r="J30" s="1066">
        <v>27</v>
      </c>
      <c r="K30" s="580">
        <v>228</v>
      </c>
      <c r="L30" s="580">
        <v>180</v>
      </c>
      <c r="M30" s="1065">
        <v>48</v>
      </c>
      <c r="N30" s="580">
        <v>216</v>
      </c>
      <c r="O30" s="580">
        <v>171</v>
      </c>
      <c r="P30" s="1039">
        <v>48</v>
      </c>
    </row>
    <row r="31" spans="1:16" s="274" customFormat="1" ht="3.6" customHeight="1">
      <c r="A31" s="71"/>
      <c r="B31" s="71"/>
      <c r="C31" s="68"/>
      <c r="D31" s="68"/>
      <c r="E31" s="68"/>
      <c r="F31" s="68"/>
      <c r="G31" s="68"/>
      <c r="H31" s="68"/>
      <c r="I31" s="265"/>
      <c r="J31" s="68"/>
      <c r="K31" s="68"/>
      <c r="L31" s="68"/>
      <c r="M31" s="68"/>
      <c r="N31" s="68"/>
      <c r="O31" s="54"/>
      <c r="P31" s="54"/>
    </row>
    <row r="32" spans="1:16" s="274" customFormat="1" ht="11.1" customHeight="1">
      <c r="A32" s="70" t="s">
        <v>299</v>
      </c>
      <c r="B32" s="70"/>
      <c r="C32" s="68"/>
      <c r="D32" s="68"/>
      <c r="E32" s="68"/>
      <c r="F32" s="68"/>
      <c r="G32" s="68"/>
      <c r="H32" s="68"/>
      <c r="I32" s="265"/>
      <c r="J32" s="68"/>
      <c r="K32" s="68"/>
      <c r="L32" s="68"/>
      <c r="M32" s="68"/>
      <c r="N32" s="68"/>
      <c r="O32" s="54"/>
      <c r="P32" s="54"/>
    </row>
    <row r="33" spans="1:16" s="274" customFormat="1" ht="24.95" customHeight="1">
      <c r="A33" s="73"/>
      <c r="B33" s="73"/>
      <c r="C33" s="68"/>
      <c r="D33" s="68"/>
      <c r="E33" s="68"/>
      <c r="F33" s="68"/>
      <c r="G33" s="68"/>
      <c r="H33" s="68"/>
      <c r="I33" s="265"/>
      <c r="J33" s="68"/>
      <c r="K33" s="68"/>
      <c r="L33" s="68"/>
      <c r="M33" s="68"/>
      <c r="N33" s="68"/>
      <c r="O33" s="54"/>
      <c r="P33" s="54"/>
    </row>
    <row r="34" spans="1:16" s="274" customFormat="1" ht="14.25">
      <c r="A34" s="73"/>
      <c r="B34" s="73"/>
      <c r="C34" s="68"/>
      <c r="D34" s="68"/>
      <c r="E34" s="68"/>
      <c r="F34" s="68"/>
      <c r="G34" s="68"/>
      <c r="H34" s="68"/>
      <c r="I34" s="265"/>
      <c r="J34" s="68"/>
      <c r="K34" s="68"/>
      <c r="L34" s="68"/>
      <c r="M34" s="68"/>
      <c r="N34" s="68"/>
      <c r="O34" s="54"/>
      <c r="P34" s="54"/>
    </row>
    <row r="35" spans="1:16" s="274" customFormat="1" ht="14.25">
      <c r="C35" s="68"/>
      <c r="D35" s="68"/>
      <c r="E35" s="68"/>
      <c r="F35" s="68"/>
      <c r="G35" s="68"/>
      <c r="H35" s="68"/>
      <c r="I35" s="265"/>
      <c r="J35" s="68"/>
      <c r="K35" s="68"/>
      <c r="L35" s="68"/>
      <c r="M35" s="68"/>
      <c r="N35" s="68"/>
      <c r="O35" s="54"/>
      <c r="P35" s="54"/>
    </row>
    <row r="36" spans="1:16" ht="15.75" thickBot="1">
      <c r="A36" s="593" t="s">
        <v>60</v>
      </c>
      <c r="B36" s="598"/>
      <c r="C36" s="1068">
        <v>750</v>
      </c>
      <c r="D36" s="580">
        <v>573</v>
      </c>
      <c r="E36" s="1065">
        <v>171</v>
      </c>
      <c r="F36" s="580">
        <v>279</v>
      </c>
      <c r="G36" s="580">
        <v>249</v>
      </c>
      <c r="H36" s="1065">
        <v>222</v>
      </c>
      <c r="I36" s="580">
        <v>285</v>
      </c>
      <c r="J36" s="1066">
        <v>24</v>
      </c>
      <c r="K36" s="1068">
        <v>228</v>
      </c>
      <c r="L36" s="580">
        <v>177</v>
      </c>
      <c r="M36" s="1065">
        <v>45</v>
      </c>
      <c r="N36" s="1068">
        <v>222</v>
      </c>
      <c r="O36" s="580">
        <v>168</v>
      </c>
      <c r="P36" s="1039">
        <v>45</v>
      </c>
    </row>
    <row r="37" spans="1:16" ht="15.75" thickBot="1">
      <c r="A37" s="593" t="s">
        <v>386</v>
      </c>
      <c r="B37" s="598"/>
      <c r="C37" s="1328">
        <f t="shared" ref="C37:P37" si="0">C30-C36</f>
        <v>-3</v>
      </c>
      <c r="D37" s="1305">
        <f t="shared" si="0"/>
        <v>0</v>
      </c>
      <c r="E37" s="1298">
        <f t="shared" si="0"/>
        <v>3</v>
      </c>
      <c r="F37" s="1323">
        <f t="shared" si="0"/>
        <v>0</v>
      </c>
      <c r="G37" s="1295">
        <f t="shared" si="0"/>
        <v>-3</v>
      </c>
      <c r="H37" s="1296">
        <f t="shared" si="0"/>
        <v>-3</v>
      </c>
      <c r="I37" s="1305">
        <f t="shared" si="0"/>
        <v>0</v>
      </c>
      <c r="J37" s="1337">
        <f t="shared" si="0"/>
        <v>3</v>
      </c>
      <c r="K37" s="1327">
        <f t="shared" si="0"/>
        <v>0</v>
      </c>
      <c r="L37" s="1297">
        <f t="shared" si="0"/>
        <v>3</v>
      </c>
      <c r="M37" s="1298">
        <f t="shared" si="0"/>
        <v>3</v>
      </c>
      <c r="N37" s="1328">
        <f t="shared" si="0"/>
        <v>-6</v>
      </c>
      <c r="O37" s="1297">
        <f t="shared" si="0"/>
        <v>3</v>
      </c>
      <c r="P37" s="1353">
        <f t="shared" si="0"/>
        <v>3</v>
      </c>
    </row>
    <row r="38" spans="1:16">
      <c r="A38" s="6"/>
      <c r="B38" s="6"/>
      <c r="C38" s="6"/>
      <c r="D38" s="6"/>
      <c r="E38" s="53"/>
      <c r="F38" s="6"/>
      <c r="G38" s="6"/>
      <c r="H38" s="6"/>
      <c r="I38" s="6"/>
      <c r="J38" s="6"/>
      <c r="K38" s="6"/>
      <c r="L38" s="6"/>
      <c r="M38" s="53"/>
      <c r="N38" s="6"/>
    </row>
    <row r="39" spans="1:16">
      <c r="A39" s="6"/>
      <c r="B39" s="6"/>
      <c r="C39" s="6"/>
      <c r="D39" s="6"/>
      <c r="E39" s="53"/>
      <c r="F39" s="6"/>
      <c r="G39" s="6"/>
      <c r="H39" s="6"/>
      <c r="I39" s="6"/>
      <c r="J39" s="6"/>
      <c r="K39" s="6"/>
      <c r="L39" s="6"/>
      <c r="M39" s="53"/>
      <c r="N39" s="6"/>
    </row>
    <row r="40" spans="1:16">
      <c r="A40" s="6"/>
      <c r="B40" s="6"/>
      <c r="C40" s="6"/>
      <c r="D40" s="6"/>
      <c r="E40" s="53"/>
      <c r="F40" s="6"/>
      <c r="G40" s="6"/>
      <c r="H40" s="6"/>
      <c r="I40" s="6"/>
      <c r="J40" s="6"/>
      <c r="K40" s="6"/>
      <c r="L40" s="6"/>
      <c r="M40" s="53"/>
      <c r="N40" s="6"/>
    </row>
    <row r="41" spans="1:16">
      <c r="A41" s="6"/>
      <c r="B41" s="6"/>
      <c r="C41" s="6"/>
      <c r="D41" s="6"/>
      <c r="E41" s="53"/>
      <c r="F41" s="6"/>
      <c r="G41" s="6"/>
      <c r="H41" s="6"/>
      <c r="I41" s="6"/>
      <c r="J41" s="6"/>
      <c r="K41" s="6"/>
      <c r="L41" s="6"/>
      <c r="M41" s="53"/>
      <c r="N41" s="6"/>
    </row>
    <row r="42" spans="1:16">
      <c r="A42" s="6"/>
      <c r="B42" s="6"/>
      <c r="C42" s="6"/>
      <c r="D42" s="6"/>
      <c r="E42" s="53"/>
      <c r="F42" s="6"/>
      <c r="G42" s="6"/>
      <c r="H42" s="6"/>
      <c r="I42" s="6"/>
      <c r="J42" s="6"/>
      <c r="K42" s="6"/>
      <c r="L42" s="6"/>
      <c r="M42" s="53"/>
      <c r="N42" s="6"/>
    </row>
  </sheetData>
  <mergeCells count="6">
    <mergeCell ref="N7:P7"/>
    <mergeCell ref="N8:P8"/>
    <mergeCell ref="K6:P6"/>
    <mergeCell ref="A4:P4"/>
    <mergeCell ref="A6:B12"/>
    <mergeCell ref="C6:H7"/>
  </mergeCells>
  <printOptions horizontalCentered="1"/>
  <pageMargins left="0.19685039370078741" right="0.19685039370078741" top="0.62992125984251968" bottom="0.47244094488188981" header="0.39370078740157483" footer="0.27559055118110237"/>
  <pageSetup paperSize="9" orientation="landscape" r:id="rId1"/>
  <headerFooter alignWithMargins="0">
    <oddHeader>&amp;C&amp;"Arial,Standard"&amp;8- 21 -&amp;R&amp;8&amp;D</oddHeader>
    <oddFooter>&amp;R
&amp;12...</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R42"/>
  <sheetViews>
    <sheetView zoomScaleNormal="100" workbookViewId="0"/>
  </sheetViews>
  <sheetFormatPr baseColWidth="10" defaultColWidth="11.42578125" defaultRowHeight="16.5"/>
  <cols>
    <col min="1" max="1" width="19.85546875" style="1566" customWidth="1"/>
    <col min="2" max="2" width="9.42578125" style="1566" customWidth="1"/>
    <col min="3" max="3" width="14.5703125" style="1566" customWidth="1"/>
    <col min="4" max="4" width="14" style="1566" customWidth="1"/>
    <col min="5" max="7" width="13.42578125" style="1566" customWidth="1"/>
    <col min="8" max="9" width="17.140625" style="1566" customWidth="1"/>
    <col min="10" max="16384" width="11.42578125" style="1566"/>
  </cols>
  <sheetData>
    <row r="1" spans="1:18" ht="18">
      <c r="A1" s="1599" t="s">
        <v>424</v>
      </c>
      <c r="B1" s="1423"/>
      <c r="C1" s="1423"/>
      <c r="D1" s="1423"/>
      <c r="E1" s="1423"/>
      <c r="F1" s="1423"/>
      <c r="G1" s="1423"/>
      <c r="H1" s="1423"/>
      <c r="I1" s="1423"/>
    </row>
    <row r="2" spans="1:18">
      <c r="A2" s="1600" t="s">
        <v>161</v>
      </c>
      <c r="B2" s="1600"/>
      <c r="C2" s="1600"/>
      <c r="D2" s="1600"/>
      <c r="E2" s="1600"/>
      <c r="F2" s="1600"/>
      <c r="G2" s="1600"/>
      <c r="H2" s="1600"/>
      <c r="I2" s="1600"/>
      <c r="J2" s="1646"/>
    </row>
    <row r="3" spans="1:18" ht="18">
      <c r="A3" s="1600" t="s">
        <v>559</v>
      </c>
      <c r="B3" s="1423"/>
      <c r="C3" s="1423"/>
      <c r="D3" s="1423"/>
      <c r="E3" s="1423"/>
      <c r="F3" s="1423"/>
      <c r="G3" s="1423"/>
      <c r="H3" s="1423"/>
      <c r="I3" s="1423"/>
    </row>
    <row r="4" spans="1:18" ht="66">
      <c r="A4" s="1421" t="s">
        <v>43</v>
      </c>
      <c r="B4" s="1706" t="s">
        <v>94</v>
      </c>
      <c r="C4" s="1708" t="s">
        <v>416</v>
      </c>
      <c r="D4" s="1420" t="s">
        <v>417</v>
      </c>
      <c r="E4" s="1419" t="s">
        <v>419</v>
      </c>
      <c r="F4" s="1419" t="s">
        <v>420</v>
      </c>
      <c r="G4" s="1419" t="s">
        <v>421</v>
      </c>
      <c r="H4" s="1419" t="s">
        <v>414</v>
      </c>
      <c r="I4" s="1714" t="s">
        <v>415</v>
      </c>
    </row>
    <row r="5" spans="1:18" ht="18">
      <c r="A5" s="1434" t="s">
        <v>437</v>
      </c>
      <c r="B5" s="1567">
        <v>39</v>
      </c>
      <c r="C5" s="1568">
        <v>12</v>
      </c>
      <c r="D5" s="1569">
        <v>27</v>
      </c>
      <c r="E5" s="1567">
        <v>12</v>
      </c>
      <c r="F5" s="1568">
        <v>15</v>
      </c>
      <c r="G5" s="1569">
        <v>12</v>
      </c>
      <c r="H5" s="1397">
        <v>12</v>
      </c>
      <c r="I5" s="1397">
        <v>3</v>
      </c>
      <c r="K5" s="1788"/>
      <c r="L5" s="1788"/>
      <c r="M5" s="1788"/>
      <c r="N5" s="1788"/>
      <c r="O5" s="1788"/>
      <c r="P5" s="1788"/>
      <c r="Q5" s="1788"/>
      <c r="R5" s="1788"/>
    </row>
    <row r="6" spans="1:18" ht="18">
      <c r="A6" s="1434" t="s">
        <v>438</v>
      </c>
      <c r="B6" s="1394">
        <v>0</v>
      </c>
      <c r="C6" s="1395">
        <v>0</v>
      </c>
      <c r="D6" s="1396">
        <v>0</v>
      </c>
      <c r="E6" s="1395">
        <v>0</v>
      </c>
      <c r="F6" s="1395">
        <v>0</v>
      </c>
      <c r="G6" s="1396">
        <v>0</v>
      </c>
      <c r="H6" s="1397">
        <v>0</v>
      </c>
      <c r="I6" s="1397">
        <v>0</v>
      </c>
      <c r="K6" s="1788"/>
      <c r="L6" s="1788"/>
      <c r="M6" s="1788"/>
      <c r="N6" s="1788"/>
      <c r="O6" s="1788"/>
      <c r="P6" s="1788"/>
      <c r="Q6" s="1788"/>
      <c r="R6" s="1788"/>
    </row>
    <row r="7" spans="1:18" ht="18">
      <c r="A7" s="1434" t="s">
        <v>439</v>
      </c>
      <c r="B7" s="1394">
        <v>69</v>
      </c>
      <c r="C7" s="1395">
        <v>18</v>
      </c>
      <c r="D7" s="1396">
        <v>51</v>
      </c>
      <c r="E7" s="1394">
        <v>24</v>
      </c>
      <c r="F7" s="1395">
        <v>27</v>
      </c>
      <c r="G7" s="1396">
        <v>21</v>
      </c>
      <c r="H7" s="1396">
        <v>24</v>
      </c>
      <c r="I7" s="1396">
        <v>6</v>
      </c>
      <c r="K7" s="1788"/>
      <c r="L7" s="1788"/>
      <c r="M7" s="1788"/>
      <c r="N7" s="1788"/>
      <c r="O7" s="1788"/>
      <c r="P7" s="1788"/>
      <c r="Q7" s="1788"/>
      <c r="R7" s="1788"/>
    </row>
    <row r="8" spans="1:18" ht="18">
      <c r="A8" s="1434" t="s">
        <v>440</v>
      </c>
      <c r="B8" s="1394">
        <v>0</v>
      </c>
      <c r="C8" s="1395">
        <v>0</v>
      </c>
      <c r="D8" s="1396">
        <v>0</v>
      </c>
      <c r="E8" s="1395">
        <v>0</v>
      </c>
      <c r="F8" s="1395">
        <v>0</v>
      </c>
      <c r="G8" s="1396">
        <v>0</v>
      </c>
      <c r="H8" s="1397">
        <v>0</v>
      </c>
      <c r="I8" s="1397">
        <v>0</v>
      </c>
      <c r="K8" s="1788"/>
      <c r="L8" s="1788"/>
      <c r="M8" s="1788"/>
      <c r="N8" s="1788"/>
      <c r="O8" s="1788"/>
      <c r="P8" s="1788"/>
      <c r="Q8" s="1788"/>
      <c r="R8" s="1788"/>
    </row>
    <row r="9" spans="1:18" ht="18">
      <c r="A9" s="1434" t="s">
        <v>441</v>
      </c>
      <c r="B9" s="1394">
        <v>36</v>
      </c>
      <c r="C9" s="1395">
        <v>12</v>
      </c>
      <c r="D9" s="1396">
        <v>21</v>
      </c>
      <c r="E9" s="1394">
        <v>12</v>
      </c>
      <c r="F9" s="1395">
        <v>12</v>
      </c>
      <c r="G9" s="1396">
        <v>12</v>
      </c>
      <c r="H9" s="1396">
        <v>12</v>
      </c>
      <c r="I9" s="1397">
        <v>0</v>
      </c>
      <c r="K9" s="1788"/>
      <c r="L9" s="1788"/>
      <c r="M9" s="1788"/>
      <c r="N9" s="1788"/>
      <c r="O9" s="1788"/>
      <c r="P9" s="1788"/>
      <c r="Q9" s="1788"/>
      <c r="R9" s="1788"/>
    </row>
    <row r="10" spans="1:18" ht="18">
      <c r="A10" s="1434" t="s">
        <v>442</v>
      </c>
      <c r="B10" s="1394">
        <v>9</v>
      </c>
      <c r="C10" s="1395">
        <v>6</v>
      </c>
      <c r="D10" s="1396">
        <v>3</v>
      </c>
      <c r="E10" s="1394">
        <v>3</v>
      </c>
      <c r="F10" s="1395">
        <v>3</v>
      </c>
      <c r="G10" s="1396">
        <v>3</v>
      </c>
      <c r="H10" s="1397">
        <v>3</v>
      </c>
      <c r="I10" s="1397">
        <v>0</v>
      </c>
      <c r="K10" s="1788"/>
      <c r="L10" s="1788"/>
      <c r="M10" s="1788"/>
      <c r="N10" s="1788"/>
      <c r="O10" s="1788"/>
      <c r="P10" s="1788"/>
      <c r="Q10" s="1788"/>
      <c r="R10" s="1788"/>
    </row>
    <row r="11" spans="1:18" ht="18">
      <c r="A11" s="1434" t="s">
        <v>466</v>
      </c>
      <c r="B11" s="1394">
        <v>9</v>
      </c>
      <c r="C11" s="1395">
        <v>3</v>
      </c>
      <c r="D11" s="1396">
        <v>9</v>
      </c>
      <c r="E11" s="1772">
        <v>3</v>
      </c>
      <c r="F11" s="1395">
        <v>3</v>
      </c>
      <c r="G11" s="1396">
        <v>3</v>
      </c>
      <c r="H11" s="1397">
        <v>3</v>
      </c>
      <c r="I11" s="1397">
        <v>0</v>
      </c>
      <c r="K11" s="1788"/>
      <c r="L11" s="1788"/>
      <c r="M11" s="1788"/>
      <c r="N11" s="1788"/>
      <c r="O11" s="1788"/>
      <c r="P11" s="1788"/>
      <c r="Q11" s="1788"/>
      <c r="R11" s="1788"/>
    </row>
    <row r="12" spans="1:18" ht="18">
      <c r="A12" s="1434" t="s">
        <v>444</v>
      </c>
      <c r="B12" s="1394">
        <v>30</v>
      </c>
      <c r="C12" s="1395">
        <v>6</v>
      </c>
      <c r="D12" s="1396">
        <v>27</v>
      </c>
      <c r="E12" s="1394">
        <v>9</v>
      </c>
      <c r="F12" s="1395">
        <v>9</v>
      </c>
      <c r="G12" s="1396">
        <v>12</v>
      </c>
      <c r="H12" s="1500">
        <v>12</v>
      </c>
      <c r="I12" s="1500">
        <v>3</v>
      </c>
      <c r="K12" s="1788"/>
      <c r="L12" s="1788"/>
      <c r="M12" s="1788"/>
      <c r="N12" s="1788"/>
      <c r="O12" s="1788"/>
      <c r="P12" s="1788"/>
      <c r="Q12" s="1788"/>
      <c r="R12" s="1788"/>
    </row>
    <row r="13" spans="1:18" ht="18">
      <c r="A13" s="1434" t="s">
        <v>445</v>
      </c>
      <c r="B13" s="1394">
        <v>153</v>
      </c>
      <c r="C13" s="1395">
        <v>24</v>
      </c>
      <c r="D13" s="1396">
        <v>132</v>
      </c>
      <c r="E13" s="1394">
        <v>60</v>
      </c>
      <c r="F13" s="1395">
        <v>57</v>
      </c>
      <c r="G13" s="1396">
        <v>39</v>
      </c>
      <c r="H13" s="1396">
        <v>60</v>
      </c>
      <c r="I13" s="1396">
        <v>6</v>
      </c>
      <c r="K13" s="1788"/>
      <c r="L13" s="1788"/>
      <c r="M13" s="1788"/>
      <c r="N13" s="1788"/>
      <c r="O13" s="1788"/>
      <c r="P13" s="1788"/>
      <c r="Q13" s="1788"/>
      <c r="R13" s="1788"/>
    </row>
    <row r="14" spans="1:18" ht="18">
      <c r="A14" s="1434" t="s">
        <v>446</v>
      </c>
      <c r="B14" s="1394">
        <v>0</v>
      </c>
      <c r="C14" s="1395">
        <v>0</v>
      </c>
      <c r="D14" s="1396">
        <v>0</v>
      </c>
      <c r="E14" s="1395">
        <v>0</v>
      </c>
      <c r="F14" s="1395">
        <v>0</v>
      </c>
      <c r="G14" s="1396">
        <v>0</v>
      </c>
      <c r="H14" s="1397">
        <v>0</v>
      </c>
      <c r="I14" s="1397">
        <v>0</v>
      </c>
      <c r="K14" s="1788"/>
      <c r="L14" s="1788"/>
      <c r="M14" s="1788"/>
      <c r="N14" s="1788"/>
      <c r="O14" s="1788"/>
      <c r="P14" s="1788"/>
      <c r="Q14" s="1788"/>
      <c r="R14" s="1788"/>
    </row>
    <row r="15" spans="1:18" ht="18">
      <c r="A15" s="1434" t="s">
        <v>447</v>
      </c>
      <c r="B15" s="1394">
        <v>0</v>
      </c>
      <c r="C15" s="1395">
        <v>0</v>
      </c>
      <c r="D15" s="1396">
        <v>0</v>
      </c>
      <c r="E15" s="1395">
        <v>0</v>
      </c>
      <c r="F15" s="1395">
        <v>0</v>
      </c>
      <c r="G15" s="1396">
        <v>0</v>
      </c>
      <c r="H15" s="1397">
        <v>0</v>
      </c>
      <c r="I15" s="1397">
        <v>0</v>
      </c>
      <c r="K15" s="1788"/>
      <c r="L15" s="1788"/>
      <c r="M15" s="1788"/>
      <c r="N15" s="1788"/>
      <c r="O15" s="1788"/>
      <c r="P15" s="1788"/>
      <c r="Q15" s="1788"/>
      <c r="R15" s="1788"/>
    </row>
    <row r="16" spans="1:18" ht="18">
      <c r="A16" s="1434" t="s">
        <v>448</v>
      </c>
      <c r="B16" s="1394">
        <v>6</v>
      </c>
      <c r="C16" s="1395">
        <v>0</v>
      </c>
      <c r="D16" s="1396">
        <v>6</v>
      </c>
      <c r="E16" s="1394">
        <v>3</v>
      </c>
      <c r="F16" s="1395">
        <v>0</v>
      </c>
      <c r="G16" s="1396">
        <v>0</v>
      </c>
      <c r="H16" s="1396">
        <v>3</v>
      </c>
      <c r="I16" s="1397">
        <v>0</v>
      </c>
      <c r="K16" s="1788"/>
      <c r="L16" s="1788"/>
      <c r="M16" s="1788"/>
      <c r="N16" s="1788"/>
      <c r="O16" s="1788"/>
      <c r="P16" s="1788"/>
      <c r="Q16" s="1788"/>
      <c r="R16" s="1788"/>
    </row>
    <row r="17" spans="1:18" ht="18">
      <c r="A17" s="1434" t="s">
        <v>449</v>
      </c>
      <c r="B17" s="1394">
        <v>21</v>
      </c>
      <c r="C17" s="1395">
        <v>6</v>
      </c>
      <c r="D17" s="1396">
        <v>12</v>
      </c>
      <c r="E17" s="1394">
        <v>6</v>
      </c>
      <c r="F17" s="1395">
        <v>6</v>
      </c>
      <c r="G17" s="1396">
        <v>6</v>
      </c>
      <c r="H17" s="1396">
        <v>6</v>
      </c>
      <c r="I17" s="1397">
        <v>0</v>
      </c>
      <c r="K17" s="1788"/>
      <c r="L17" s="1788"/>
      <c r="M17" s="1788"/>
      <c r="N17" s="1788"/>
      <c r="O17" s="1788"/>
      <c r="P17" s="1788"/>
      <c r="Q17" s="1788"/>
      <c r="R17" s="1788"/>
    </row>
    <row r="18" spans="1:18" ht="18">
      <c r="A18" s="1434" t="s">
        <v>450</v>
      </c>
      <c r="B18" s="1394">
        <v>27</v>
      </c>
      <c r="C18" s="1395">
        <v>12</v>
      </c>
      <c r="D18" s="1396">
        <v>15</v>
      </c>
      <c r="E18" s="1394">
        <v>9</v>
      </c>
      <c r="F18" s="1395">
        <v>6</v>
      </c>
      <c r="G18" s="1396">
        <v>12</v>
      </c>
      <c r="H18" s="1397">
        <v>9</v>
      </c>
      <c r="I18" s="1397">
        <v>3</v>
      </c>
      <c r="K18" s="1788"/>
      <c r="L18" s="1788"/>
      <c r="M18" s="1788"/>
      <c r="N18" s="1788"/>
      <c r="O18" s="1788"/>
      <c r="P18" s="1788"/>
      <c r="Q18" s="1788"/>
      <c r="R18" s="1788"/>
    </row>
    <row r="19" spans="1:18" ht="18">
      <c r="A19" s="1434" t="s">
        <v>451</v>
      </c>
      <c r="B19" s="1394">
        <v>9</v>
      </c>
      <c r="C19" s="1395">
        <v>3</v>
      </c>
      <c r="D19" s="1396">
        <v>6</v>
      </c>
      <c r="E19" s="1394">
        <v>3</v>
      </c>
      <c r="F19" s="1395">
        <v>3</v>
      </c>
      <c r="G19" s="1396">
        <v>3</v>
      </c>
      <c r="H19" s="1397">
        <v>3</v>
      </c>
      <c r="I19" s="1397">
        <v>0</v>
      </c>
      <c r="K19" s="1788"/>
      <c r="L19" s="1788"/>
      <c r="M19" s="1788"/>
      <c r="N19" s="1788"/>
      <c r="O19" s="1788"/>
      <c r="P19" s="1788"/>
      <c r="Q19" s="1788"/>
      <c r="R19" s="1788"/>
    </row>
    <row r="20" spans="1:18" ht="18">
      <c r="A20" s="1434" t="s">
        <v>452</v>
      </c>
      <c r="B20" s="1394">
        <v>6</v>
      </c>
      <c r="C20" s="1395">
        <v>3</v>
      </c>
      <c r="D20" s="1396">
        <v>3</v>
      </c>
      <c r="E20" s="1394">
        <v>3</v>
      </c>
      <c r="F20" s="1395">
        <v>3</v>
      </c>
      <c r="G20" s="1396">
        <v>3</v>
      </c>
      <c r="H20" s="1397">
        <v>3</v>
      </c>
      <c r="I20" s="1397">
        <v>0</v>
      </c>
      <c r="K20" s="1788"/>
      <c r="L20" s="1788"/>
      <c r="M20" s="1788"/>
      <c r="N20" s="1788"/>
      <c r="O20" s="1788"/>
      <c r="P20" s="1788"/>
      <c r="Q20" s="1788"/>
      <c r="R20" s="1788"/>
    </row>
    <row r="21" spans="1:18">
      <c r="A21" s="1604" t="s">
        <v>418</v>
      </c>
      <c r="B21" s="1793">
        <v>417</v>
      </c>
      <c r="C21" s="1795">
        <v>105</v>
      </c>
      <c r="D21" s="1795">
        <v>312</v>
      </c>
      <c r="E21" s="1793">
        <v>150</v>
      </c>
      <c r="F21" s="1795">
        <v>147</v>
      </c>
      <c r="G21" s="1796">
        <v>120</v>
      </c>
      <c r="H21" s="1945">
        <v>153</v>
      </c>
      <c r="I21" s="1770">
        <v>21</v>
      </c>
      <c r="K21" s="1788"/>
      <c r="L21" s="1788"/>
      <c r="M21" s="1788"/>
      <c r="N21" s="1788"/>
      <c r="O21" s="1788"/>
      <c r="P21" s="1788"/>
      <c r="Q21" s="1788"/>
      <c r="R21" s="1788"/>
    </row>
    <row r="22" spans="1:18" ht="18">
      <c r="A22" s="1601" t="s">
        <v>552</v>
      </c>
      <c r="B22" s="1412"/>
      <c r="C22" s="1412"/>
      <c r="D22" s="1412"/>
      <c r="E22" s="1412"/>
      <c r="F22" s="1412"/>
      <c r="G22" s="1412"/>
      <c r="H22" s="1411"/>
      <c r="I22" s="1411"/>
    </row>
    <row r="23" spans="1:18" ht="66">
      <c r="A23" s="1421" t="s">
        <v>43</v>
      </c>
      <c r="B23" s="1706" t="s">
        <v>94</v>
      </c>
      <c r="C23" s="1707" t="s">
        <v>92</v>
      </c>
      <c r="D23" s="1409" t="s">
        <v>93</v>
      </c>
      <c r="E23" s="1419" t="s">
        <v>474</v>
      </c>
      <c r="F23" s="1419" t="s">
        <v>422</v>
      </c>
      <c r="G23" s="1714" t="s">
        <v>423</v>
      </c>
      <c r="H23" s="1408"/>
      <c r="I23" s="1408"/>
      <c r="J23" s="1597"/>
      <c r="K23" s="1597"/>
      <c r="L23" s="1597"/>
      <c r="M23" s="1597"/>
      <c r="N23" s="1597"/>
      <c r="O23" s="1597"/>
    </row>
    <row r="24" spans="1:18" ht="18">
      <c r="A24" s="1434" t="s">
        <v>437</v>
      </c>
      <c r="B24" s="1567">
        <v>9</v>
      </c>
      <c r="C24" s="1568">
        <v>3</v>
      </c>
      <c r="D24" s="1569">
        <v>6</v>
      </c>
      <c r="E24" s="1567">
        <v>9</v>
      </c>
      <c r="F24" s="1568">
        <v>3</v>
      </c>
      <c r="G24" s="1569">
        <v>6</v>
      </c>
      <c r="H24" s="1402"/>
      <c r="I24" s="1772"/>
      <c r="J24" s="1395"/>
      <c r="K24" s="1395"/>
      <c r="L24" s="1772"/>
      <c r="M24" s="1395"/>
      <c r="N24" s="1395"/>
      <c r="O24" s="1787"/>
      <c r="P24" s="1788"/>
    </row>
    <row r="25" spans="1:18" ht="18">
      <c r="A25" s="1434" t="s">
        <v>438</v>
      </c>
      <c r="B25" s="1394">
        <v>0</v>
      </c>
      <c r="C25" s="1395">
        <v>0</v>
      </c>
      <c r="D25" s="1396">
        <v>0</v>
      </c>
      <c r="E25" s="1395">
        <v>0</v>
      </c>
      <c r="F25" s="1395">
        <v>0</v>
      </c>
      <c r="G25" s="1396">
        <v>0</v>
      </c>
      <c r="H25" s="1402"/>
      <c r="I25" s="1772"/>
      <c r="J25" s="1395"/>
      <c r="K25" s="1395"/>
      <c r="L25" s="1395"/>
      <c r="M25" s="1395"/>
      <c r="N25" s="1395"/>
      <c r="O25" s="1787"/>
      <c r="P25" s="1788"/>
    </row>
    <row r="26" spans="1:18" ht="18">
      <c r="A26" s="1434" t="s">
        <v>439</v>
      </c>
      <c r="B26" s="1394">
        <v>24</v>
      </c>
      <c r="C26" s="1395">
        <v>6</v>
      </c>
      <c r="D26" s="1396">
        <v>18</v>
      </c>
      <c r="E26" s="1394">
        <v>24</v>
      </c>
      <c r="F26" s="1395">
        <v>6</v>
      </c>
      <c r="G26" s="1396">
        <v>18</v>
      </c>
      <c r="H26" s="1402"/>
      <c r="I26" s="1772"/>
      <c r="J26" s="1395"/>
      <c r="K26" s="1395"/>
      <c r="L26" s="1772"/>
      <c r="M26" s="1395"/>
      <c r="N26" s="1395"/>
      <c r="O26" s="1787"/>
      <c r="P26" s="1788"/>
    </row>
    <row r="27" spans="1:18" ht="18">
      <c r="A27" s="1434" t="s">
        <v>440</v>
      </c>
      <c r="B27" s="1394">
        <v>0</v>
      </c>
      <c r="C27" s="1395">
        <v>0</v>
      </c>
      <c r="D27" s="1396">
        <v>0</v>
      </c>
      <c r="E27" s="1395">
        <v>0</v>
      </c>
      <c r="F27" s="1395">
        <v>0</v>
      </c>
      <c r="G27" s="1396">
        <v>0</v>
      </c>
      <c r="H27" s="1402"/>
      <c r="I27" s="1772"/>
      <c r="J27" s="1395"/>
      <c r="K27" s="1395"/>
      <c r="L27" s="1395"/>
      <c r="M27" s="1395"/>
      <c r="N27" s="1395"/>
      <c r="O27" s="1787"/>
      <c r="P27" s="1788"/>
    </row>
    <row r="28" spans="1:18" ht="18">
      <c r="A28" s="1434" t="s">
        <v>441</v>
      </c>
      <c r="B28" s="1394">
        <v>6</v>
      </c>
      <c r="C28" s="1395">
        <v>0</v>
      </c>
      <c r="D28" s="1396">
        <v>6</v>
      </c>
      <c r="E28" s="1394">
        <v>6</v>
      </c>
      <c r="F28" s="1395">
        <v>0</v>
      </c>
      <c r="G28" s="1396">
        <v>6</v>
      </c>
      <c r="H28" s="1402"/>
      <c r="I28" s="1772"/>
      <c r="J28" s="1395"/>
      <c r="K28" s="1395"/>
      <c r="L28" s="1772"/>
      <c r="M28" s="1395"/>
      <c r="N28" s="1395"/>
      <c r="O28" s="1787"/>
      <c r="P28" s="1788"/>
    </row>
    <row r="29" spans="1:18" ht="18">
      <c r="A29" s="1434" t="s">
        <v>442</v>
      </c>
      <c r="B29" s="1394">
        <v>3</v>
      </c>
      <c r="C29" s="1395">
        <v>0</v>
      </c>
      <c r="D29" s="1396">
        <v>3</v>
      </c>
      <c r="E29" s="1394">
        <v>3</v>
      </c>
      <c r="F29" s="1395">
        <v>0</v>
      </c>
      <c r="G29" s="1396">
        <v>3</v>
      </c>
      <c r="H29" s="1408"/>
      <c r="I29" s="1772"/>
      <c r="J29" s="1395"/>
      <c r="K29" s="1395"/>
      <c r="L29" s="1772"/>
      <c r="M29" s="1395"/>
      <c r="N29" s="1395"/>
      <c r="O29" s="1787"/>
      <c r="P29" s="1788"/>
    </row>
    <row r="30" spans="1:18" ht="18">
      <c r="A30" s="1434" t="s">
        <v>443</v>
      </c>
      <c r="B30" s="1394">
        <v>0</v>
      </c>
      <c r="C30" s="1395">
        <v>0</v>
      </c>
      <c r="D30" s="1396">
        <v>0</v>
      </c>
      <c r="E30" s="1395">
        <v>0</v>
      </c>
      <c r="F30" s="1395">
        <v>0</v>
      </c>
      <c r="G30" s="1396">
        <v>0</v>
      </c>
      <c r="H30" s="1402"/>
      <c r="I30" s="1772"/>
      <c r="J30" s="1395"/>
      <c r="K30" s="1395"/>
      <c r="L30" s="1395"/>
      <c r="M30" s="1395"/>
      <c r="N30" s="1395"/>
      <c r="O30" s="1787"/>
      <c r="P30" s="1788"/>
    </row>
    <row r="31" spans="1:18" ht="18">
      <c r="A31" s="1434" t="s">
        <v>444</v>
      </c>
      <c r="B31" s="1394">
        <v>0</v>
      </c>
      <c r="C31" s="1395">
        <v>0</v>
      </c>
      <c r="D31" s="1396">
        <v>0</v>
      </c>
      <c r="E31" s="1395">
        <v>0</v>
      </c>
      <c r="F31" s="1395">
        <v>0</v>
      </c>
      <c r="G31" s="1396">
        <v>0</v>
      </c>
      <c r="H31" s="1402"/>
      <c r="I31" s="1772"/>
      <c r="J31" s="1395"/>
      <c r="K31" s="1395"/>
      <c r="L31" s="1772"/>
      <c r="M31" s="1395"/>
      <c r="N31" s="1395"/>
      <c r="O31" s="1787"/>
      <c r="P31" s="1788"/>
    </row>
    <row r="32" spans="1:18" ht="18">
      <c r="A32" s="1434" t="s">
        <v>445</v>
      </c>
      <c r="B32" s="1394">
        <v>51</v>
      </c>
      <c r="C32" s="1395">
        <v>12</v>
      </c>
      <c r="D32" s="1396">
        <v>42</v>
      </c>
      <c r="E32" s="1394">
        <v>51</v>
      </c>
      <c r="F32" s="1395">
        <v>12</v>
      </c>
      <c r="G32" s="1396">
        <v>39</v>
      </c>
      <c r="H32" s="1402"/>
      <c r="I32" s="1772"/>
      <c r="J32" s="1395"/>
      <c r="K32" s="1395"/>
      <c r="L32" s="1772"/>
      <c r="M32" s="1395"/>
      <c r="N32" s="1395"/>
      <c r="O32" s="1787"/>
      <c r="P32" s="1788"/>
    </row>
    <row r="33" spans="1:16" ht="18">
      <c r="A33" s="1434" t="s">
        <v>446</v>
      </c>
      <c r="B33" s="1394">
        <v>0</v>
      </c>
      <c r="C33" s="1395">
        <v>0</v>
      </c>
      <c r="D33" s="1396">
        <v>0</v>
      </c>
      <c r="E33" s="1395">
        <v>0</v>
      </c>
      <c r="F33" s="1395">
        <v>0</v>
      </c>
      <c r="G33" s="1396">
        <v>0</v>
      </c>
      <c r="H33" s="1402"/>
      <c r="I33" s="1772"/>
      <c r="J33" s="1395"/>
      <c r="K33" s="1395"/>
      <c r="L33" s="1395"/>
      <c r="M33" s="1395"/>
      <c r="N33" s="1395"/>
      <c r="O33" s="1787"/>
      <c r="P33" s="1788"/>
    </row>
    <row r="34" spans="1:16" ht="18">
      <c r="A34" s="1434" t="s">
        <v>447</v>
      </c>
      <c r="B34" s="1394">
        <v>0</v>
      </c>
      <c r="C34" s="1395">
        <v>0</v>
      </c>
      <c r="D34" s="1396">
        <v>0</v>
      </c>
      <c r="E34" s="1395">
        <v>0</v>
      </c>
      <c r="F34" s="1395">
        <v>0</v>
      </c>
      <c r="G34" s="1396">
        <v>0</v>
      </c>
      <c r="H34" s="1402"/>
      <c r="I34" s="1772"/>
      <c r="J34" s="1395"/>
      <c r="K34" s="1395"/>
      <c r="L34" s="1395"/>
      <c r="M34" s="1395"/>
      <c r="N34" s="1395"/>
      <c r="O34" s="1787"/>
      <c r="P34" s="1788"/>
    </row>
    <row r="35" spans="1:16" ht="18">
      <c r="A35" s="1434" t="s">
        <v>448</v>
      </c>
      <c r="B35" s="1394">
        <v>3</v>
      </c>
      <c r="C35" s="1395">
        <v>3</v>
      </c>
      <c r="D35" s="1396">
        <v>3</v>
      </c>
      <c r="E35" s="1394">
        <v>3</v>
      </c>
      <c r="F35" s="1395">
        <v>3</v>
      </c>
      <c r="G35" s="1396">
        <v>3</v>
      </c>
      <c r="H35" s="1402"/>
      <c r="I35" s="1772"/>
      <c r="J35" s="1395"/>
      <c r="K35" s="1395"/>
      <c r="L35" s="1772"/>
      <c r="M35" s="1395"/>
      <c r="N35" s="1395"/>
      <c r="O35" s="1787"/>
      <c r="P35" s="1788"/>
    </row>
    <row r="36" spans="1:16" ht="18">
      <c r="A36" s="1434" t="s">
        <v>449</v>
      </c>
      <c r="B36" s="1394">
        <v>3</v>
      </c>
      <c r="C36" s="1395">
        <v>0</v>
      </c>
      <c r="D36" s="1396">
        <v>3</v>
      </c>
      <c r="E36" s="1394">
        <v>3</v>
      </c>
      <c r="F36" s="1395">
        <v>0</v>
      </c>
      <c r="G36" s="1396">
        <v>3</v>
      </c>
      <c r="H36" s="1402"/>
      <c r="I36" s="1772"/>
      <c r="J36" s="1395"/>
      <c r="K36" s="1395"/>
      <c r="L36" s="1772"/>
      <c r="M36" s="1395"/>
      <c r="N36" s="1395"/>
      <c r="O36" s="1787"/>
      <c r="P36" s="1788"/>
    </row>
    <row r="37" spans="1:16" ht="18">
      <c r="A37" s="1434" t="s">
        <v>450</v>
      </c>
      <c r="B37" s="1394">
        <v>9</v>
      </c>
      <c r="C37" s="1395">
        <v>3</v>
      </c>
      <c r="D37" s="1396">
        <v>6</v>
      </c>
      <c r="E37" s="1394">
        <v>9</v>
      </c>
      <c r="F37" s="1395">
        <v>3</v>
      </c>
      <c r="G37" s="1396">
        <v>6</v>
      </c>
      <c r="H37" s="1402"/>
      <c r="I37" s="1772"/>
      <c r="J37" s="1395"/>
      <c r="K37" s="1395"/>
      <c r="L37" s="1772"/>
      <c r="M37" s="1395"/>
      <c r="N37" s="1395"/>
      <c r="O37" s="1787"/>
      <c r="P37" s="1788"/>
    </row>
    <row r="38" spans="1:16" ht="18">
      <c r="A38" s="1434" t="s">
        <v>451</v>
      </c>
      <c r="B38" s="1394">
        <v>3</v>
      </c>
      <c r="C38" s="1395">
        <v>0</v>
      </c>
      <c r="D38" s="1396">
        <v>3</v>
      </c>
      <c r="E38" s="1394">
        <v>3</v>
      </c>
      <c r="F38" s="1395">
        <v>0</v>
      </c>
      <c r="G38" s="1396">
        <v>3</v>
      </c>
      <c r="H38" s="1402"/>
      <c r="I38" s="1772"/>
      <c r="J38" s="1395"/>
      <c r="K38" s="1395"/>
      <c r="L38" s="1772"/>
      <c r="M38" s="1395"/>
      <c r="N38" s="1395"/>
      <c r="O38" s="1787"/>
      <c r="P38" s="1788"/>
    </row>
    <row r="39" spans="1:16" ht="18">
      <c r="A39" s="1434" t="s">
        <v>452</v>
      </c>
      <c r="B39" s="1394">
        <v>0</v>
      </c>
      <c r="C39" s="1395">
        <v>0</v>
      </c>
      <c r="D39" s="1396">
        <v>0</v>
      </c>
      <c r="E39" s="1394">
        <v>0</v>
      </c>
      <c r="F39" s="1395">
        <v>0</v>
      </c>
      <c r="G39" s="1396">
        <v>0</v>
      </c>
      <c r="H39" s="1402"/>
      <c r="I39" s="1772"/>
      <c r="J39" s="1395"/>
      <c r="K39" s="1395"/>
      <c r="L39" s="1772"/>
      <c r="M39" s="1395"/>
      <c r="N39" s="1395"/>
      <c r="O39" s="1787"/>
      <c r="P39" s="1788"/>
    </row>
    <row r="40" spans="1:16" ht="18">
      <c r="A40" s="1728" t="s">
        <v>418</v>
      </c>
      <c r="B40" s="1793">
        <v>114</v>
      </c>
      <c r="C40" s="1795">
        <v>30</v>
      </c>
      <c r="D40" s="1795">
        <v>84</v>
      </c>
      <c r="E40" s="1793">
        <v>111</v>
      </c>
      <c r="F40" s="1795">
        <v>30</v>
      </c>
      <c r="G40" s="1796">
        <v>84</v>
      </c>
      <c r="H40" s="1402"/>
      <c r="I40" s="1405"/>
      <c r="J40" s="1405"/>
      <c r="K40" s="1405"/>
      <c r="L40" s="1405"/>
      <c r="M40" s="1405"/>
      <c r="N40" s="1405"/>
      <c r="O40" s="1405"/>
      <c r="P40" s="1405"/>
    </row>
    <row r="41" spans="1:16" ht="18">
      <c r="A41" s="1861" t="s">
        <v>498</v>
      </c>
      <c r="B41" s="1406"/>
      <c r="C41" s="1405"/>
      <c r="D41" s="1407"/>
      <c r="E41" s="1406"/>
      <c r="F41" s="1405"/>
      <c r="G41" s="1405"/>
      <c r="H41" s="1402"/>
      <c r="I41" s="1408"/>
      <c r="J41" s="1597"/>
      <c r="K41" s="1597"/>
      <c r="L41" s="1597"/>
      <c r="M41" s="1597"/>
      <c r="N41" s="1597"/>
      <c r="O41" s="1597"/>
    </row>
    <row r="42" spans="1:16" ht="18">
      <c r="A42" s="1402" t="s">
        <v>542</v>
      </c>
      <c r="B42" s="1402"/>
      <c r="C42" s="1402"/>
      <c r="D42" s="1403"/>
      <c r="E42" s="1402"/>
      <c r="F42" s="1402"/>
      <c r="G42" s="1402"/>
      <c r="H42" s="1402"/>
      <c r="I42" s="1408"/>
      <c r="J42" s="1597"/>
      <c r="K42" s="1597"/>
      <c r="L42" s="1597"/>
      <c r="M42" s="1597"/>
      <c r="N42" s="1597"/>
      <c r="O42" s="1597"/>
    </row>
  </sheetData>
  <printOptions horizontalCentered="1"/>
  <pageMargins left="0.70866141732283472" right="0.70866141732283472" top="0.78740157480314965" bottom="0.78740157480314965" header="0.31496062992125984" footer="0.31496062992125984"/>
  <pageSetup paperSize="9" orientation="landscape" r:id="rId1"/>
  <rowBreaks count="1" manualBreakCount="1">
    <brk id="21" max="8" man="1"/>
  </rowBreaks>
  <tableParts count="2">
    <tablePart r:id="rId2"/>
    <tablePart r:id="rId3"/>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tint="-0.499984740745262"/>
  </sheetPr>
  <dimension ref="A1:AC98"/>
  <sheetViews>
    <sheetView zoomScaleNormal="100" zoomScaleSheetLayoutView="100" workbookViewId="0">
      <selection activeCell="O37" sqref="O37"/>
    </sheetView>
  </sheetViews>
  <sheetFormatPr baseColWidth="10" defaultColWidth="11.42578125" defaultRowHeight="11.25"/>
  <cols>
    <col min="1" max="1" width="5.5703125" style="6" customWidth="1"/>
    <col min="2" max="2" width="0.85546875" style="6" customWidth="1"/>
    <col min="3" max="8" width="7.5703125" style="6" customWidth="1"/>
    <col min="9" max="10" width="10.5703125" style="916" customWidth="1"/>
    <col min="11" max="12" width="7.5703125" style="6" customWidth="1"/>
    <col min="13" max="13" width="7.5703125" style="53" customWidth="1"/>
    <col min="14" max="16" width="7.5703125" style="6" customWidth="1"/>
    <col min="17" max="16384" width="11.42578125" style="6"/>
  </cols>
  <sheetData>
    <row r="1" spans="1:29" ht="13.35" customHeight="1"/>
    <row r="2" spans="1:29" ht="13.35" customHeight="1">
      <c r="A2" s="728" t="s">
        <v>215</v>
      </c>
      <c r="B2" s="863"/>
      <c r="C2" s="863"/>
      <c r="D2" s="41"/>
      <c r="E2" s="41"/>
      <c r="F2" s="41"/>
      <c r="G2" s="41"/>
      <c r="H2" s="41"/>
      <c r="I2" s="42"/>
      <c r="J2" s="912" t="s">
        <v>40</v>
      </c>
      <c r="K2" s="43"/>
      <c r="L2" s="41"/>
      <c r="M2" s="41"/>
      <c r="N2" s="534"/>
    </row>
    <row r="3" spans="1:29" ht="11.1" customHeight="1">
      <c r="A3" s="44"/>
      <c r="B3" s="44"/>
      <c r="C3" s="44"/>
      <c r="D3" s="44"/>
      <c r="E3" s="44"/>
      <c r="F3" s="44"/>
      <c r="G3" s="44"/>
      <c r="H3" s="44"/>
      <c r="I3" s="912"/>
      <c r="J3" s="6"/>
      <c r="K3" s="44"/>
      <c r="L3" s="44"/>
      <c r="M3" s="45" t="s">
        <v>40</v>
      </c>
      <c r="N3" s="44"/>
    </row>
    <row r="4" spans="1:29" ht="14.1" customHeight="1">
      <c r="A4" s="1959" t="s">
        <v>161</v>
      </c>
      <c r="B4" s="1959"/>
      <c r="C4" s="1979"/>
      <c r="D4" s="1979"/>
      <c r="E4" s="1979"/>
      <c r="F4" s="1979"/>
      <c r="G4" s="1979"/>
      <c r="H4" s="1979"/>
      <c r="I4" s="1979"/>
      <c r="J4" s="1979"/>
      <c r="K4" s="1979"/>
      <c r="L4" s="1979"/>
      <c r="M4" s="1979"/>
      <c r="N4" s="1979"/>
      <c r="O4" s="1979"/>
      <c r="P4" s="1979"/>
    </row>
    <row r="5" spans="1:29" ht="11.1" customHeight="1" thickBot="1">
      <c r="C5" s="65"/>
      <c r="D5" s="65"/>
      <c r="E5" s="65"/>
      <c r="F5" s="65"/>
      <c r="G5" s="65"/>
      <c r="H5" s="65"/>
      <c r="I5" s="913"/>
      <c r="J5" s="913"/>
      <c r="K5" s="65"/>
      <c r="L5" s="65"/>
      <c r="M5" s="914"/>
      <c r="N5" s="65"/>
    </row>
    <row r="6" spans="1:29" ht="24.95" customHeight="1">
      <c r="A6" s="2055" t="s">
        <v>43</v>
      </c>
      <c r="B6" s="1984"/>
      <c r="C6" s="2056" t="s">
        <v>360</v>
      </c>
      <c r="D6" s="2056" t="s">
        <v>116</v>
      </c>
      <c r="E6" s="2056" t="s">
        <v>116</v>
      </c>
      <c r="F6" s="2056" t="s">
        <v>116</v>
      </c>
      <c r="G6" s="2056" t="s">
        <v>116</v>
      </c>
      <c r="H6" s="2057" t="s">
        <v>116</v>
      </c>
      <c r="I6" s="875" t="s">
        <v>0</v>
      </c>
      <c r="J6" s="875" t="s">
        <v>1</v>
      </c>
      <c r="K6" s="2063" t="s">
        <v>212</v>
      </c>
      <c r="L6" s="2053"/>
      <c r="M6" s="2053"/>
      <c r="N6" s="2053"/>
      <c r="O6" s="2053"/>
      <c r="P6" s="2054"/>
    </row>
    <row r="7" spans="1:29" s="70" customFormat="1" ht="12" customHeight="1">
      <c r="A7" s="1985"/>
      <c r="B7" s="1986"/>
      <c r="C7" s="2058"/>
      <c r="D7" s="2058"/>
      <c r="E7" s="2058"/>
      <c r="F7" s="2058"/>
      <c r="G7" s="2058"/>
      <c r="H7" s="2059"/>
      <c r="I7" s="876" t="s">
        <v>3</v>
      </c>
      <c r="J7" s="876" t="s">
        <v>4</v>
      </c>
      <c r="K7" s="877"/>
      <c r="L7" s="876"/>
      <c r="M7" s="878"/>
      <c r="N7" s="2060" t="s">
        <v>314</v>
      </c>
      <c r="O7" s="2061"/>
      <c r="P7" s="2062"/>
    </row>
    <row r="8" spans="1:29" s="70" customFormat="1" ht="12" customHeight="1">
      <c r="A8" s="1985"/>
      <c r="B8" s="1986"/>
      <c r="C8" s="879"/>
      <c r="D8" s="880"/>
      <c r="E8" s="880"/>
      <c r="F8" s="21" t="s">
        <v>167</v>
      </c>
      <c r="G8" s="881"/>
      <c r="H8" s="882"/>
      <c r="I8" s="876" t="s">
        <v>8</v>
      </c>
      <c r="J8" s="876" t="s">
        <v>8</v>
      </c>
      <c r="K8" s="883"/>
      <c r="L8" s="880"/>
      <c r="M8" s="884"/>
      <c r="N8" s="1974" t="s">
        <v>315</v>
      </c>
      <c r="O8" s="1975"/>
      <c r="P8" s="1977"/>
      <c r="Q8" s="43"/>
      <c r="R8" s="41"/>
      <c r="S8" s="41"/>
      <c r="T8" s="41"/>
      <c r="U8" s="41"/>
      <c r="V8" s="41"/>
      <c r="W8" s="41"/>
      <c r="X8" s="41"/>
      <c r="Y8" s="41"/>
      <c r="Z8" s="42"/>
      <c r="AA8" s="41"/>
      <c r="AB8" s="41"/>
      <c r="AC8" s="64"/>
    </row>
    <row r="9" spans="1:29" s="70" customFormat="1" ht="12" customHeight="1">
      <c r="A9" s="1985"/>
      <c r="B9" s="1986"/>
      <c r="C9" s="1125"/>
      <c r="D9" s="876"/>
      <c r="E9" s="876"/>
      <c r="F9" s="886" t="s">
        <v>297</v>
      </c>
      <c r="G9" s="887"/>
      <c r="H9" s="888"/>
      <c r="I9" s="876" t="s">
        <v>20</v>
      </c>
      <c r="J9" s="876" t="s">
        <v>20</v>
      </c>
      <c r="K9" s="883"/>
      <c r="L9" s="880"/>
      <c r="M9" s="889"/>
      <c r="N9" s="890"/>
      <c r="O9" s="891"/>
      <c r="P9" s="892"/>
    </row>
    <row r="10" spans="1:29" s="70" customFormat="1" ht="12" customHeight="1">
      <c r="A10" s="1985"/>
      <c r="B10" s="1986"/>
      <c r="C10" s="894" t="s">
        <v>19</v>
      </c>
      <c r="D10" s="876" t="s">
        <v>17</v>
      </c>
      <c r="E10" s="876" t="s">
        <v>18</v>
      </c>
      <c r="F10" s="893"/>
      <c r="G10" s="893"/>
      <c r="H10" s="893"/>
      <c r="I10" s="876" t="s">
        <v>33</v>
      </c>
      <c r="J10" s="876" t="s">
        <v>33</v>
      </c>
      <c r="K10" s="894" t="s">
        <v>19</v>
      </c>
      <c r="L10" s="895" t="s">
        <v>17</v>
      </c>
      <c r="M10" s="896" t="s">
        <v>18</v>
      </c>
      <c r="N10" s="897" t="s">
        <v>19</v>
      </c>
      <c r="O10" s="898" t="s">
        <v>17</v>
      </c>
      <c r="P10" s="899" t="s">
        <v>18</v>
      </c>
    </row>
    <row r="11" spans="1:29" s="70" customFormat="1" ht="12" customHeight="1">
      <c r="A11" s="1985"/>
      <c r="B11" s="1986"/>
      <c r="C11" s="894" t="s">
        <v>29</v>
      </c>
      <c r="D11" s="1126" t="s">
        <v>28</v>
      </c>
      <c r="E11" s="880" t="s">
        <v>28</v>
      </c>
      <c r="F11" s="900" t="s">
        <v>30</v>
      </c>
      <c r="G11" s="900" t="s">
        <v>31</v>
      </c>
      <c r="H11" s="901" t="s">
        <v>32</v>
      </c>
      <c r="I11" s="876" t="s">
        <v>39</v>
      </c>
      <c r="J11" s="876" t="s">
        <v>39</v>
      </c>
      <c r="K11" s="894" t="s">
        <v>29</v>
      </c>
      <c r="L11" s="895" t="s">
        <v>28</v>
      </c>
      <c r="M11" s="896" t="s">
        <v>34</v>
      </c>
      <c r="N11" s="897" t="s">
        <v>29</v>
      </c>
      <c r="O11" s="898" t="s">
        <v>28</v>
      </c>
      <c r="P11" s="899" t="s">
        <v>34</v>
      </c>
    </row>
    <row r="12" spans="1:29" ht="11.1" customHeight="1">
      <c r="A12" s="1987"/>
      <c r="B12" s="1988"/>
      <c r="C12" s="885"/>
      <c r="D12" s="876"/>
      <c r="E12" s="876"/>
      <c r="F12" s="902"/>
      <c r="G12" s="902"/>
      <c r="H12" s="903"/>
      <c r="I12" s="876"/>
      <c r="J12" s="876"/>
      <c r="K12" s="904"/>
      <c r="L12" s="905"/>
      <c r="M12" s="886"/>
      <c r="N12" s="906"/>
      <c r="O12" s="905"/>
      <c r="P12" s="907"/>
    </row>
    <row r="13" spans="1:29" ht="15" customHeight="1">
      <c r="A13" s="592" t="s">
        <v>58</v>
      </c>
      <c r="B13" s="601"/>
      <c r="C13" s="1078">
        <v>54</v>
      </c>
      <c r="D13" s="1076">
        <v>12</v>
      </c>
      <c r="E13" s="1077">
        <v>42</v>
      </c>
      <c r="F13" s="1076">
        <v>18</v>
      </c>
      <c r="G13" s="1076">
        <v>18</v>
      </c>
      <c r="H13" s="1077">
        <v>21</v>
      </c>
      <c r="I13" s="1067">
        <v>18</v>
      </c>
      <c r="J13" s="1067">
        <v>0</v>
      </c>
      <c r="K13" s="1080">
        <v>15</v>
      </c>
      <c r="L13" s="1076">
        <v>3</v>
      </c>
      <c r="M13" s="1077">
        <v>12</v>
      </c>
      <c r="N13" s="1080">
        <v>15</v>
      </c>
      <c r="O13" s="1076">
        <v>3</v>
      </c>
      <c r="P13" s="1084">
        <v>12</v>
      </c>
    </row>
    <row r="14" spans="1:29" ht="15" customHeight="1">
      <c r="A14" s="592" t="s">
        <v>49</v>
      </c>
      <c r="B14" s="595"/>
      <c r="C14" s="1069">
        <v>0</v>
      </c>
      <c r="D14" s="5">
        <v>0</v>
      </c>
      <c r="E14" s="396">
        <v>0</v>
      </c>
      <c r="F14" s="5">
        <v>0</v>
      </c>
      <c r="G14" s="5">
        <v>0</v>
      </c>
      <c r="H14" s="396">
        <v>0</v>
      </c>
      <c r="I14" s="396">
        <v>0</v>
      </c>
      <c r="J14" s="396">
        <v>0</v>
      </c>
      <c r="K14" s="1081">
        <v>0</v>
      </c>
      <c r="L14" s="5">
        <v>0</v>
      </c>
      <c r="M14" s="396">
        <v>0</v>
      </c>
      <c r="N14" s="1081">
        <v>0</v>
      </c>
      <c r="O14" s="5">
        <v>0</v>
      </c>
      <c r="P14" s="1038">
        <v>0</v>
      </c>
    </row>
    <row r="15" spans="1:29" ht="15" customHeight="1">
      <c r="A15" s="592" t="s">
        <v>52</v>
      </c>
      <c r="B15" s="595"/>
      <c r="C15" s="1069">
        <v>90</v>
      </c>
      <c r="D15" s="5">
        <v>21</v>
      </c>
      <c r="E15" s="396">
        <v>69</v>
      </c>
      <c r="F15" s="5">
        <v>30</v>
      </c>
      <c r="G15" s="5">
        <v>30</v>
      </c>
      <c r="H15" s="396">
        <v>30</v>
      </c>
      <c r="I15" s="396">
        <v>30</v>
      </c>
      <c r="J15" s="396">
        <v>0</v>
      </c>
      <c r="K15" s="1081">
        <v>21</v>
      </c>
      <c r="L15" s="5">
        <v>3</v>
      </c>
      <c r="M15" s="396">
        <v>18</v>
      </c>
      <c r="N15" s="1081">
        <v>21</v>
      </c>
      <c r="O15" s="5">
        <v>3</v>
      </c>
      <c r="P15" s="1038">
        <v>18</v>
      </c>
    </row>
    <row r="16" spans="1:29" ht="15" customHeight="1">
      <c r="A16" s="592" t="s">
        <v>48</v>
      </c>
      <c r="B16" s="595"/>
      <c r="C16" s="1069">
        <v>0</v>
      </c>
      <c r="D16" s="5">
        <v>0</v>
      </c>
      <c r="E16" s="396">
        <v>0</v>
      </c>
      <c r="F16" s="5">
        <v>0</v>
      </c>
      <c r="G16" s="5">
        <v>0</v>
      </c>
      <c r="H16" s="396">
        <v>0</v>
      </c>
      <c r="I16" s="396">
        <v>0</v>
      </c>
      <c r="J16" s="396">
        <v>0</v>
      </c>
      <c r="K16" s="1081">
        <v>0</v>
      </c>
      <c r="L16" s="5">
        <v>0</v>
      </c>
      <c r="M16" s="396">
        <v>0</v>
      </c>
      <c r="N16" s="1081">
        <v>0</v>
      </c>
      <c r="O16" s="5">
        <v>0</v>
      </c>
      <c r="P16" s="1038">
        <v>0</v>
      </c>
    </row>
    <row r="17" spans="1:16" ht="15" customHeight="1">
      <c r="A17" s="592" t="s">
        <v>53</v>
      </c>
      <c r="B17" s="543"/>
      <c r="C17" s="1069">
        <v>45</v>
      </c>
      <c r="D17" s="5">
        <v>18</v>
      </c>
      <c r="E17" s="396">
        <v>27</v>
      </c>
      <c r="F17" s="5">
        <v>15</v>
      </c>
      <c r="G17" s="5">
        <v>12</v>
      </c>
      <c r="H17" s="396">
        <v>15</v>
      </c>
      <c r="I17" s="396">
        <v>15</v>
      </c>
      <c r="J17" s="396">
        <v>0</v>
      </c>
      <c r="K17" s="1081">
        <v>18</v>
      </c>
      <c r="L17" s="5">
        <v>3</v>
      </c>
      <c r="M17" s="396">
        <v>15</v>
      </c>
      <c r="N17" s="1081">
        <v>18</v>
      </c>
      <c r="O17" s="5">
        <v>3</v>
      </c>
      <c r="P17" s="1038">
        <v>15</v>
      </c>
    </row>
    <row r="18" spans="1:16" ht="15" customHeight="1">
      <c r="A18" s="592" t="s">
        <v>50</v>
      </c>
      <c r="B18" s="595"/>
      <c r="C18" s="1069">
        <v>12</v>
      </c>
      <c r="D18" s="5">
        <v>6</v>
      </c>
      <c r="E18" s="396">
        <v>6</v>
      </c>
      <c r="F18" s="5">
        <v>6</v>
      </c>
      <c r="G18" s="5">
        <v>3</v>
      </c>
      <c r="H18" s="396">
        <v>3</v>
      </c>
      <c r="I18" s="396">
        <v>6</v>
      </c>
      <c r="J18" s="396">
        <v>0</v>
      </c>
      <c r="K18" s="1081">
        <v>3</v>
      </c>
      <c r="L18" s="5">
        <v>3</v>
      </c>
      <c r="M18" s="396">
        <v>0</v>
      </c>
      <c r="N18" s="1081">
        <v>3</v>
      </c>
      <c r="O18" s="5">
        <v>0</v>
      </c>
      <c r="P18" s="1038">
        <v>0</v>
      </c>
    </row>
    <row r="19" spans="1:16" ht="15" customHeight="1">
      <c r="A19" s="592" t="s">
        <v>54</v>
      </c>
      <c r="B19" s="595"/>
      <c r="C19" s="1069">
        <v>12</v>
      </c>
      <c r="D19" s="5">
        <v>3</v>
      </c>
      <c r="E19" s="396">
        <v>12</v>
      </c>
      <c r="F19" s="5">
        <v>3</v>
      </c>
      <c r="G19" s="5">
        <v>6</v>
      </c>
      <c r="H19" s="396">
        <v>6</v>
      </c>
      <c r="I19" s="396">
        <v>3</v>
      </c>
      <c r="J19" s="396">
        <v>0</v>
      </c>
      <c r="K19" s="1081">
        <v>6</v>
      </c>
      <c r="L19" s="5">
        <v>0</v>
      </c>
      <c r="M19" s="396">
        <v>6</v>
      </c>
      <c r="N19" s="1081">
        <v>6</v>
      </c>
      <c r="O19" s="5">
        <v>0</v>
      </c>
      <c r="P19" s="1038">
        <v>6</v>
      </c>
    </row>
    <row r="20" spans="1:16" ht="15" customHeight="1">
      <c r="A20" s="592" t="s">
        <v>44</v>
      </c>
      <c r="B20" s="595"/>
      <c r="C20" s="1069">
        <v>33</v>
      </c>
      <c r="D20" s="5">
        <v>9</v>
      </c>
      <c r="E20" s="396">
        <v>24</v>
      </c>
      <c r="F20" s="5">
        <v>9</v>
      </c>
      <c r="G20" s="5">
        <v>12</v>
      </c>
      <c r="H20" s="396">
        <v>12</v>
      </c>
      <c r="I20" s="396">
        <v>9</v>
      </c>
      <c r="J20" s="396">
        <v>0</v>
      </c>
      <c r="K20" s="1081">
        <v>18</v>
      </c>
      <c r="L20" s="5">
        <v>6</v>
      </c>
      <c r="M20" s="396">
        <v>12</v>
      </c>
      <c r="N20" s="1081">
        <v>18</v>
      </c>
      <c r="O20" s="5">
        <v>6</v>
      </c>
      <c r="P20" s="1038">
        <v>12</v>
      </c>
    </row>
    <row r="21" spans="1:16" ht="15" customHeight="1">
      <c r="A21" s="592" t="s">
        <v>45</v>
      </c>
      <c r="B21" s="595"/>
      <c r="C21" s="1069">
        <v>156</v>
      </c>
      <c r="D21" s="5">
        <v>18</v>
      </c>
      <c r="E21" s="396">
        <v>135</v>
      </c>
      <c r="F21" s="5">
        <v>51</v>
      </c>
      <c r="G21" s="5">
        <v>57</v>
      </c>
      <c r="H21" s="396">
        <v>48</v>
      </c>
      <c r="I21" s="396">
        <v>51</v>
      </c>
      <c r="J21" s="396">
        <v>0</v>
      </c>
      <c r="K21" s="1081">
        <v>63</v>
      </c>
      <c r="L21" s="5">
        <v>6</v>
      </c>
      <c r="M21" s="396">
        <v>57</v>
      </c>
      <c r="N21" s="1081">
        <v>63</v>
      </c>
      <c r="O21" s="5">
        <v>6</v>
      </c>
      <c r="P21" s="1038">
        <v>57</v>
      </c>
    </row>
    <row r="22" spans="1:16" ht="15" customHeight="1">
      <c r="A22" s="592" t="s">
        <v>55</v>
      </c>
      <c r="B22" s="595"/>
      <c r="C22" s="1069">
        <v>0</v>
      </c>
      <c r="D22" s="5">
        <v>0</v>
      </c>
      <c r="E22" s="396">
        <v>0</v>
      </c>
      <c r="F22" s="5">
        <v>0</v>
      </c>
      <c r="G22" s="5">
        <v>0</v>
      </c>
      <c r="H22" s="396">
        <v>0</v>
      </c>
      <c r="I22" s="396">
        <v>0</v>
      </c>
      <c r="J22" s="396">
        <v>0</v>
      </c>
      <c r="K22" s="1081">
        <v>0</v>
      </c>
      <c r="L22" s="5">
        <v>0</v>
      </c>
      <c r="M22" s="396">
        <v>0</v>
      </c>
      <c r="N22" s="1081">
        <v>0</v>
      </c>
      <c r="O22" s="5">
        <v>0</v>
      </c>
      <c r="P22" s="1038">
        <v>0</v>
      </c>
    </row>
    <row r="23" spans="1:16" ht="15" customHeight="1">
      <c r="A23" s="592" t="s">
        <v>46</v>
      </c>
      <c r="B23" s="595"/>
      <c r="C23" s="1070">
        <v>0</v>
      </c>
      <c r="D23" s="1063">
        <v>0</v>
      </c>
      <c r="E23" s="1064">
        <v>0</v>
      </c>
      <c r="F23" s="1063">
        <v>0</v>
      </c>
      <c r="G23" s="1063">
        <v>0</v>
      </c>
      <c r="H23" s="1064">
        <v>0</v>
      </c>
      <c r="I23" s="396">
        <v>0</v>
      </c>
      <c r="J23" s="396">
        <v>0</v>
      </c>
      <c r="K23" s="1082">
        <v>0</v>
      </c>
      <c r="L23" s="1063">
        <v>0</v>
      </c>
      <c r="M23" s="1064">
        <v>0</v>
      </c>
      <c r="N23" s="1082">
        <v>0</v>
      </c>
      <c r="O23" s="1063">
        <v>0</v>
      </c>
      <c r="P23" s="1036">
        <v>0</v>
      </c>
    </row>
    <row r="24" spans="1:16" ht="15" customHeight="1">
      <c r="A24" s="592" t="s">
        <v>47</v>
      </c>
      <c r="B24" s="595"/>
      <c r="C24" s="1069">
        <v>21</v>
      </c>
      <c r="D24" s="5">
        <v>6</v>
      </c>
      <c r="E24" s="396">
        <v>12</v>
      </c>
      <c r="F24" s="5">
        <v>6</v>
      </c>
      <c r="G24" s="5">
        <v>6</v>
      </c>
      <c r="H24" s="396">
        <v>9</v>
      </c>
      <c r="I24" s="258">
        <v>6</v>
      </c>
      <c r="J24" s="258">
        <v>3</v>
      </c>
      <c r="K24" s="1081">
        <v>9</v>
      </c>
      <c r="L24" s="5">
        <v>6</v>
      </c>
      <c r="M24" s="396">
        <v>3</v>
      </c>
      <c r="N24" s="1081">
        <v>3</v>
      </c>
      <c r="O24" s="5">
        <v>0</v>
      </c>
      <c r="P24" s="1038">
        <v>3</v>
      </c>
    </row>
    <row r="25" spans="1:16" ht="15" customHeight="1">
      <c r="A25" s="592" t="s">
        <v>51</v>
      </c>
      <c r="B25" s="595"/>
      <c r="C25" s="1069">
        <v>30</v>
      </c>
      <c r="D25" s="5">
        <v>6</v>
      </c>
      <c r="E25" s="396">
        <v>24</v>
      </c>
      <c r="F25" s="5">
        <v>9</v>
      </c>
      <c r="G25" s="5">
        <v>12</v>
      </c>
      <c r="H25" s="396">
        <v>9</v>
      </c>
      <c r="I25" s="396">
        <v>9</v>
      </c>
      <c r="J25" s="396">
        <v>3</v>
      </c>
      <c r="K25" s="1081">
        <v>12</v>
      </c>
      <c r="L25" s="5">
        <v>3</v>
      </c>
      <c r="M25" s="396">
        <v>9</v>
      </c>
      <c r="N25" s="1081">
        <v>6</v>
      </c>
      <c r="O25" s="5">
        <v>3</v>
      </c>
      <c r="P25" s="1038">
        <v>6</v>
      </c>
    </row>
    <row r="26" spans="1:16" ht="15" customHeight="1">
      <c r="A26" s="592" t="s">
        <v>56</v>
      </c>
      <c r="B26" s="595"/>
      <c r="C26" s="1069">
        <v>15</v>
      </c>
      <c r="D26" s="5">
        <v>3</v>
      </c>
      <c r="E26" s="396">
        <v>12</v>
      </c>
      <c r="F26" s="5">
        <v>6</v>
      </c>
      <c r="G26" s="5">
        <v>6</v>
      </c>
      <c r="H26" s="396">
        <v>3</v>
      </c>
      <c r="I26" s="396">
        <v>6</v>
      </c>
      <c r="J26" s="396">
        <v>0</v>
      </c>
      <c r="K26" s="1081">
        <v>9</v>
      </c>
      <c r="L26" s="5">
        <v>3</v>
      </c>
      <c r="M26" s="396">
        <v>6</v>
      </c>
      <c r="N26" s="1081">
        <v>9</v>
      </c>
      <c r="O26" s="5">
        <v>3</v>
      </c>
      <c r="P26" s="1038">
        <v>6</v>
      </c>
    </row>
    <row r="27" spans="1:16" s="70" customFormat="1" ht="15" customHeight="1">
      <c r="A27" s="592" t="s">
        <v>57</v>
      </c>
      <c r="B27" s="595"/>
      <c r="C27" s="1069">
        <v>15</v>
      </c>
      <c r="D27" s="5">
        <v>3</v>
      </c>
      <c r="E27" s="396">
        <v>12</v>
      </c>
      <c r="F27" s="5">
        <v>6</v>
      </c>
      <c r="G27" s="5">
        <v>3</v>
      </c>
      <c r="H27" s="396">
        <v>6</v>
      </c>
      <c r="I27" s="396">
        <v>6</v>
      </c>
      <c r="J27" s="396">
        <v>0</v>
      </c>
      <c r="K27" s="1081">
        <v>6</v>
      </c>
      <c r="L27" s="5">
        <v>0</v>
      </c>
      <c r="M27" s="396">
        <v>6</v>
      </c>
      <c r="N27" s="1081">
        <v>3</v>
      </c>
      <c r="O27" s="5">
        <v>0</v>
      </c>
      <c r="P27" s="1038">
        <v>3</v>
      </c>
    </row>
    <row r="28" spans="1:16" s="7" customFormat="1" ht="15" customHeight="1">
      <c r="A28" s="592" t="s">
        <v>59</v>
      </c>
      <c r="B28" s="595"/>
      <c r="C28" s="1069">
        <v>9</v>
      </c>
      <c r="D28" s="5">
        <v>3</v>
      </c>
      <c r="E28" s="396">
        <v>6</v>
      </c>
      <c r="F28" s="5">
        <v>0</v>
      </c>
      <c r="G28" s="5">
        <v>3</v>
      </c>
      <c r="H28" s="396">
        <v>3</v>
      </c>
      <c r="I28" s="1037">
        <v>0</v>
      </c>
      <c r="J28" s="1037">
        <v>0</v>
      </c>
      <c r="K28" s="1081">
        <v>0</v>
      </c>
      <c r="L28" s="5">
        <v>0</v>
      </c>
      <c r="M28" s="396">
        <v>0</v>
      </c>
      <c r="N28" s="1081">
        <v>0</v>
      </c>
      <c r="O28" s="5">
        <v>0</v>
      </c>
      <c r="P28" s="1038">
        <v>0</v>
      </c>
    </row>
    <row r="29" spans="1:16" s="7" customFormat="1" ht="4.5" customHeight="1">
      <c r="A29" s="656"/>
      <c r="B29" s="595"/>
      <c r="C29" s="408"/>
      <c r="D29" s="406"/>
      <c r="E29" s="407"/>
      <c r="F29" s="406"/>
      <c r="G29" s="406"/>
      <c r="H29" s="407"/>
      <c r="I29" s="1079"/>
      <c r="J29" s="1079"/>
      <c r="K29" s="1083"/>
      <c r="L29" s="406"/>
      <c r="M29" s="407"/>
      <c r="N29" s="1083"/>
      <c r="O29" s="406"/>
      <c r="P29" s="1085"/>
    </row>
    <row r="30" spans="1:16" s="70" customFormat="1" ht="21" customHeight="1" thickBot="1">
      <c r="A30" s="593" t="s">
        <v>60</v>
      </c>
      <c r="B30" s="658"/>
      <c r="C30" s="1068">
        <v>492</v>
      </c>
      <c r="D30" s="580">
        <v>108</v>
      </c>
      <c r="E30" s="1065">
        <v>384</v>
      </c>
      <c r="F30" s="580">
        <v>162</v>
      </c>
      <c r="G30" s="580">
        <v>165</v>
      </c>
      <c r="H30" s="1065">
        <v>165</v>
      </c>
      <c r="I30" s="1066">
        <v>162</v>
      </c>
      <c r="J30" s="1066">
        <v>12</v>
      </c>
      <c r="K30" s="580">
        <v>177</v>
      </c>
      <c r="L30" s="580">
        <v>36</v>
      </c>
      <c r="M30" s="1065">
        <v>141</v>
      </c>
      <c r="N30" s="580">
        <v>159</v>
      </c>
      <c r="O30" s="580">
        <v>30</v>
      </c>
      <c r="P30" s="1039">
        <v>132</v>
      </c>
    </row>
    <row r="31" spans="1:16" s="70" customFormat="1" ht="3.6" customHeight="1">
      <c r="A31" s="71"/>
      <c r="B31" s="71"/>
      <c r="C31" s="68"/>
      <c r="D31" s="68"/>
      <c r="E31" s="68"/>
      <c r="F31" s="68"/>
      <c r="G31" s="68"/>
      <c r="H31" s="68"/>
      <c r="I31" s="68"/>
      <c r="J31" s="68"/>
      <c r="K31" s="68"/>
      <c r="L31" s="68"/>
      <c r="M31" s="68"/>
      <c r="N31" s="68"/>
      <c r="O31" s="82"/>
      <c r="P31" s="82"/>
    </row>
    <row r="32" spans="1:16" s="70" customFormat="1" ht="11.1" customHeight="1">
      <c r="A32" s="70" t="s">
        <v>299</v>
      </c>
      <c r="C32" s="68"/>
      <c r="D32" s="68"/>
      <c r="E32" s="68"/>
      <c r="F32" s="146"/>
      <c r="G32" s="146"/>
      <c r="H32" s="146"/>
      <c r="I32" s="68"/>
      <c r="J32" s="68"/>
      <c r="K32" s="68"/>
      <c r="L32" s="68"/>
      <c r="M32" s="68"/>
      <c r="N32" s="68"/>
      <c r="O32" s="82"/>
      <c r="P32" s="82"/>
    </row>
    <row r="33" spans="1:16" s="70" customFormat="1" ht="21.95" customHeight="1">
      <c r="A33" s="73"/>
      <c r="B33" s="73"/>
      <c r="C33" s="68"/>
      <c r="D33" s="68"/>
      <c r="E33" s="68"/>
      <c r="F33" s="68"/>
      <c r="G33" s="68"/>
      <c r="H33" s="68"/>
      <c r="I33" s="68"/>
      <c r="J33" s="68"/>
      <c r="K33" s="68"/>
      <c r="L33" s="68"/>
      <c r="M33" s="68"/>
      <c r="N33" s="68"/>
      <c r="O33" s="82"/>
      <c r="P33" s="82"/>
    </row>
    <row r="34" spans="1:16" s="70" customFormat="1" ht="15.75" customHeight="1">
      <c r="A34" s="73"/>
      <c r="B34" s="73"/>
      <c r="C34" s="68"/>
      <c r="D34" s="68"/>
      <c r="E34" s="68"/>
      <c r="F34" s="68"/>
      <c r="G34" s="68"/>
      <c r="H34" s="68"/>
      <c r="I34" s="68"/>
      <c r="J34" s="68"/>
      <c r="K34" s="68"/>
      <c r="L34" s="68"/>
      <c r="M34" s="68"/>
      <c r="N34" s="68"/>
      <c r="O34" s="82"/>
      <c r="P34" s="82"/>
    </row>
    <row r="35" spans="1:16" s="70" customFormat="1" ht="15.75" customHeight="1">
      <c r="A35" s="73"/>
      <c r="B35" s="73"/>
      <c r="C35" s="962"/>
      <c r="D35" s="68"/>
      <c r="E35" s="68"/>
      <c r="F35" s="68"/>
      <c r="G35" s="68"/>
      <c r="H35" s="68"/>
      <c r="I35" s="68"/>
      <c r="J35" s="68"/>
      <c r="K35" s="68"/>
      <c r="L35" s="68"/>
      <c r="M35" s="68"/>
      <c r="N35" s="68"/>
      <c r="O35" s="82"/>
      <c r="P35" s="82"/>
    </row>
    <row r="36" spans="1:16" s="70" customFormat="1" ht="15.75" customHeight="1" thickBot="1">
      <c r="A36" s="593" t="s">
        <v>60</v>
      </c>
      <c r="B36" s="598"/>
      <c r="C36" s="1068">
        <v>492</v>
      </c>
      <c r="D36" s="580">
        <v>108</v>
      </c>
      <c r="E36" s="1065">
        <v>381</v>
      </c>
      <c r="F36" s="580">
        <v>159</v>
      </c>
      <c r="G36" s="580">
        <v>168</v>
      </c>
      <c r="H36" s="1065">
        <v>165</v>
      </c>
      <c r="I36" s="580">
        <v>159</v>
      </c>
      <c r="J36" s="1066">
        <v>6</v>
      </c>
      <c r="K36" s="1068">
        <v>180</v>
      </c>
      <c r="L36" s="580">
        <v>36</v>
      </c>
      <c r="M36" s="1065">
        <v>144</v>
      </c>
      <c r="N36" s="1068">
        <v>165</v>
      </c>
      <c r="O36" s="580">
        <v>27</v>
      </c>
      <c r="P36" s="1039">
        <v>138</v>
      </c>
    </row>
    <row r="37" spans="1:16" s="70" customFormat="1" ht="15.75" customHeight="1" thickBot="1">
      <c r="A37" s="593" t="s">
        <v>386</v>
      </c>
      <c r="B37" s="598"/>
      <c r="C37" s="1327">
        <f t="shared" ref="C37:P37" si="0">C30-C36</f>
        <v>0</v>
      </c>
      <c r="D37" s="1305">
        <f t="shared" si="0"/>
        <v>0</v>
      </c>
      <c r="E37" s="1298">
        <f t="shared" si="0"/>
        <v>3</v>
      </c>
      <c r="F37" s="1322">
        <f t="shared" si="0"/>
        <v>3</v>
      </c>
      <c r="G37" s="1295">
        <f t="shared" si="0"/>
        <v>-3</v>
      </c>
      <c r="H37" s="1311">
        <f t="shared" si="0"/>
        <v>0</v>
      </c>
      <c r="I37" s="1297">
        <f t="shared" si="0"/>
        <v>3</v>
      </c>
      <c r="J37" s="1337">
        <f t="shared" si="0"/>
        <v>6</v>
      </c>
      <c r="K37" s="1328">
        <f t="shared" si="0"/>
        <v>-3</v>
      </c>
      <c r="L37" s="1305">
        <f t="shared" si="0"/>
        <v>0</v>
      </c>
      <c r="M37" s="1296">
        <f t="shared" si="0"/>
        <v>-3</v>
      </c>
      <c r="N37" s="1328">
        <f t="shared" si="0"/>
        <v>-6</v>
      </c>
      <c r="O37" s="1297">
        <f t="shared" si="0"/>
        <v>3</v>
      </c>
      <c r="P37" s="1349">
        <f t="shared" si="0"/>
        <v>-6</v>
      </c>
    </row>
    <row r="38" spans="1:16">
      <c r="A38" s="8"/>
      <c r="B38" s="8"/>
      <c r="C38" s="8"/>
      <c r="D38" s="8"/>
      <c r="E38" s="8"/>
      <c r="F38" s="8"/>
      <c r="G38" s="8"/>
      <c r="H38" s="8"/>
      <c r="I38" s="190"/>
      <c r="J38" s="190"/>
      <c r="K38" s="8"/>
      <c r="L38" s="8"/>
      <c r="M38" s="9"/>
      <c r="N38" s="8"/>
      <c r="O38" s="8"/>
      <c r="P38" s="8"/>
    </row>
    <row r="39" spans="1:16">
      <c r="A39" s="8"/>
      <c r="B39" s="8"/>
      <c r="C39" s="8"/>
      <c r="D39" s="8"/>
      <c r="E39" s="8"/>
      <c r="F39" s="8"/>
      <c r="G39" s="8"/>
      <c r="H39" s="8"/>
      <c r="I39" s="190"/>
      <c r="J39" s="190"/>
      <c r="K39" s="8"/>
      <c r="L39" s="8"/>
      <c r="M39" s="9"/>
      <c r="N39" s="8"/>
      <c r="O39" s="8"/>
      <c r="P39" s="8"/>
    </row>
    <row r="40" spans="1:16">
      <c r="A40" s="8"/>
      <c r="B40" s="8"/>
      <c r="C40" s="8"/>
      <c r="D40" s="8"/>
      <c r="E40" s="8"/>
      <c r="F40" s="8"/>
      <c r="G40" s="8"/>
      <c r="H40" s="8"/>
      <c r="I40" s="190"/>
      <c r="J40" s="190"/>
      <c r="K40" s="8"/>
      <c r="L40" s="8"/>
      <c r="M40" s="9"/>
      <c r="N40" s="8"/>
      <c r="O40" s="8"/>
      <c r="P40" s="8"/>
    </row>
    <row r="41" spans="1:16">
      <c r="A41" s="8"/>
      <c r="B41" s="8"/>
      <c r="C41" s="8"/>
      <c r="D41" s="8"/>
      <c r="E41" s="8"/>
      <c r="F41" s="8"/>
      <c r="G41" s="8"/>
      <c r="H41" s="8"/>
      <c r="I41" s="190"/>
      <c r="J41" s="190"/>
      <c r="K41" s="8"/>
      <c r="L41" s="8"/>
      <c r="M41" s="9"/>
      <c r="N41" s="8"/>
      <c r="O41" s="8"/>
      <c r="P41" s="8"/>
    </row>
    <row r="42" spans="1:16">
      <c r="A42" s="8"/>
      <c r="B42" s="8"/>
      <c r="C42" s="8"/>
      <c r="D42" s="8"/>
      <c r="E42" s="8"/>
      <c r="F42" s="8"/>
      <c r="G42" s="8"/>
      <c r="H42" s="8"/>
      <c r="I42" s="190"/>
      <c r="J42" s="190"/>
      <c r="K42" s="8"/>
      <c r="L42" s="8"/>
      <c r="M42" s="9"/>
      <c r="N42" s="8"/>
      <c r="O42" s="8"/>
      <c r="P42" s="8"/>
    </row>
    <row r="43" spans="1:16">
      <c r="A43" s="8"/>
      <c r="B43" s="8"/>
      <c r="C43" s="8"/>
      <c r="D43" s="8"/>
      <c r="E43" s="8"/>
      <c r="F43" s="8"/>
      <c r="G43" s="8"/>
      <c r="H43" s="8"/>
      <c r="I43" s="190"/>
      <c r="J43" s="190"/>
      <c r="K43" s="8"/>
      <c r="L43" s="8"/>
      <c r="M43" s="9"/>
      <c r="N43" s="8"/>
      <c r="O43" s="8"/>
      <c r="P43" s="8"/>
    </row>
    <row r="44" spans="1:16">
      <c r="A44" s="8"/>
      <c r="B44" s="8"/>
      <c r="C44" s="8"/>
      <c r="D44" s="8"/>
      <c r="E44" s="8"/>
      <c r="F44" s="8"/>
      <c r="G44" s="8"/>
      <c r="H44" s="8"/>
      <c r="I44" s="190"/>
      <c r="J44" s="190"/>
      <c r="K44" s="8"/>
      <c r="L44" s="8"/>
      <c r="M44" s="9"/>
      <c r="N44" s="8"/>
      <c r="O44" s="8"/>
      <c r="P44" s="8"/>
    </row>
    <row r="45" spans="1:16">
      <c r="A45" s="8"/>
      <c r="B45" s="8"/>
      <c r="C45" s="8"/>
      <c r="D45" s="8"/>
      <c r="E45" s="8"/>
      <c r="F45" s="8"/>
      <c r="G45" s="8"/>
      <c r="H45" s="8"/>
      <c r="I45" s="190"/>
      <c r="J45" s="190"/>
      <c r="K45" s="8"/>
      <c r="L45" s="8"/>
      <c r="M45" s="9"/>
      <c r="N45" s="8"/>
      <c r="O45" s="8"/>
      <c r="P45" s="8"/>
    </row>
    <row r="46" spans="1:16">
      <c r="A46" s="8"/>
      <c r="B46" s="8"/>
      <c r="C46" s="8"/>
      <c r="D46" s="8"/>
      <c r="E46" s="8"/>
      <c r="F46" s="8"/>
      <c r="G46" s="8"/>
      <c r="H46" s="8"/>
      <c r="I46" s="190"/>
      <c r="J46" s="190"/>
      <c r="K46" s="8"/>
      <c r="L46" s="8"/>
      <c r="M46" s="9"/>
      <c r="N46" s="8"/>
      <c r="O46" s="8"/>
      <c r="P46" s="8"/>
    </row>
    <row r="47" spans="1:16">
      <c r="A47" s="8"/>
      <c r="B47" s="8"/>
      <c r="C47" s="8"/>
      <c r="D47" s="8"/>
      <c r="E47" s="8"/>
      <c r="F47" s="8"/>
      <c r="G47" s="8"/>
      <c r="H47" s="8"/>
      <c r="I47" s="190"/>
      <c r="J47" s="190"/>
      <c r="K47" s="8"/>
      <c r="L47" s="8"/>
      <c r="M47" s="9"/>
      <c r="N47" s="8"/>
      <c r="O47" s="8"/>
      <c r="P47" s="8"/>
    </row>
    <row r="48" spans="1:16">
      <c r="A48" s="8"/>
      <c r="B48" s="8"/>
      <c r="C48" s="8"/>
      <c r="D48" s="8"/>
      <c r="E48" s="8"/>
      <c r="F48" s="8"/>
      <c r="G48" s="8"/>
      <c r="H48" s="8"/>
      <c r="I48" s="190"/>
      <c r="J48" s="190"/>
      <c r="K48" s="8"/>
      <c r="L48" s="8"/>
      <c r="M48" s="9"/>
      <c r="N48" s="8"/>
      <c r="O48" s="8"/>
      <c r="P48" s="8"/>
    </row>
    <row r="49" spans="1:16">
      <c r="A49" s="8"/>
      <c r="B49" s="8"/>
      <c r="C49" s="8"/>
      <c r="D49" s="8"/>
      <c r="E49" s="8"/>
      <c r="F49" s="8"/>
      <c r="G49" s="8"/>
      <c r="H49" s="8"/>
      <c r="I49" s="190"/>
      <c r="J49" s="190"/>
      <c r="K49" s="8"/>
      <c r="L49" s="8"/>
      <c r="M49" s="9"/>
      <c r="N49" s="8"/>
      <c r="O49" s="8"/>
      <c r="P49" s="8"/>
    </row>
    <row r="50" spans="1:16">
      <c r="A50" s="8"/>
      <c r="B50" s="8"/>
      <c r="C50" s="8"/>
      <c r="D50" s="8"/>
      <c r="E50" s="8"/>
      <c r="F50" s="8"/>
      <c r="G50" s="8"/>
      <c r="H50" s="8"/>
      <c r="I50" s="190"/>
      <c r="J50" s="190"/>
      <c r="K50" s="8"/>
      <c r="L50" s="8"/>
      <c r="M50" s="9"/>
      <c r="N50" s="8"/>
      <c r="O50" s="8"/>
      <c r="P50" s="8"/>
    </row>
    <row r="51" spans="1:16">
      <c r="A51" s="8"/>
      <c r="B51" s="8"/>
      <c r="C51" s="8"/>
      <c r="D51" s="8"/>
      <c r="E51" s="8"/>
      <c r="F51" s="8"/>
      <c r="G51" s="8"/>
      <c r="H51" s="8"/>
      <c r="I51" s="190"/>
      <c r="J51" s="190"/>
      <c r="K51" s="8"/>
      <c r="L51" s="8"/>
      <c r="M51" s="9"/>
      <c r="N51" s="8"/>
      <c r="O51" s="8"/>
      <c r="P51" s="8"/>
    </row>
    <row r="52" spans="1:16">
      <c r="A52" s="8"/>
      <c r="B52" s="8"/>
      <c r="C52" s="8"/>
      <c r="D52" s="8"/>
      <c r="E52" s="8"/>
      <c r="F52" s="8"/>
      <c r="G52" s="8"/>
      <c r="H52" s="8"/>
      <c r="I52" s="190"/>
      <c r="J52" s="190"/>
      <c r="K52" s="8"/>
      <c r="L52" s="8"/>
      <c r="M52" s="9"/>
      <c r="N52" s="8"/>
      <c r="O52" s="8"/>
      <c r="P52" s="8"/>
    </row>
    <row r="53" spans="1:16">
      <c r="A53" s="8"/>
      <c r="B53" s="8"/>
      <c r="C53" s="8"/>
      <c r="D53" s="8"/>
      <c r="E53" s="8"/>
      <c r="F53" s="8"/>
      <c r="G53" s="8"/>
      <c r="H53" s="8"/>
      <c r="I53" s="190"/>
      <c r="J53" s="190"/>
      <c r="K53" s="8"/>
      <c r="L53" s="8"/>
      <c r="M53" s="9"/>
      <c r="N53" s="8"/>
      <c r="O53" s="8"/>
      <c r="P53" s="8"/>
    </row>
    <row r="54" spans="1:16">
      <c r="A54" s="8"/>
      <c r="B54" s="8"/>
      <c r="C54" s="8"/>
      <c r="D54" s="8"/>
      <c r="E54" s="8"/>
      <c r="F54" s="8"/>
      <c r="G54" s="8"/>
      <c r="H54" s="8"/>
      <c r="I54" s="190"/>
      <c r="J54" s="190"/>
      <c r="K54" s="8"/>
      <c r="L54" s="8"/>
      <c r="M54" s="9"/>
      <c r="N54" s="8"/>
      <c r="O54" s="8"/>
      <c r="P54" s="8"/>
    </row>
    <row r="55" spans="1:16">
      <c r="A55" s="8"/>
      <c r="B55" s="8"/>
      <c r="C55" s="8"/>
      <c r="D55" s="8"/>
      <c r="E55" s="8"/>
      <c r="F55" s="8"/>
      <c r="G55" s="8"/>
      <c r="H55" s="8"/>
      <c r="I55" s="190"/>
      <c r="J55" s="190"/>
      <c r="K55" s="8"/>
      <c r="L55" s="8"/>
      <c r="M55" s="9"/>
      <c r="N55" s="8"/>
      <c r="O55" s="8"/>
      <c r="P55" s="8"/>
    </row>
    <row r="56" spans="1:16">
      <c r="A56" s="8"/>
      <c r="B56" s="8"/>
      <c r="C56" s="8"/>
      <c r="D56" s="8"/>
      <c r="E56" s="8"/>
      <c r="F56" s="8"/>
      <c r="G56" s="8"/>
      <c r="H56" s="8"/>
      <c r="I56" s="190"/>
      <c r="J56" s="190"/>
      <c r="K56" s="8"/>
      <c r="L56" s="8"/>
      <c r="M56" s="9"/>
      <c r="N56" s="8"/>
      <c r="O56" s="8"/>
      <c r="P56" s="8"/>
    </row>
    <row r="57" spans="1:16">
      <c r="A57" s="8"/>
      <c r="B57" s="8"/>
      <c r="C57" s="8"/>
      <c r="D57" s="8"/>
      <c r="E57" s="8"/>
      <c r="F57" s="8"/>
      <c r="G57" s="8"/>
      <c r="H57" s="8"/>
      <c r="I57" s="190"/>
      <c r="J57" s="190"/>
      <c r="K57" s="8"/>
      <c r="L57" s="8"/>
      <c r="M57" s="9"/>
      <c r="N57" s="8"/>
      <c r="O57" s="8"/>
      <c r="P57" s="8"/>
    </row>
    <row r="58" spans="1:16">
      <c r="A58" s="8"/>
      <c r="B58" s="8"/>
      <c r="C58" s="8"/>
      <c r="D58" s="8"/>
      <c r="E58" s="8"/>
      <c r="F58" s="8"/>
      <c r="G58" s="8"/>
      <c r="H58" s="8"/>
      <c r="I58" s="190"/>
      <c r="J58" s="190"/>
      <c r="K58" s="8"/>
      <c r="L58" s="8"/>
      <c r="M58" s="9"/>
      <c r="N58" s="8"/>
      <c r="O58" s="8"/>
      <c r="P58" s="8"/>
    </row>
    <row r="59" spans="1:16">
      <c r="A59" s="8"/>
      <c r="B59" s="8"/>
      <c r="C59" s="8"/>
      <c r="D59" s="8"/>
      <c r="E59" s="8"/>
      <c r="F59" s="8"/>
      <c r="G59" s="8"/>
      <c r="H59" s="8"/>
      <c r="I59" s="190"/>
      <c r="J59" s="190"/>
      <c r="K59" s="8"/>
      <c r="L59" s="8"/>
      <c r="M59" s="9"/>
      <c r="N59" s="8"/>
      <c r="O59" s="8"/>
      <c r="P59" s="8"/>
    </row>
    <row r="60" spans="1:16">
      <c r="A60" s="8"/>
      <c r="B60" s="8"/>
      <c r="C60" s="8"/>
      <c r="D60" s="8"/>
      <c r="E60" s="8"/>
      <c r="F60" s="8"/>
      <c r="G60" s="8"/>
      <c r="H60" s="8"/>
      <c r="I60" s="190"/>
      <c r="J60" s="190"/>
      <c r="K60" s="8"/>
      <c r="L60" s="8"/>
      <c r="M60" s="9"/>
      <c r="N60" s="8"/>
      <c r="O60" s="8"/>
      <c r="P60" s="8"/>
    </row>
    <row r="61" spans="1:16">
      <c r="A61" s="8"/>
      <c r="B61" s="8"/>
      <c r="C61" s="8"/>
      <c r="D61" s="8"/>
      <c r="E61" s="8"/>
      <c r="F61" s="8"/>
      <c r="G61" s="8"/>
      <c r="H61" s="8"/>
      <c r="I61" s="190"/>
      <c r="J61" s="190"/>
      <c r="K61" s="8"/>
      <c r="L61" s="8"/>
      <c r="M61" s="9"/>
      <c r="N61" s="8"/>
      <c r="O61" s="8"/>
      <c r="P61" s="8"/>
    </row>
    <row r="62" spans="1:16">
      <c r="A62" s="8"/>
      <c r="B62" s="8"/>
      <c r="C62" s="8"/>
      <c r="D62" s="8"/>
      <c r="E62" s="8"/>
      <c r="F62" s="8"/>
      <c r="G62" s="8"/>
      <c r="H62" s="8"/>
      <c r="I62" s="190"/>
      <c r="J62" s="190"/>
      <c r="K62" s="8"/>
      <c r="L62" s="8"/>
      <c r="M62" s="9"/>
      <c r="N62" s="8"/>
      <c r="O62" s="8"/>
      <c r="P62" s="8"/>
    </row>
    <row r="63" spans="1:16">
      <c r="A63" s="8"/>
      <c r="B63" s="8"/>
      <c r="C63" s="8"/>
      <c r="D63" s="8"/>
      <c r="E63" s="8"/>
      <c r="F63" s="8"/>
      <c r="G63" s="8"/>
      <c r="H63" s="8"/>
      <c r="I63" s="190"/>
      <c r="J63" s="190"/>
      <c r="K63" s="8"/>
      <c r="L63" s="8"/>
      <c r="M63" s="9"/>
      <c r="N63" s="8"/>
      <c r="O63" s="8"/>
      <c r="P63" s="8"/>
    </row>
    <row r="64" spans="1:16">
      <c r="A64" s="8"/>
      <c r="B64" s="8"/>
      <c r="C64" s="8"/>
      <c r="D64" s="8"/>
      <c r="E64" s="8"/>
      <c r="F64" s="8"/>
      <c r="G64" s="8"/>
      <c r="H64" s="8"/>
      <c r="I64" s="190"/>
      <c r="J64" s="190"/>
      <c r="K64" s="8"/>
      <c r="L64" s="8"/>
      <c r="M64" s="9"/>
      <c r="N64" s="8"/>
      <c r="O64" s="8"/>
      <c r="P64" s="8"/>
    </row>
    <row r="65" spans="1:16">
      <c r="A65" s="8"/>
      <c r="B65" s="8"/>
      <c r="C65" s="8"/>
      <c r="D65" s="8"/>
      <c r="E65" s="8"/>
      <c r="F65" s="8"/>
      <c r="G65" s="8"/>
      <c r="H65" s="8"/>
      <c r="I65" s="190"/>
      <c r="J65" s="190"/>
      <c r="K65" s="8"/>
      <c r="L65" s="8"/>
      <c r="M65" s="9"/>
      <c r="N65" s="8"/>
      <c r="O65" s="8"/>
      <c r="P65" s="8"/>
    </row>
    <row r="66" spans="1:16">
      <c r="A66" s="8"/>
      <c r="B66" s="8"/>
      <c r="C66" s="8"/>
      <c r="D66" s="8"/>
      <c r="E66" s="8"/>
      <c r="F66" s="8"/>
      <c r="G66" s="8"/>
      <c r="H66" s="8"/>
      <c r="I66" s="190"/>
      <c r="J66" s="190"/>
      <c r="K66" s="8"/>
      <c r="L66" s="8"/>
      <c r="M66" s="9"/>
      <c r="N66" s="8"/>
      <c r="O66" s="8"/>
      <c r="P66" s="8"/>
    </row>
    <row r="67" spans="1:16">
      <c r="A67" s="8"/>
      <c r="B67" s="8"/>
      <c r="C67" s="8"/>
      <c r="D67" s="8"/>
      <c r="E67" s="8"/>
      <c r="F67" s="8"/>
      <c r="G67" s="8"/>
      <c r="H67" s="8"/>
      <c r="I67" s="190"/>
      <c r="J67" s="190"/>
      <c r="K67" s="8"/>
      <c r="L67" s="8"/>
      <c r="M67" s="9"/>
      <c r="N67" s="8"/>
      <c r="O67" s="8"/>
      <c r="P67" s="8"/>
    </row>
    <row r="68" spans="1:16">
      <c r="A68" s="8"/>
      <c r="B68" s="8"/>
      <c r="C68" s="8"/>
      <c r="D68" s="8"/>
      <c r="E68" s="8"/>
      <c r="F68" s="8"/>
      <c r="G68" s="8"/>
      <c r="H68" s="8"/>
      <c r="I68" s="190"/>
      <c r="J68" s="190"/>
      <c r="K68" s="8"/>
      <c r="L68" s="8"/>
      <c r="M68" s="9"/>
      <c r="N68" s="8"/>
      <c r="O68" s="8"/>
      <c r="P68" s="8"/>
    </row>
    <row r="69" spans="1:16">
      <c r="A69" s="8"/>
      <c r="B69" s="8"/>
      <c r="C69" s="8"/>
      <c r="D69" s="8"/>
      <c r="E69" s="8"/>
      <c r="F69" s="8"/>
      <c r="G69" s="8"/>
      <c r="H69" s="8"/>
      <c r="I69" s="190"/>
      <c r="J69" s="190"/>
      <c r="K69" s="8"/>
      <c r="L69" s="8"/>
      <c r="M69" s="9"/>
      <c r="N69" s="8"/>
      <c r="O69" s="8"/>
      <c r="P69" s="8"/>
    </row>
    <row r="70" spans="1:16">
      <c r="A70" s="8"/>
      <c r="B70" s="8"/>
      <c r="C70" s="8"/>
      <c r="D70" s="8"/>
      <c r="E70" s="8"/>
      <c r="F70" s="8"/>
      <c r="G70" s="8"/>
      <c r="H70" s="8"/>
      <c r="I70" s="190"/>
      <c r="J70" s="190"/>
      <c r="K70" s="8"/>
      <c r="L70" s="8"/>
      <c r="M70" s="9"/>
      <c r="N70" s="8"/>
      <c r="O70" s="8"/>
      <c r="P70" s="8"/>
    </row>
    <row r="71" spans="1:16">
      <c r="A71" s="8"/>
      <c r="B71" s="8"/>
      <c r="C71" s="8"/>
      <c r="D71" s="8"/>
      <c r="E71" s="8"/>
      <c r="F71" s="8"/>
      <c r="G71" s="8"/>
      <c r="H71" s="8"/>
      <c r="I71" s="190"/>
      <c r="J71" s="190"/>
      <c r="K71" s="8"/>
      <c r="L71" s="8"/>
      <c r="M71" s="9"/>
      <c r="N71" s="8"/>
      <c r="O71" s="8"/>
      <c r="P71" s="8"/>
    </row>
    <row r="72" spans="1:16">
      <c r="A72" s="8"/>
      <c r="B72" s="8"/>
      <c r="C72" s="8"/>
      <c r="D72" s="8"/>
      <c r="E72" s="8"/>
      <c r="F72" s="8"/>
      <c r="G72" s="8"/>
      <c r="H72" s="8"/>
      <c r="I72" s="190"/>
      <c r="J72" s="190"/>
      <c r="K72" s="8"/>
      <c r="L72" s="8"/>
      <c r="M72" s="9"/>
      <c r="N72" s="8"/>
      <c r="O72" s="8"/>
      <c r="P72" s="8"/>
    </row>
    <row r="73" spans="1:16">
      <c r="A73" s="8"/>
      <c r="B73" s="8"/>
      <c r="C73" s="8"/>
      <c r="D73" s="8"/>
      <c r="E73" s="8"/>
      <c r="F73" s="8"/>
      <c r="G73" s="8"/>
      <c r="H73" s="8"/>
      <c r="I73" s="190"/>
      <c r="J73" s="190"/>
      <c r="K73" s="8"/>
      <c r="L73" s="8"/>
      <c r="M73" s="9"/>
      <c r="N73" s="8"/>
      <c r="O73" s="8"/>
      <c r="P73" s="8"/>
    </row>
    <row r="74" spans="1:16">
      <c r="A74" s="8"/>
      <c r="B74" s="8"/>
      <c r="C74" s="8"/>
      <c r="D74" s="8"/>
      <c r="E74" s="8"/>
      <c r="F74" s="8"/>
      <c r="G74" s="8"/>
      <c r="H74" s="8"/>
      <c r="I74" s="190"/>
      <c r="J74" s="190"/>
      <c r="K74" s="8"/>
      <c r="L74" s="8"/>
      <c r="M74" s="9"/>
      <c r="N74" s="8"/>
      <c r="O74" s="8"/>
      <c r="P74" s="8"/>
    </row>
    <row r="75" spans="1:16">
      <c r="A75" s="8"/>
      <c r="B75" s="8"/>
      <c r="C75" s="8"/>
      <c r="D75" s="8"/>
      <c r="E75" s="8"/>
      <c r="F75" s="8"/>
      <c r="G75" s="8"/>
      <c r="H75" s="8"/>
      <c r="I75" s="190"/>
      <c r="J75" s="190"/>
      <c r="K75" s="8"/>
      <c r="L75" s="8"/>
      <c r="M75" s="9"/>
      <c r="N75" s="8"/>
      <c r="O75" s="8"/>
      <c r="P75" s="8"/>
    </row>
    <row r="76" spans="1:16">
      <c r="A76" s="8"/>
      <c r="B76" s="8"/>
      <c r="C76" s="8"/>
      <c r="D76" s="8"/>
      <c r="E76" s="8"/>
      <c r="F76" s="8"/>
      <c r="G76" s="8"/>
      <c r="H76" s="8"/>
      <c r="I76" s="190"/>
      <c r="J76" s="190"/>
      <c r="K76" s="8"/>
      <c r="L76" s="8"/>
      <c r="M76" s="9"/>
      <c r="N76" s="8"/>
      <c r="O76" s="8"/>
      <c r="P76" s="8"/>
    </row>
    <row r="77" spans="1:16">
      <c r="A77" s="8"/>
      <c r="B77" s="8"/>
      <c r="C77" s="8"/>
      <c r="D77" s="8"/>
      <c r="E77" s="8"/>
      <c r="F77" s="8"/>
      <c r="G77" s="8"/>
      <c r="H77" s="8"/>
      <c r="I77" s="190"/>
      <c r="J77" s="190"/>
      <c r="K77" s="8"/>
      <c r="L77" s="8"/>
      <c r="M77" s="9"/>
      <c r="N77" s="8"/>
      <c r="O77" s="8"/>
      <c r="P77" s="8"/>
    </row>
    <row r="78" spans="1:16">
      <c r="A78" s="8"/>
      <c r="B78" s="8"/>
      <c r="C78" s="8"/>
      <c r="D78" s="8"/>
      <c r="E78" s="8"/>
      <c r="F78" s="8"/>
      <c r="G78" s="8"/>
      <c r="H78" s="8"/>
      <c r="I78" s="190"/>
      <c r="J78" s="190"/>
      <c r="K78" s="8"/>
      <c r="L78" s="8"/>
      <c r="M78" s="9"/>
      <c r="N78" s="8"/>
      <c r="O78" s="8"/>
      <c r="P78" s="8"/>
    </row>
    <row r="79" spans="1:16">
      <c r="A79" s="8"/>
      <c r="B79" s="8"/>
      <c r="C79" s="8"/>
      <c r="D79" s="8"/>
      <c r="E79" s="8"/>
      <c r="F79" s="8"/>
      <c r="G79" s="8"/>
      <c r="H79" s="8"/>
      <c r="I79" s="190"/>
      <c r="J79" s="190"/>
      <c r="K79" s="8"/>
      <c r="L79" s="8"/>
      <c r="M79" s="9"/>
      <c r="N79" s="8"/>
      <c r="O79" s="8"/>
      <c r="P79" s="8"/>
    </row>
    <row r="80" spans="1:16">
      <c r="A80" s="8"/>
      <c r="B80" s="8"/>
      <c r="C80" s="8"/>
      <c r="D80" s="8"/>
      <c r="E80" s="8"/>
      <c r="F80" s="8"/>
      <c r="G80" s="8"/>
      <c r="H80" s="8"/>
      <c r="I80" s="190"/>
      <c r="J80" s="190"/>
      <c r="K80" s="8"/>
      <c r="L80" s="8"/>
      <c r="M80" s="9"/>
      <c r="N80" s="8"/>
      <c r="O80" s="8"/>
      <c r="P80" s="8"/>
    </row>
    <row r="81" spans="1:16">
      <c r="A81" s="8"/>
      <c r="B81" s="8"/>
      <c r="C81" s="8"/>
      <c r="D81" s="8"/>
      <c r="E81" s="8"/>
      <c r="F81" s="8"/>
      <c r="G81" s="8"/>
      <c r="H81" s="8"/>
      <c r="I81" s="190"/>
      <c r="J81" s="190"/>
      <c r="K81" s="8"/>
      <c r="L81" s="8"/>
      <c r="M81" s="9"/>
      <c r="N81" s="8"/>
      <c r="O81" s="8"/>
      <c r="P81" s="8"/>
    </row>
    <row r="82" spans="1:16">
      <c r="A82" s="8"/>
      <c r="B82" s="8"/>
      <c r="C82" s="8"/>
      <c r="D82" s="8"/>
      <c r="E82" s="8"/>
      <c r="F82" s="8"/>
      <c r="G82" s="8"/>
      <c r="H82" s="8"/>
      <c r="I82" s="190"/>
      <c r="J82" s="190"/>
      <c r="K82" s="8"/>
      <c r="L82" s="8"/>
      <c r="M82" s="9"/>
      <c r="N82" s="8"/>
      <c r="O82" s="8"/>
      <c r="P82" s="8"/>
    </row>
    <row r="83" spans="1:16">
      <c r="A83" s="8"/>
      <c r="B83" s="8"/>
      <c r="C83" s="8"/>
      <c r="D83" s="8"/>
      <c r="E83" s="8"/>
      <c r="F83" s="8"/>
      <c r="G83" s="8"/>
      <c r="H83" s="8"/>
      <c r="I83" s="190"/>
      <c r="J83" s="190"/>
      <c r="K83" s="8"/>
      <c r="L83" s="8"/>
      <c r="M83" s="9"/>
      <c r="N83" s="8"/>
      <c r="O83" s="8"/>
      <c r="P83" s="8"/>
    </row>
    <row r="84" spans="1:16">
      <c r="A84" s="8"/>
      <c r="B84" s="8"/>
      <c r="C84" s="8"/>
      <c r="D84" s="8"/>
      <c r="E84" s="8"/>
      <c r="F84" s="8"/>
      <c r="G84" s="8"/>
      <c r="H84" s="8"/>
      <c r="I84" s="190"/>
      <c r="J84" s="190"/>
      <c r="K84" s="8"/>
      <c r="L84" s="8"/>
      <c r="M84" s="9"/>
      <c r="N84" s="8"/>
      <c r="O84" s="8"/>
      <c r="P84" s="8"/>
    </row>
    <row r="85" spans="1:16">
      <c r="A85" s="8"/>
      <c r="B85" s="8"/>
      <c r="C85" s="8"/>
      <c r="D85" s="8"/>
      <c r="E85" s="8"/>
      <c r="F85" s="8"/>
      <c r="G85" s="8"/>
      <c r="H85" s="8"/>
      <c r="I85" s="190"/>
      <c r="J85" s="190"/>
      <c r="K85" s="8"/>
      <c r="L85" s="8"/>
      <c r="M85" s="9"/>
      <c r="N85" s="8"/>
      <c r="O85" s="8"/>
      <c r="P85" s="8"/>
    </row>
    <row r="86" spans="1:16">
      <c r="A86" s="8"/>
      <c r="B86" s="8"/>
      <c r="C86" s="8"/>
      <c r="D86" s="8"/>
      <c r="E86" s="8"/>
      <c r="F86" s="8"/>
      <c r="G86" s="8"/>
      <c r="H86" s="8"/>
      <c r="I86" s="190"/>
      <c r="J86" s="190"/>
      <c r="K86" s="8"/>
      <c r="L86" s="8"/>
      <c r="M86" s="9"/>
      <c r="N86" s="8"/>
      <c r="O86" s="8"/>
      <c r="P86" s="8"/>
    </row>
    <row r="87" spans="1:16">
      <c r="A87" s="8"/>
      <c r="B87" s="8"/>
      <c r="C87" s="8"/>
      <c r="D87" s="8"/>
      <c r="E87" s="8"/>
      <c r="F87" s="8"/>
      <c r="G87" s="8"/>
      <c r="H87" s="8"/>
      <c r="I87" s="190"/>
      <c r="J87" s="190"/>
      <c r="K87" s="8"/>
      <c r="L87" s="8"/>
      <c r="M87" s="9"/>
      <c r="N87" s="8"/>
      <c r="O87" s="8"/>
      <c r="P87" s="8"/>
    </row>
    <row r="88" spans="1:16">
      <c r="A88" s="8"/>
      <c r="B88" s="8"/>
      <c r="C88" s="8"/>
      <c r="D88" s="8"/>
      <c r="E88" s="8"/>
      <c r="F88" s="8"/>
      <c r="G88" s="8"/>
      <c r="H88" s="8"/>
      <c r="I88" s="190"/>
      <c r="J88" s="190"/>
      <c r="K88" s="8"/>
      <c r="L88" s="8"/>
      <c r="M88" s="9"/>
      <c r="N88" s="8"/>
      <c r="O88" s="8"/>
      <c r="P88" s="8"/>
    </row>
    <row r="89" spans="1:16">
      <c r="A89" s="8"/>
      <c r="B89" s="8"/>
      <c r="C89" s="8"/>
      <c r="D89" s="8"/>
      <c r="E89" s="8"/>
      <c r="F89" s="8"/>
      <c r="G89" s="8"/>
      <c r="H89" s="8"/>
      <c r="I89" s="190"/>
      <c r="J89" s="190"/>
      <c r="K89" s="8"/>
      <c r="L89" s="8"/>
      <c r="M89" s="9"/>
      <c r="N89" s="8"/>
      <c r="O89" s="8"/>
      <c r="P89" s="8"/>
    </row>
    <row r="90" spans="1:16">
      <c r="A90" s="8"/>
      <c r="B90" s="8"/>
      <c r="C90" s="8"/>
      <c r="D90" s="8"/>
      <c r="E90" s="8"/>
      <c r="F90" s="8"/>
      <c r="G90" s="8"/>
      <c r="H90" s="8"/>
      <c r="I90" s="190"/>
      <c r="J90" s="190"/>
      <c r="K90" s="8"/>
      <c r="L90" s="8"/>
      <c r="M90" s="9"/>
      <c r="N90" s="8"/>
      <c r="O90" s="8"/>
      <c r="P90" s="8"/>
    </row>
    <row r="91" spans="1:16">
      <c r="A91" s="8"/>
      <c r="B91" s="8"/>
      <c r="C91" s="8"/>
      <c r="D91" s="8"/>
      <c r="E91" s="8"/>
      <c r="F91" s="8"/>
      <c r="G91" s="8"/>
      <c r="H91" s="8"/>
      <c r="I91" s="190"/>
      <c r="J91" s="190"/>
      <c r="K91" s="8"/>
      <c r="L91" s="8"/>
      <c r="M91" s="9"/>
      <c r="N91" s="8"/>
      <c r="O91" s="8"/>
      <c r="P91" s="8"/>
    </row>
    <row r="92" spans="1:16">
      <c r="A92" s="8"/>
      <c r="B92" s="8"/>
      <c r="C92" s="8"/>
      <c r="D92" s="8"/>
      <c r="E92" s="8"/>
      <c r="F92" s="8"/>
      <c r="G92" s="8"/>
      <c r="H92" s="8"/>
      <c r="I92" s="190"/>
      <c r="J92" s="190"/>
      <c r="K92" s="8"/>
      <c r="L92" s="8"/>
      <c r="M92" s="9"/>
      <c r="N92" s="8"/>
      <c r="O92" s="8"/>
      <c r="P92" s="8"/>
    </row>
    <row r="93" spans="1:16">
      <c r="A93" s="8"/>
      <c r="B93" s="8"/>
      <c r="C93" s="8"/>
      <c r="D93" s="8"/>
      <c r="E93" s="8"/>
      <c r="F93" s="8"/>
      <c r="G93" s="8"/>
      <c r="H93" s="8"/>
      <c r="I93" s="190"/>
      <c r="J93" s="190"/>
      <c r="K93" s="8"/>
      <c r="L93" s="8"/>
      <c r="M93" s="9"/>
      <c r="N93" s="8"/>
      <c r="O93" s="8"/>
      <c r="P93" s="8"/>
    </row>
    <row r="94" spans="1:16">
      <c r="A94" s="8"/>
      <c r="B94" s="8"/>
      <c r="C94" s="8"/>
      <c r="D94" s="8"/>
      <c r="E94" s="8"/>
      <c r="F94" s="8"/>
      <c r="G94" s="8"/>
      <c r="H94" s="8"/>
      <c r="I94" s="190"/>
      <c r="J94" s="190"/>
      <c r="K94" s="8"/>
      <c r="L94" s="8"/>
      <c r="M94" s="9"/>
      <c r="N94" s="8"/>
      <c r="O94" s="8"/>
      <c r="P94" s="8"/>
    </row>
    <row r="95" spans="1:16">
      <c r="A95" s="8"/>
      <c r="B95" s="8"/>
      <c r="C95" s="8"/>
      <c r="D95" s="8"/>
      <c r="E95" s="8"/>
      <c r="F95" s="8"/>
      <c r="G95" s="8"/>
      <c r="H95" s="8"/>
      <c r="I95" s="190"/>
      <c r="J95" s="190"/>
      <c r="K95" s="8"/>
      <c r="L95" s="8"/>
      <c r="M95" s="9"/>
      <c r="N95" s="8"/>
      <c r="O95" s="8"/>
      <c r="P95" s="8"/>
    </row>
    <row r="96" spans="1:16">
      <c r="A96" s="8"/>
      <c r="B96" s="8"/>
      <c r="C96" s="8"/>
      <c r="D96" s="8"/>
      <c r="E96" s="8"/>
      <c r="F96" s="8"/>
      <c r="G96" s="8"/>
      <c r="H96" s="8"/>
      <c r="I96" s="190"/>
      <c r="J96" s="190"/>
      <c r="K96" s="8"/>
      <c r="L96" s="8"/>
      <c r="M96" s="9"/>
      <c r="N96" s="8"/>
      <c r="O96" s="8"/>
      <c r="P96" s="8"/>
    </row>
    <row r="97" spans="1:16">
      <c r="A97" s="8"/>
      <c r="B97" s="8"/>
      <c r="C97" s="8"/>
      <c r="D97" s="8"/>
      <c r="E97" s="8"/>
      <c r="F97" s="8"/>
      <c r="G97" s="8"/>
      <c r="H97" s="8"/>
      <c r="I97" s="190"/>
      <c r="J97" s="190"/>
      <c r="K97" s="8"/>
      <c r="L97" s="8"/>
      <c r="M97" s="9"/>
      <c r="N97" s="8"/>
      <c r="O97" s="8"/>
      <c r="P97" s="8"/>
    </row>
    <row r="98" spans="1:16">
      <c r="A98" s="8"/>
      <c r="B98" s="8"/>
      <c r="C98" s="8"/>
      <c r="D98" s="8"/>
      <c r="E98" s="8"/>
      <c r="F98" s="8"/>
      <c r="G98" s="8"/>
      <c r="H98" s="8"/>
      <c r="I98" s="190"/>
      <c r="J98" s="190"/>
      <c r="K98" s="8"/>
      <c r="L98" s="8"/>
      <c r="M98" s="9"/>
      <c r="N98" s="8"/>
      <c r="O98" s="8"/>
      <c r="P98" s="8"/>
    </row>
  </sheetData>
  <mergeCells count="6">
    <mergeCell ref="C6:H7"/>
    <mergeCell ref="N7:P7"/>
    <mergeCell ref="N8:P8"/>
    <mergeCell ref="K6:P6"/>
    <mergeCell ref="A4:P4"/>
    <mergeCell ref="A6:B12"/>
  </mergeCells>
  <printOptions horizontalCentered="1"/>
  <pageMargins left="0.19685039370078741" right="0.19685039370078741" top="0.74803149606299213" bottom="0.35433070866141736" header="0.51181102362204722" footer="0.15748031496062992"/>
  <pageSetup paperSize="9" orientation="landscape" r:id="rId1"/>
  <headerFooter alignWithMargins="0">
    <oddHeader>&amp;C&amp;"Arial,Standard"&amp;8- 22 -&amp;R&amp;8&amp;D</oddHeader>
    <oddFooter>&amp;R
&amp;12...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sheetPr>
  <dimension ref="A1:R43"/>
  <sheetViews>
    <sheetView zoomScaleNormal="100" workbookViewId="0"/>
  </sheetViews>
  <sheetFormatPr baseColWidth="10" defaultColWidth="11.42578125" defaultRowHeight="16.5"/>
  <cols>
    <col min="1" max="1" width="19.85546875" style="1566" customWidth="1"/>
    <col min="2" max="2" width="9.42578125" style="1566" customWidth="1"/>
    <col min="3" max="3" width="14.5703125" style="1566" customWidth="1"/>
    <col min="4" max="4" width="14" style="1566" customWidth="1"/>
    <col min="5" max="7" width="13.42578125" style="1566" customWidth="1"/>
    <col min="8" max="9" width="17.5703125" style="1566" customWidth="1"/>
    <col min="10" max="16384" width="11.42578125" style="1566"/>
  </cols>
  <sheetData>
    <row r="1" spans="1:18" ht="18">
      <c r="A1" s="1599" t="s">
        <v>424</v>
      </c>
      <c r="B1" s="1423"/>
      <c r="C1" s="1423"/>
      <c r="D1" s="1423"/>
      <c r="E1" s="1423"/>
      <c r="F1" s="1423"/>
      <c r="G1" s="1423"/>
      <c r="H1" s="1423"/>
      <c r="I1" s="1423"/>
    </row>
    <row r="2" spans="1:18">
      <c r="A2" s="1600" t="s">
        <v>434</v>
      </c>
      <c r="B2" s="1600"/>
      <c r="C2" s="1600"/>
      <c r="D2" s="1600"/>
      <c r="E2" s="1600"/>
      <c r="F2" s="1600"/>
      <c r="G2" s="1600"/>
      <c r="H2" s="1600"/>
      <c r="I2" s="1600"/>
      <c r="J2" s="1646"/>
    </row>
    <row r="3" spans="1:18" ht="18">
      <c r="A3" s="1600" t="s">
        <v>559</v>
      </c>
      <c r="B3" s="1423"/>
      <c r="C3" s="1423"/>
      <c r="D3" s="1423"/>
      <c r="E3" s="1423"/>
      <c r="F3" s="1423"/>
      <c r="G3" s="1423"/>
      <c r="H3" s="1423"/>
      <c r="I3" s="1423"/>
    </row>
    <row r="4" spans="1:18" ht="49.5">
      <c r="A4" s="1421" t="s">
        <v>43</v>
      </c>
      <c r="B4" s="1706" t="s">
        <v>94</v>
      </c>
      <c r="C4" s="1708" t="s">
        <v>416</v>
      </c>
      <c r="D4" s="1420" t="s">
        <v>417</v>
      </c>
      <c r="E4" s="1419" t="s">
        <v>419</v>
      </c>
      <c r="F4" s="1419" t="s">
        <v>420</v>
      </c>
      <c r="G4" s="1419" t="s">
        <v>421</v>
      </c>
      <c r="H4" s="1419" t="s">
        <v>414</v>
      </c>
      <c r="I4" s="1714" t="s">
        <v>415</v>
      </c>
    </row>
    <row r="5" spans="1:18" ht="18">
      <c r="A5" s="1434" t="s">
        <v>437</v>
      </c>
      <c r="B5" s="1567">
        <v>9</v>
      </c>
      <c r="C5" s="1568">
        <v>0</v>
      </c>
      <c r="D5" s="1569">
        <v>9</v>
      </c>
      <c r="E5" s="1567">
        <v>0</v>
      </c>
      <c r="F5" s="1568">
        <v>3</v>
      </c>
      <c r="G5" s="1569">
        <v>6</v>
      </c>
      <c r="H5" s="1569">
        <v>3</v>
      </c>
      <c r="I5" s="1397">
        <v>0</v>
      </c>
      <c r="K5" s="1788"/>
      <c r="L5" s="1788"/>
      <c r="M5" s="1788"/>
      <c r="N5" s="1788"/>
      <c r="O5" s="1788"/>
      <c r="P5" s="1788"/>
      <c r="Q5" s="1788"/>
      <c r="R5" s="1788"/>
    </row>
    <row r="6" spans="1:18" ht="18">
      <c r="A6" s="1434" t="s">
        <v>438</v>
      </c>
      <c r="B6" s="1394">
        <v>0</v>
      </c>
      <c r="C6" s="1395">
        <v>0</v>
      </c>
      <c r="D6" s="1396">
        <v>0</v>
      </c>
      <c r="E6" s="1395">
        <v>0</v>
      </c>
      <c r="F6" s="1395">
        <v>0</v>
      </c>
      <c r="G6" s="1396">
        <v>0</v>
      </c>
      <c r="H6" s="1396">
        <v>0</v>
      </c>
      <c r="I6" s="1397">
        <v>0</v>
      </c>
      <c r="K6" s="1788"/>
      <c r="L6" s="1788"/>
      <c r="M6" s="1788"/>
      <c r="N6" s="1788"/>
      <c r="O6" s="1788"/>
      <c r="P6" s="1788"/>
      <c r="Q6" s="1788"/>
      <c r="R6" s="1788"/>
    </row>
    <row r="7" spans="1:18" ht="18">
      <c r="A7" s="1434" t="s">
        <v>439</v>
      </c>
      <c r="B7" s="1394">
        <v>9</v>
      </c>
      <c r="C7" s="1395">
        <v>0</v>
      </c>
      <c r="D7" s="1396">
        <v>9</v>
      </c>
      <c r="E7" s="1394">
        <v>0</v>
      </c>
      <c r="F7" s="1395">
        <v>3</v>
      </c>
      <c r="G7" s="1396">
        <v>6</v>
      </c>
      <c r="H7" s="1396">
        <v>3</v>
      </c>
      <c r="I7" s="1397">
        <v>0</v>
      </c>
      <c r="K7" s="1788"/>
      <c r="L7" s="1788"/>
      <c r="M7" s="1788"/>
      <c r="N7" s="1788"/>
      <c r="O7" s="1788"/>
      <c r="P7" s="1788"/>
      <c r="Q7" s="1788"/>
      <c r="R7" s="1788"/>
    </row>
    <row r="8" spans="1:18" ht="18">
      <c r="A8" s="1434" t="s">
        <v>440</v>
      </c>
      <c r="B8" s="1394">
        <v>0</v>
      </c>
      <c r="C8" s="1395">
        <v>0</v>
      </c>
      <c r="D8" s="1396">
        <v>0</v>
      </c>
      <c r="E8" s="1395">
        <v>0</v>
      </c>
      <c r="F8" s="1395">
        <v>0</v>
      </c>
      <c r="G8" s="1396">
        <v>0</v>
      </c>
      <c r="H8" s="1396">
        <v>0</v>
      </c>
      <c r="I8" s="1397">
        <v>0</v>
      </c>
      <c r="K8" s="1788"/>
      <c r="L8" s="1788"/>
      <c r="M8" s="1788"/>
      <c r="N8" s="1788"/>
      <c r="O8" s="1788"/>
      <c r="P8" s="1788"/>
      <c r="Q8" s="1788"/>
      <c r="R8" s="1788"/>
    </row>
    <row r="9" spans="1:18" ht="18">
      <c r="A9" s="1434" t="s">
        <v>441</v>
      </c>
      <c r="B9" s="1394">
        <v>3</v>
      </c>
      <c r="C9" s="1395">
        <v>0</v>
      </c>
      <c r="D9" s="1396">
        <v>3</v>
      </c>
      <c r="E9" s="1395">
        <v>0</v>
      </c>
      <c r="F9" s="1395">
        <v>0</v>
      </c>
      <c r="G9" s="1396">
        <v>0</v>
      </c>
      <c r="H9" s="1396">
        <v>0</v>
      </c>
      <c r="I9" s="1397">
        <v>0</v>
      </c>
      <c r="K9" s="1788"/>
      <c r="L9" s="1788"/>
      <c r="M9" s="1788"/>
      <c r="N9" s="1788"/>
      <c r="O9" s="1788"/>
      <c r="P9" s="1788"/>
      <c r="Q9" s="1788"/>
      <c r="R9" s="1788"/>
    </row>
    <row r="10" spans="1:18" ht="18">
      <c r="A10" s="1434" t="s">
        <v>442</v>
      </c>
      <c r="B10" s="1394">
        <v>0</v>
      </c>
      <c r="C10" s="1395">
        <v>0</v>
      </c>
      <c r="D10" s="1396">
        <v>0</v>
      </c>
      <c r="E10" s="1395">
        <v>0</v>
      </c>
      <c r="F10" s="1395">
        <v>0</v>
      </c>
      <c r="G10" s="1396">
        <v>0</v>
      </c>
      <c r="H10" s="1396">
        <v>0</v>
      </c>
      <c r="I10" s="1397">
        <v>0</v>
      </c>
      <c r="K10" s="1788"/>
      <c r="L10" s="1788"/>
      <c r="M10" s="1788"/>
      <c r="N10" s="1788"/>
      <c r="O10" s="1788"/>
      <c r="P10" s="1788"/>
      <c r="Q10" s="1788"/>
      <c r="R10" s="1788"/>
    </row>
    <row r="11" spans="1:18" ht="18">
      <c r="A11" s="1434" t="s">
        <v>466</v>
      </c>
      <c r="B11" s="1394">
        <v>3</v>
      </c>
      <c r="C11" s="1395">
        <v>0</v>
      </c>
      <c r="D11" s="1396">
        <v>3</v>
      </c>
      <c r="E11" s="1772">
        <v>0</v>
      </c>
      <c r="F11" s="1395">
        <v>0</v>
      </c>
      <c r="G11" s="1396">
        <v>0</v>
      </c>
      <c r="H11" s="1396">
        <v>0</v>
      </c>
      <c r="I11" s="1397">
        <v>0</v>
      </c>
      <c r="K11" s="1788"/>
      <c r="L11" s="1788"/>
      <c r="M11" s="1788"/>
      <c r="N11" s="1788"/>
      <c r="O11" s="1788"/>
      <c r="P11" s="1788"/>
      <c r="Q11" s="1788"/>
      <c r="R11" s="1788"/>
    </row>
    <row r="12" spans="1:18" ht="18">
      <c r="A12" s="1434" t="s">
        <v>444</v>
      </c>
      <c r="B12" s="1394">
        <v>12</v>
      </c>
      <c r="C12" s="1395">
        <v>0</v>
      </c>
      <c r="D12" s="1396">
        <v>12</v>
      </c>
      <c r="E12" s="1394">
        <v>0</v>
      </c>
      <c r="F12" s="1395">
        <v>6</v>
      </c>
      <c r="G12" s="1396">
        <v>6</v>
      </c>
      <c r="H12" s="1396">
        <v>6</v>
      </c>
      <c r="I12" s="1500">
        <v>3</v>
      </c>
      <c r="K12" s="1788"/>
      <c r="L12" s="1788"/>
      <c r="M12" s="1788"/>
      <c r="N12" s="1788"/>
      <c r="O12" s="1788"/>
      <c r="P12" s="1788"/>
      <c r="Q12" s="1788"/>
      <c r="R12" s="1788"/>
    </row>
    <row r="13" spans="1:18" ht="18">
      <c r="A13" s="1434" t="s">
        <v>445</v>
      </c>
      <c r="B13" s="1394">
        <v>27</v>
      </c>
      <c r="C13" s="1395">
        <v>0</v>
      </c>
      <c r="D13" s="1396">
        <v>27</v>
      </c>
      <c r="E13" s="1394">
        <v>3</v>
      </c>
      <c r="F13" s="1395">
        <v>12</v>
      </c>
      <c r="G13" s="1396">
        <v>15</v>
      </c>
      <c r="H13" s="1396">
        <v>21</v>
      </c>
      <c r="I13" s="1396">
        <v>6</v>
      </c>
      <c r="K13" s="1788"/>
      <c r="L13" s="1788"/>
      <c r="M13" s="1788"/>
      <c r="N13" s="1788"/>
      <c r="O13" s="1788"/>
      <c r="P13" s="1788"/>
      <c r="Q13" s="1788"/>
      <c r="R13" s="1788"/>
    </row>
    <row r="14" spans="1:18" ht="18">
      <c r="A14" s="1434" t="s">
        <v>446</v>
      </c>
      <c r="B14" s="1394">
        <v>0</v>
      </c>
      <c r="C14" s="1395">
        <v>0</v>
      </c>
      <c r="D14" s="1396">
        <v>0</v>
      </c>
      <c r="E14" s="1395">
        <v>0</v>
      </c>
      <c r="F14" s="1395">
        <v>0</v>
      </c>
      <c r="G14" s="1396">
        <v>0</v>
      </c>
      <c r="H14" s="1396">
        <v>0</v>
      </c>
      <c r="I14" s="1397">
        <v>0</v>
      </c>
      <c r="K14" s="1788"/>
      <c r="L14" s="1788"/>
      <c r="M14" s="1788"/>
      <c r="N14" s="1788"/>
      <c r="O14" s="1788"/>
      <c r="P14" s="1788"/>
      <c r="Q14" s="1788"/>
      <c r="R14" s="1788"/>
    </row>
    <row r="15" spans="1:18" ht="18">
      <c r="A15" s="1434" t="s">
        <v>447</v>
      </c>
      <c r="B15" s="1394">
        <v>0</v>
      </c>
      <c r="C15" s="1395">
        <v>0</v>
      </c>
      <c r="D15" s="1396">
        <v>0</v>
      </c>
      <c r="E15" s="1395">
        <v>0</v>
      </c>
      <c r="F15" s="1395">
        <v>0</v>
      </c>
      <c r="G15" s="1396">
        <v>0</v>
      </c>
      <c r="H15" s="1396">
        <v>0</v>
      </c>
      <c r="I15" s="1397">
        <v>0</v>
      </c>
      <c r="K15" s="1788"/>
      <c r="L15" s="1788"/>
      <c r="M15" s="1788"/>
      <c r="N15" s="1788"/>
      <c r="O15" s="1788"/>
      <c r="P15" s="1788"/>
      <c r="Q15" s="1788"/>
      <c r="R15" s="1788"/>
    </row>
    <row r="16" spans="1:18" ht="18">
      <c r="A16" s="1434" t="s">
        <v>448</v>
      </c>
      <c r="B16" s="1394">
        <v>0</v>
      </c>
      <c r="C16" s="1395">
        <v>0</v>
      </c>
      <c r="D16" s="1396">
        <v>0</v>
      </c>
      <c r="E16" s="1395">
        <v>0</v>
      </c>
      <c r="F16" s="1395">
        <v>0</v>
      </c>
      <c r="G16" s="1396">
        <v>0</v>
      </c>
      <c r="H16" s="1396">
        <v>0</v>
      </c>
      <c r="I16" s="1397">
        <v>0</v>
      </c>
      <c r="K16" s="1788"/>
      <c r="L16" s="1788"/>
      <c r="M16" s="1788"/>
      <c r="N16" s="1788"/>
      <c r="O16" s="1788"/>
      <c r="P16" s="1788"/>
      <c r="Q16" s="1788"/>
      <c r="R16" s="1788"/>
    </row>
    <row r="17" spans="1:18" ht="18">
      <c r="A17" s="1434" t="s">
        <v>449</v>
      </c>
      <c r="B17" s="1394">
        <v>0</v>
      </c>
      <c r="C17" s="1395">
        <v>0</v>
      </c>
      <c r="D17" s="1396">
        <v>0</v>
      </c>
      <c r="E17" s="1395">
        <v>0</v>
      </c>
      <c r="F17" s="1395">
        <v>0</v>
      </c>
      <c r="G17" s="1396">
        <v>0</v>
      </c>
      <c r="H17" s="1396">
        <v>0</v>
      </c>
      <c r="I17" s="1397">
        <v>0</v>
      </c>
      <c r="K17" s="1788"/>
      <c r="L17" s="1788"/>
      <c r="M17" s="1788"/>
      <c r="N17" s="1788"/>
      <c r="O17" s="1788"/>
      <c r="P17" s="1788"/>
      <c r="Q17" s="1788"/>
      <c r="R17" s="1788"/>
    </row>
    <row r="18" spans="1:18" ht="18">
      <c r="A18" s="1434" t="s">
        <v>450</v>
      </c>
      <c r="B18" s="1394">
        <v>0</v>
      </c>
      <c r="C18" s="1395">
        <v>0</v>
      </c>
      <c r="D18" s="1396">
        <v>0</v>
      </c>
      <c r="E18" s="1395">
        <v>0</v>
      </c>
      <c r="F18" s="1395">
        <v>0</v>
      </c>
      <c r="G18" s="1396">
        <v>0</v>
      </c>
      <c r="H18" s="1396">
        <v>0</v>
      </c>
      <c r="I18" s="1397">
        <v>0</v>
      </c>
      <c r="K18" s="1788"/>
      <c r="L18" s="1788"/>
      <c r="M18" s="1788"/>
      <c r="N18" s="1788"/>
      <c r="O18" s="1788"/>
      <c r="P18" s="1788"/>
      <c r="Q18" s="1788"/>
      <c r="R18" s="1788"/>
    </row>
    <row r="19" spans="1:18" ht="18">
      <c r="A19" s="1434" t="s">
        <v>451</v>
      </c>
      <c r="B19" s="1394">
        <v>0</v>
      </c>
      <c r="C19" s="1395">
        <v>0</v>
      </c>
      <c r="D19" s="1396">
        <v>0</v>
      </c>
      <c r="E19" s="1395">
        <v>0</v>
      </c>
      <c r="F19" s="1395">
        <v>0</v>
      </c>
      <c r="G19" s="1396">
        <v>0</v>
      </c>
      <c r="H19" s="1396">
        <v>0</v>
      </c>
      <c r="I19" s="1397">
        <v>0</v>
      </c>
      <c r="K19" s="1788"/>
      <c r="L19" s="1788"/>
      <c r="M19" s="1788"/>
      <c r="N19" s="1788"/>
      <c r="O19" s="1788"/>
      <c r="P19" s="1788"/>
      <c r="Q19" s="1788"/>
      <c r="R19" s="1788"/>
    </row>
    <row r="20" spans="1:18" ht="18">
      <c r="A20" s="1434" t="s">
        <v>452</v>
      </c>
      <c r="B20" s="1394">
        <v>0</v>
      </c>
      <c r="C20" s="1395">
        <v>0</v>
      </c>
      <c r="D20" s="1396">
        <v>0</v>
      </c>
      <c r="E20" s="1395">
        <v>0</v>
      </c>
      <c r="F20" s="1395">
        <v>0</v>
      </c>
      <c r="G20" s="1396">
        <v>0</v>
      </c>
      <c r="H20" s="1396">
        <v>0</v>
      </c>
      <c r="I20" s="1397">
        <v>0</v>
      </c>
      <c r="K20" s="1788"/>
      <c r="L20" s="1788"/>
      <c r="M20" s="1788"/>
      <c r="N20" s="1788"/>
      <c r="O20" s="1788"/>
      <c r="P20" s="1788"/>
      <c r="Q20" s="1788"/>
      <c r="R20" s="1788"/>
    </row>
    <row r="21" spans="1:18">
      <c r="A21" s="1604" t="s">
        <v>418</v>
      </c>
      <c r="B21" s="1793">
        <v>63</v>
      </c>
      <c r="C21" s="1795">
        <v>0</v>
      </c>
      <c r="D21" s="1795">
        <v>63</v>
      </c>
      <c r="E21" s="1793">
        <v>3</v>
      </c>
      <c r="F21" s="1795">
        <v>27</v>
      </c>
      <c r="G21" s="1796">
        <v>33</v>
      </c>
      <c r="H21" s="1945">
        <v>36</v>
      </c>
      <c r="I21" s="1770">
        <v>12</v>
      </c>
      <c r="K21" s="1788"/>
      <c r="L21" s="1788"/>
      <c r="M21" s="1788"/>
      <c r="N21" s="1788"/>
      <c r="O21" s="1788"/>
      <c r="P21" s="1788"/>
      <c r="Q21" s="1788"/>
      <c r="R21" s="1788"/>
    </row>
    <row r="22" spans="1:18" ht="18">
      <c r="A22" s="1601" t="s">
        <v>552</v>
      </c>
      <c r="B22" s="1412"/>
      <c r="C22" s="1412"/>
      <c r="D22" s="1412"/>
      <c r="E22" s="1412"/>
      <c r="F22" s="1412"/>
      <c r="G22" s="1412"/>
      <c r="H22" s="1411"/>
      <c r="I22" s="1411"/>
    </row>
    <row r="23" spans="1:18" ht="66">
      <c r="A23" s="1421" t="s">
        <v>43</v>
      </c>
      <c r="B23" s="1706" t="s">
        <v>94</v>
      </c>
      <c r="C23" s="1707" t="s">
        <v>92</v>
      </c>
      <c r="D23" s="1409" t="s">
        <v>93</v>
      </c>
      <c r="E23" s="1419" t="s">
        <v>474</v>
      </c>
      <c r="F23" s="1419" t="s">
        <v>422</v>
      </c>
      <c r="G23" s="1714" t="s">
        <v>423</v>
      </c>
      <c r="H23" s="1408"/>
      <c r="I23" s="1408"/>
      <c r="J23" s="1597"/>
    </row>
    <row r="24" spans="1:18" ht="18">
      <c r="A24" s="1434" t="s">
        <v>437</v>
      </c>
      <c r="B24" s="1567">
        <v>9</v>
      </c>
      <c r="C24" s="1568">
        <v>0</v>
      </c>
      <c r="D24" s="1569">
        <v>9</v>
      </c>
      <c r="E24" s="1567">
        <v>9</v>
      </c>
      <c r="F24" s="1568">
        <v>0</v>
      </c>
      <c r="G24" s="1569">
        <v>9</v>
      </c>
      <c r="H24" s="1402"/>
      <c r="I24" s="1772"/>
      <c r="J24" s="1395"/>
    </row>
    <row r="25" spans="1:18" ht="18">
      <c r="A25" s="1434" t="s">
        <v>438</v>
      </c>
      <c r="B25" s="1394">
        <v>0</v>
      </c>
      <c r="C25" s="1395">
        <v>0</v>
      </c>
      <c r="D25" s="1396">
        <v>0</v>
      </c>
      <c r="E25" s="1395">
        <v>0</v>
      </c>
      <c r="F25" s="1395">
        <v>0</v>
      </c>
      <c r="G25" s="1396">
        <v>0</v>
      </c>
      <c r="H25" s="1402"/>
      <c r="I25" s="1772"/>
      <c r="J25" s="1395"/>
    </row>
    <row r="26" spans="1:18" ht="18">
      <c r="A26" s="1434" t="s">
        <v>439</v>
      </c>
      <c r="B26" s="1394">
        <v>6</v>
      </c>
      <c r="C26" s="1395">
        <v>0</v>
      </c>
      <c r="D26" s="1396">
        <v>6</v>
      </c>
      <c r="E26" s="1394">
        <v>6</v>
      </c>
      <c r="F26" s="1395">
        <v>0</v>
      </c>
      <c r="G26" s="1396">
        <v>6</v>
      </c>
      <c r="H26" s="1402"/>
      <c r="I26" s="1772"/>
      <c r="J26" s="1395"/>
    </row>
    <row r="27" spans="1:18" ht="18">
      <c r="A27" s="1434" t="s">
        <v>440</v>
      </c>
      <c r="B27" s="1394">
        <v>0</v>
      </c>
      <c r="C27" s="1395">
        <v>0</v>
      </c>
      <c r="D27" s="1396">
        <v>0</v>
      </c>
      <c r="E27" s="1395">
        <v>0</v>
      </c>
      <c r="F27" s="1395">
        <v>0</v>
      </c>
      <c r="G27" s="1396">
        <v>0</v>
      </c>
      <c r="H27" s="1402"/>
      <c r="I27" s="1772"/>
      <c r="J27" s="1395"/>
    </row>
    <row r="28" spans="1:18" ht="18">
      <c r="A28" s="1434" t="s">
        <v>441</v>
      </c>
      <c r="B28" s="1394">
        <v>0</v>
      </c>
      <c r="C28" s="1395">
        <v>0</v>
      </c>
      <c r="D28" s="1396">
        <v>0</v>
      </c>
      <c r="E28" s="1395">
        <v>0</v>
      </c>
      <c r="F28" s="1395">
        <v>0</v>
      </c>
      <c r="G28" s="1396">
        <v>0</v>
      </c>
      <c r="H28" s="1402"/>
      <c r="I28" s="1772"/>
      <c r="J28" s="1395"/>
    </row>
    <row r="29" spans="1:18" ht="18">
      <c r="A29" s="1434" t="s">
        <v>442</v>
      </c>
      <c r="B29" s="1394">
        <v>0</v>
      </c>
      <c r="C29" s="1395">
        <v>0</v>
      </c>
      <c r="D29" s="1396">
        <v>0</v>
      </c>
      <c r="E29" s="1395">
        <v>0</v>
      </c>
      <c r="F29" s="1395">
        <v>0</v>
      </c>
      <c r="G29" s="1396">
        <v>0</v>
      </c>
      <c r="H29" s="1408"/>
      <c r="I29" s="1772"/>
      <c r="J29" s="1395"/>
    </row>
    <row r="30" spans="1:18" ht="18">
      <c r="A30" s="1434" t="s">
        <v>443</v>
      </c>
      <c r="B30" s="1394">
        <v>0</v>
      </c>
      <c r="C30" s="1395">
        <v>0</v>
      </c>
      <c r="D30" s="1396">
        <v>0</v>
      </c>
      <c r="E30" s="1395">
        <v>0</v>
      </c>
      <c r="F30" s="1395">
        <v>0</v>
      </c>
      <c r="G30" s="1396">
        <v>0</v>
      </c>
      <c r="H30" s="1402"/>
      <c r="I30" s="1772"/>
      <c r="J30" s="1395"/>
    </row>
    <row r="31" spans="1:18" ht="18">
      <c r="A31" s="1434" t="s">
        <v>444</v>
      </c>
      <c r="B31" s="1394">
        <v>6</v>
      </c>
      <c r="C31" s="1395">
        <v>0</v>
      </c>
      <c r="D31" s="1396">
        <v>6</v>
      </c>
      <c r="E31" s="1394">
        <v>6</v>
      </c>
      <c r="F31" s="1395">
        <v>0</v>
      </c>
      <c r="G31" s="1396">
        <v>6</v>
      </c>
      <c r="H31" s="1402"/>
      <c r="I31" s="1772"/>
      <c r="J31" s="1395"/>
    </row>
    <row r="32" spans="1:18" ht="18">
      <c r="A32" s="1434" t="s">
        <v>445</v>
      </c>
      <c r="B32" s="1394">
        <v>27</v>
      </c>
      <c r="C32" s="1395">
        <v>0</v>
      </c>
      <c r="D32" s="1396">
        <v>27</v>
      </c>
      <c r="E32" s="1394">
        <v>27</v>
      </c>
      <c r="F32" s="1395">
        <v>0</v>
      </c>
      <c r="G32" s="1396">
        <v>27</v>
      </c>
      <c r="H32" s="1402"/>
      <c r="I32" s="1772"/>
      <c r="J32" s="1395"/>
    </row>
    <row r="33" spans="1:14" ht="18">
      <c r="A33" s="1434" t="s">
        <v>446</v>
      </c>
      <c r="B33" s="1394">
        <v>0</v>
      </c>
      <c r="C33" s="1395">
        <v>0</v>
      </c>
      <c r="D33" s="1396">
        <v>0</v>
      </c>
      <c r="E33" s="1395">
        <v>0</v>
      </c>
      <c r="F33" s="1395">
        <v>0</v>
      </c>
      <c r="G33" s="1396">
        <v>0</v>
      </c>
      <c r="H33" s="1402"/>
      <c r="I33" s="1772"/>
      <c r="J33" s="1395"/>
    </row>
    <row r="34" spans="1:14" ht="18">
      <c r="A34" s="1434" t="s">
        <v>447</v>
      </c>
      <c r="B34" s="1394">
        <v>0</v>
      </c>
      <c r="C34" s="1395">
        <v>0</v>
      </c>
      <c r="D34" s="1396">
        <v>0</v>
      </c>
      <c r="E34" s="1395">
        <v>0</v>
      </c>
      <c r="F34" s="1395">
        <v>0</v>
      </c>
      <c r="G34" s="1396">
        <v>0</v>
      </c>
      <c r="H34" s="1402"/>
      <c r="I34" s="1772"/>
      <c r="J34" s="1395"/>
    </row>
    <row r="35" spans="1:14" ht="18">
      <c r="A35" s="1434" t="s">
        <v>448</v>
      </c>
      <c r="B35" s="1394">
        <v>0</v>
      </c>
      <c r="C35" s="1395">
        <v>0</v>
      </c>
      <c r="D35" s="1396">
        <v>0</v>
      </c>
      <c r="E35" s="1395">
        <v>0</v>
      </c>
      <c r="F35" s="1395">
        <v>0</v>
      </c>
      <c r="G35" s="1396">
        <v>0</v>
      </c>
      <c r="H35" s="1402"/>
      <c r="I35" s="1772"/>
      <c r="J35" s="1395"/>
    </row>
    <row r="36" spans="1:14" ht="18">
      <c r="A36" s="1434" t="s">
        <v>449</v>
      </c>
      <c r="B36" s="1394">
        <v>0</v>
      </c>
      <c r="C36" s="1395">
        <v>0</v>
      </c>
      <c r="D36" s="1396">
        <v>0</v>
      </c>
      <c r="E36" s="1395">
        <v>0</v>
      </c>
      <c r="F36" s="1395">
        <v>0</v>
      </c>
      <c r="G36" s="1396">
        <v>0</v>
      </c>
      <c r="H36" s="1402"/>
      <c r="I36" s="1772"/>
      <c r="J36" s="1395"/>
    </row>
    <row r="37" spans="1:14" ht="18">
      <c r="A37" s="1434" t="s">
        <v>450</v>
      </c>
      <c r="B37" s="1394">
        <v>0</v>
      </c>
      <c r="C37" s="1395">
        <v>0</v>
      </c>
      <c r="D37" s="1396">
        <v>0</v>
      </c>
      <c r="E37" s="1395">
        <v>0</v>
      </c>
      <c r="F37" s="1395">
        <v>0</v>
      </c>
      <c r="G37" s="1396">
        <v>0</v>
      </c>
      <c r="H37" s="1402"/>
      <c r="I37" s="1772"/>
      <c r="J37" s="1395"/>
    </row>
    <row r="38" spans="1:14" ht="18">
      <c r="A38" s="1434" t="s">
        <v>451</v>
      </c>
      <c r="B38" s="1394">
        <v>0</v>
      </c>
      <c r="C38" s="1395">
        <v>0</v>
      </c>
      <c r="D38" s="1396">
        <v>0</v>
      </c>
      <c r="E38" s="1395">
        <v>0</v>
      </c>
      <c r="F38" s="1395">
        <v>0</v>
      </c>
      <c r="G38" s="1396">
        <v>0</v>
      </c>
      <c r="H38" s="1402"/>
      <c r="I38" s="1772"/>
      <c r="J38" s="1395"/>
    </row>
    <row r="39" spans="1:14" ht="18">
      <c r="A39" s="1434" t="s">
        <v>452</v>
      </c>
      <c r="B39" s="1394">
        <v>0</v>
      </c>
      <c r="C39" s="1395">
        <v>0</v>
      </c>
      <c r="D39" s="1396">
        <v>0</v>
      </c>
      <c r="E39" s="1395">
        <v>0</v>
      </c>
      <c r="F39" s="1395">
        <v>0</v>
      </c>
      <c r="G39" s="1396">
        <v>0</v>
      </c>
      <c r="H39" s="1402"/>
      <c r="I39" s="1772"/>
      <c r="J39" s="1395"/>
    </row>
    <row r="40" spans="1:14" ht="18">
      <c r="A40" s="1728" t="s">
        <v>418</v>
      </c>
      <c r="B40" s="1793">
        <v>51</v>
      </c>
      <c r="C40" s="1795">
        <v>0</v>
      </c>
      <c r="D40" s="1795">
        <v>51</v>
      </c>
      <c r="E40" s="1793">
        <v>51</v>
      </c>
      <c r="F40" s="1795">
        <v>0</v>
      </c>
      <c r="G40" s="1796">
        <v>51</v>
      </c>
      <c r="H40" s="1402"/>
      <c r="I40" s="1405"/>
      <c r="J40" s="1405"/>
      <c r="K40" s="1405"/>
      <c r="L40" s="1405"/>
      <c r="M40" s="1405"/>
      <c r="N40" s="1405"/>
    </row>
    <row r="41" spans="1:14" ht="18">
      <c r="A41" s="1861" t="s">
        <v>498</v>
      </c>
      <c r="B41" s="1406"/>
      <c r="C41" s="1405"/>
      <c r="D41" s="1407"/>
      <c r="E41" s="1406"/>
      <c r="F41" s="1405"/>
      <c r="G41" s="1405"/>
      <c r="H41" s="1402"/>
      <c r="I41" s="1402"/>
    </row>
    <row r="42" spans="1:14" ht="18">
      <c r="A42" s="1408" t="s">
        <v>554</v>
      </c>
      <c r="B42" s="1596"/>
      <c r="C42" s="1405"/>
      <c r="D42" s="1405"/>
      <c r="E42" s="1596"/>
      <c r="F42" s="1405"/>
      <c r="G42" s="1405"/>
      <c r="H42" s="1402"/>
      <c r="I42" s="1402"/>
    </row>
    <row r="43" spans="1:14" ht="18">
      <c r="A43" s="1402" t="s">
        <v>542</v>
      </c>
    </row>
  </sheetData>
  <printOptions horizontalCentered="1"/>
  <pageMargins left="0.70866141732283472" right="0.70866141732283472" top="0.78740157480314965" bottom="0.78740157480314965" header="0.31496062992125984" footer="0.31496062992125984"/>
  <pageSetup paperSize="9" orientation="landscape" r:id="rId1"/>
  <rowBreaks count="1" manualBreakCount="1">
    <brk id="21" max="8" man="1"/>
  </rowBreaks>
  <tableParts count="2">
    <tablePart r:id="rId2"/>
    <tablePart r:id="rId3"/>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tint="-0.499984740745262"/>
  </sheetPr>
  <dimension ref="A1:AK37"/>
  <sheetViews>
    <sheetView zoomScaleNormal="100" zoomScaleSheetLayoutView="100" workbookViewId="0">
      <selection activeCell="N24" sqref="N24"/>
    </sheetView>
  </sheetViews>
  <sheetFormatPr baseColWidth="10" defaultColWidth="11.42578125" defaultRowHeight="15"/>
  <cols>
    <col min="1" max="1" width="5.5703125" style="37" customWidth="1"/>
    <col min="2" max="2" width="0.85546875" style="37" customWidth="1"/>
    <col min="3" max="4" width="7.5703125" style="37" customWidth="1"/>
    <col min="5" max="5" width="7.5703125" style="865" customWidth="1"/>
    <col min="6" max="8" width="7.5703125" style="37" customWidth="1"/>
    <col min="9" max="10" width="10.5703125" style="37" customWidth="1"/>
    <col min="11" max="12" width="7.5703125" style="37" customWidth="1"/>
    <col min="13" max="13" width="7.5703125" style="865" customWidth="1"/>
    <col min="14" max="16" width="7.5703125" style="37" customWidth="1"/>
    <col min="17" max="16384" width="11.42578125" style="37"/>
  </cols>
  <sheetData>
    <row r="1" spans="1:27" ht="13.35" customHeight="1"/>
    <row r="2" spans="1:27" ht="13.35" customHeight="1">
      <c r="A2" s="728" t="s">
        <v>215</v>
      </c>
      <c r="B2" s="863"/>
      <c r="C2" s="863"/>
      <c r="D2" s="235"/>
      <c r="E2" s="235"/>
      <c r="F2" s="235"/>
      <c r="G2" s="235"/>
      <c r="H2" s="235"/>
      <c r="I2" s="856"/>
      <c r="K2" s="917"/>
      <c r="L2" s="917"/>
      <c r="M2" s="917"/>
      <c r="N2" s="534"/>
    </row>
    <row r="3" spans="1:27" ht="11.1" customHeight="1">
      <c r="A3" s="997"/>
      <c r="B3" s="997"/>
      <c r="C3" s="236"/>
      <c r="D3" s="236"/>
      <c r="E3" s="237"/>
      <c r="F3" s="236"/>
      <c r="G3" s="236"/>
      <c r="H3" s="236"/>
      <c r="I3" s="236"/>
      <c r="J3" s="52"/>
      <c r="K3" s="236"/>
      <c r="L3" s="236"/>
      <c r="M3" s="237"/>
      <c r="N3" s="236"/>
    </row>
    <row r="4" spans="1:27" ht="14.1" customHeight="1">
      <c r="A4" s="2064" t="s">
        <v>165</v>
      </c>
      <c r="B4" s="2064"/>
      <c r="C4" s="1979"/>
      <c r="D4" s="1979"/>
      <c r="E4" s="1979"/>
      <c r="F4" s="1979"/>
      <c r="G4" s="1979"/>
      <c r="H4" s="1979"/>
      <c r="I4" s="1979"/>
      <c r="J4" s="1979"/>
      <c r="K4" s="1979"/>
      <c r="L4" s="1979"/>
      <c r="M4" s="1979"/>
      <c r="N4" s="1979"/>
      <c r="O4" s="1979"/>
      <c r="P4" s="1979"/>
    </row>
    <row r="5" spans="1:27" ht="11.1" customHeight="1" thickBot="1">
      <c r="A5" s="920"/>
      <c r="B5" s="920"/>
      <c r="C5" s="918"/>
      <c r="D5" s="918"/>
      <c r="E5" s="919"/>
      <c r="F5" s="918"/>
      <c r="G5" s="918"/>
      <c r="H5" s="918"/>
      <c r="I5" s="920"/>
      <c r="J5" s="920"/>
      <c r="K5" s="52"/>
      <c r="L5" s="52"/>
      <c r="M5" s="242"/>
      <c r="N5" s="52"/>
    </row>
    <row r="6" spans="1:27" s="998" customFormat="1" ht="24.6" customHeight="1">
      <c r="A6" s="2055" t="s">
        <v>43</v>
      </c>
      <c r="B6" s="1984"/>
      <c r="C6" s="2056" t="s">
        <v>360</v>
      </c>
      <c r="D6" s="2056" t="s">
        <v>116</v>
      </c>
      <c r="E6" s="2056" t="s">
        <v>116</v>
      </c>
      <c r="F6" s="2056" t="s">
        <v>116</v>
      </c>
      <c r="G6" s="2056" t="s">
        <v>116</v>
      </c>
      <c r="H6" s="2057" t="s">
        <v>116</v>
      </c>
      <c r="I6" s="875" t="s">
        <v>0</v>
      </c>
      <c r="J6" s="875" t="s">
        <v>1</v>
      </c>
      <c r="K6" s="2063" t="s">
        <v>212</v>
      </c>
      <c r="L6" s="2053"/>
      <c r="M6" s="2053"/>
      <c r="N6" s="2053"/>
      <c r="O6" s="2053"/>
      <c r="P6" s="2054"/>
    </row>
    <row r="7" spans="1:27" s="998" customFormat="1" ht="12" customHeight="1">
      <c r="A7" s="1985"/>
      <c r="B7" s="1986"/>
      <c r="C7" s="2058"/>
      <c r="D7" s="2058"/>
      <c r="E7" s="2058"/>
      <c r="F7" s="2058"/>
      <c r="G7" s="2058"/>
      <c r="H7" s="2059"/>
      <c r="I7" s="876" t="s">
        <v>3</v>
      </c>
      <c r="J7" s="876" t="s">
        <v>4</v>
      </c>
      <c r="K7" s="877"/>
      <c r="L7" s="876"/>
      <c r="M7" s="878"/>
      <c r="N7" s="2060" t="s">
        <v>314</v>
      </c>
      <c r="O7" s="2061"/>
      <c r="P7" s="2062"/>
    </row>
    <row r="8" spans="1:27" s="998" customFormat="1" ht="12" customHeight="1">
      <c r="A8" s="1985"/>
      <c r="B8" s="1986"/>
      <c r="C8" s="879"/>
      <c r="D8" s="880"/>
      <c r="E8" s="880"/>
      <c r="F8" s="21" t="s">
        <v>167</v>
      </c>
      <c r="G8" s="881"/>
      <c r="H8" s="882"/>
      <c r="I8" s="876" t="s">
        <v>8</v>
      </c>
      <c r="J8" s="876" t="s">
        <v>8</v>
      </c>
      <c r="K8" s="883"/>
      <c r="L8" s="880"/>
      <c r="M8" s="884"/>
      <c r="N8" s="1974" t="s">
        <v>315</v>
      </c>
      <c r="O8" s="1975"/>
      <c r="P8" s="1977"/>
      <c r="Q8" s="999"/>
      <c r="R8" s="999"/>
      <c r="S8" s="999"/>
      <c r="T8" s="999"/>
      <c r="U8" s="999"/>
      <c r="V8" s="999"/>
      <c r="W8" s="999"/>
      <c r="X8" s="1000"/>
      <c r="Y8" s="999"/>
      <c r="Z8" s="999"/>
      <c r="AA8" s="1001"/>
    </row>
    <row r="9" spans="1:27" s="998" customFormat="1" ht="12" customHeight="1">
      <c r="A9" s="1985"/>
      <c r="B9" s="1986"/>
      <c r="C9" s="1125"/>
      <c r="D9" s="876"/>
      <c r="E9" s="876"/>
      <c r="F9" s="886" t="s">
        <v>297</v>
      </c>
      <c r="G9" s="887"/>
      <c r="H9" s="888"/>
      <c r="I9" s="876" t="s">
        <v>20</v>
      </c>
      <c r="J9" s="876" t="s">
        <v>20</v>
      </c>
      <c r="K9" s="883"/>
      <c r="L9" s="880"/>
      <c r="M9" s="889"/>
      <c r="N9" s="890"/>
      <c r="O9" s="891"/>
      <c r="P9" s="892"/>
    </row>
    <row r="10" spans="1:27" s="998" customFormat="1" ht="12" customHeight="1">
      <c r="A10" s="1985"/>
      <c r="B10" s="1986"/>
      <c r="C10" s="894" t="s">
        <v>19</v>
      </c>
      <c r="D10" s="876" t="s">
        <v>17</v>
      </c>
      <c r="E10" s="876" t="s">
        <v>18</v>
      </c>
      <c r="F10" s="893"/>
      <c r="G10" s="893"/>
      <c r="H10" s="893"/>
      <c r="I10" s="876" t="s">
        <v>33</v>
      </c>
      <c r="J10" s="876" t="s">
        <v>33</v>
      </c>
      <c r="K10" s="894" t="s">
        <v>19</v>
      </c>
      <c r="L10" s="895" t="s">
        <v>17</v>
      </c>
      <c r="M10" s="896" t="s">
        <v>18</v>
      </c>
      <c r="N10" s="897" t="s">
        <v>19</v>
      </c>
      <c r="O10" s="898" t="s">
        <v>17</v>
      </c>
      <c r="P10" s="899" t="s">
        <v>18</v>
      </c>
    </row>
    <row r="11" spans="1:27" s="998" customFormat="1" ht="12" customHeight="1">
      <c r="A11" s="1985"/>
      <c r="B11" s="1986"/>
      <c r="C11" s="894" t="s">
        <v>29</v>
      </c>
      <c r="D11" s="1126" t="s">
        <v>28</v>
      </c>
      <c r="E11" s="880" t="s">
        <v>28</v>
      </c>
      <c r="F11" s="900" t="s">
        <v>30</v>
      </c>
      <c r="G11" s="900" t="s">
        <v>31</v>
      </c>
      <c r="H11" s="901" t="s">
        <v>32</v>
      </c>
      <c r="I11" s="876" t="s">
        <v>39</v>
      </c>
      <c r="J11" s="876" t="s">
        <v>39</v>
      </c>
      <c r="K11" s="894" t="s">
        <v>29</v>
      </c>
      <c r="L11" s="895" t="s">
        <v>28</v>
      </c>
      <c r="M11" s="896" t="s">
        <v>34</v>
      </c>
      <c r="N11" s="897" t="s">
        <v>29</v>
      </c>
      <c r="O11" s="898" t="s">
        <v>28</v>
      </c>
      <c r="P11" s="899" t="s">
        <v>34</v>
      </c>
    </row>
    <row r="12" spans="1:27" s="998" customFormat="1" ht="11.1" customHeight="1">
      <c r="A12" s="1987"/>
      <c r="B12" s="1988"/>
      <c r="C12" s="885"/>
      <c r="D12" s="876"/>
      <c r="E12" s="876"/>
      <c r="F12" s="902"/>
      <c r="G12" s="902"/>
      <c r="H12" s="903"/>
      <c r="I12" s="876"/>
      <c r="J12" s="876"/>
      <c r="K12" s="904"/>
      <c r="L12" s="905"/>
      <c r="M12" s="886"/>
      <c r="N12" s="906"/>
      <c r="O12" s="905"/>
      <c r="P12" s="907"/>
    </row>
    <row r="13" spans="1:27" ht="15" customHeight="1">
      <c r="A13" s="592" t="s">
        <v>58</v>
      </c>
      <c r="B13" s="601"/>
      <c r="C13" s="1078">
        <v>24</v>
      </c>
      <c r="D13" s="1076">
        <v>0</v>
      </c>
      <c r="E13" s="1077">
        <v>24</v>
      </c>
      <c r="F13" s="1076">
        <v>3</v>
      </c>
      <c r="G13" s="1076">
        <v>9</v>
      </c>
      <c r="H13" s="1077">
        <v>12</v>
      </c>
      <c r="I13" s="1067">
        <v>12</v>
      </c>
      <c r="J13" s="1067">
        <v>3</v>
      </c>
      <c r="K13" s="1080">
        <v>18</v>
      </c>
      <c r="L13" s="1076">
        <v>0</v>
      </c>
      <c r="M13" s="1077">
        <v>18</v>
      </c>
      <c r="N13" s="1080">
        <v>18</v>
      </c>
      <c r="O13" s="1076">
        <v>0</v>
      </c>
      <c r="P13" s="1084">
        <v>18</v>
      </c>
    </row>
    <row r="14" spans="1:27" ht="15" customHeight="1">
      <c r="A14" s="592" t="s">
        <v>49</v>
      </c>
      <c r="B14" s="595"/>
      <c r="C14" s="1069">
        <v>0</v>
      </c>
      <c r="D14" s="5">
        <v>0</v>
      </c>
      <c r="E14" s="396">
        <v>0</v>
      </c>
      <c r="F14" s="5">
        <v>0</v>
      </c>
      <c r="G14" s="5">
        <v>0</v>
      </c>
      <c r="H14" s="396">
        <v>0</v>
      </c>
      <c r="I14" s="396">
        <v>0</v>
      </c>
      <c r="J14" s="396">
        <v>0</v>
      </c>
      <c r="K14" s="1081">
        <v>0</v>
      </c>
      <c r="L14" s="5">
        <v>0</v>
      </c>
      <c r="M14" s="396">
        <v>0</v>
      </c>
      <c r="N14" s="1081">
        <v>0</v>
      </c>
      <c r="O14" s="5">
        <v>0</v>
      </c>
      <c r="P14" s="1038">
        <v>0</v>
      </c>
    </row>
    <row r="15" spans="1:27" ht="15" customHeight="1">
      <c r="A15" s="592" t="s">
        <v>52</v>
      </c>
      <c r="B15" s="595"/>
      <c r="C15" s="1069">
        <v>21</v>
      </c>
      <c r="D15" s="5">
        <v>0</v>
      </c>
      <c r="E15" s="396">
        <v>21</v>
      </c>
      <c r="F15" s="5">
        <v>0</v>
      </c>
      <c r="G15" s="5">
        <v>12</v>
      </c>
      <c r="H15" s="396">
        <v>6</v>
      </c>
      <c r="I15" s="396">
        <v>9</v>
      </c>
      <c r="J15" s="396">
        <v>6</v>
      </c>
      <c r="K15" s="1081">
        <v>12</v>
      </c>
      <c r="L15" s="5">
        <v>0</v>
      </c>
      <c r="M15" s="396">
        <v>12</v>
      </c>
      <c r="N15" s="1081">
        <v>12</v>
      </c>
      <c r="O15" s="5">
        <v>0</v>
      </c>
      <c r="P15" s="1038">
        <v>12</v>
      </c>
    </row>
    <row r="16" spans="1:27" ht="15" customHeight="1">
      <c r="A16" s="592" t="s">
        <v>48</v>
      </c>
      <c r="B16" s="595"/>
      <c r="C16" s="1069">
        <v>0</v>
      </c>
      <c r="D16" s="5">
        <v>0</v>
      </c>
      <c r="E16" s="396">
        <v>0</v>
      </c>
      <c r="F16" s="5">
        <v>0</v>
      </c>
      <c r="G16" s="5">
        <v>0</v>
      </c>
      <c r="H16" s="396">
        <v>0</v>
      </c>
      <c r="I16" s="396">
        <v>0</v>
      </c>
      <c r="J16" s="396">
        <v>0</v>
      </c>
      <c r="K16" s="1081">
        <v>0</v>
      </c>
      <c r="L16" s="5">
        <v>0</v>
      </c>
      <c r="M16" s="396">
        <v>0</v>
      </c>
      <c r="N16" s="1081">
        <v>0</v>
      </c>
      <c r="O16" s="5">
        <v>0</v>
      </c>
      <c r="P16" s="1038">
        <v>0</v>
      </c>
    </row>
    <row r="17" spans="1:37" ht="15" customHeight="1">
      <c r="A17" s="592" t="s">
        <v>53</v>
      </c>
      <c r="B17" s="543"/>
      <c r="C17" s="1069">
        <v>6</v>
      </c>
      <c r="D17" s="5">
        <v>0</v>
      </c>
      <c r="E17" s="396">
        <v>6</v>
      </c>
      <c r="F17" s="5">
        <v>3</v>
      </c>
      <c r="G17" s="5">
        <v>3</v>
      </c>
      <c r="H17" s="396">
        <v>3</v>
      </c>
      <c r="I17" s="396">
        <v>3</v>
      </c>
      <c r="J17" s="396">
        <v>3</v>
      </c>
      <c r="K17" s="1081">
        <v>0</v>
      </c>
      <c r="L17" s="5">
        <v>0</v>
      </c>
      <c r="M17" s="396">
        <v>0</v>
      </c>
      <c r="N17" s="1081">
        <v>0</v>
      </c>
      <c r="O17" s="5">
        <v>0</v>
      </c>
      <c r="P17" s="1038">
        <v>0</v>
      </c>
    </row>
    <row r="18" spans="1:37" ht="15" customHeight="1">
      <c r="A18" s="592" t="s">
        <v>50</v>
      </c>
      <c r="B18" s="595"/>
      <c r="C18" s="1069">
        <v>0</v>
      </c>
      <c r="D18" s="5">
        <v>0</v>
      </c>
      <c r="E18" s="396">
        <v>0</v>
      </c>
      <c r="F18" s="5">
        <v>0</v>
      </c>
      <c r="G18" s="5">
        <v>0</v>
      </c>
      <c r="H18" s="396">
        <v>0</v>
      </c>
      <c r="I18" s="396">
        <v>0</v>
      </c>
      <c r="J18" s="396">
        <v>0</v>
      </c>
      <c r="K18" s="1081">
        <v>0</v>
      </c>
      <c r="L18" s="5">
        <v>0</v>
      </c>
      <c r="M18" s="396">
        <v>0</v>
      </c>
      <c r="N18" s="1081">
        <v>0</v>
      </c>
      <c r="O18" s="5">
        <v>0</v>
      </c>
      <c r="P18" s="1038">
        <v>0</v>
      </c>
      <c r="Q18" s="51"/>
      <c r="R18" s="239"/>
      <c r="S18" s="51"/>
      <c r="T18" s="51"/>
      <c r="U18" s="51"/>
      <c r="V18" s="240"/>
      <c r="W18" s="240"/>
      <c r="X18" s="241"/>
      <c r="Y18" s="236"/>
      <c r="Z18" s="237"/>
      <c r="AA18" s="236"/>
      <c r="AB18" s="236"/>
      <c r="AC18" s="237"/>
      <c r="AD18" s="241"/>
      <c r="AE18" s="237"/>
      <c r="AF18" s="237"/>
      <c r="AG18" s="237"/>
      <c r="AH18" s="237"/>
      <c r="AI18" s="237"/>
      <c r="AJ18" s="237"/>
      <c r="AK18" s="237"/>
    </row>
    <row r="19" spans="1:37" ht="15" customHeight="1">
      <c r="A19" s="592" t="s">
        <v>54</v>
      </c>
      <c r="B19" s="595"/>
      <c r="C19" s="1069">
        <v>9</v>
      </c>
      <c r="D19" s="5">
        <v>0</v>
      </c>
      <c r="E19" s="396">
        <v>6</v>
      </c>
      <c r="F19" s="5">
        <v>3</v>
      </c>
      <c r="G19" s="5">
        <v>3</v>
      </c>
      <c r="H19" s="396">
        <v>3</v>
      </c>
      <c r="I19" s="396">
        <v>3</v>
      </c>
      <c r="J19" s="396">
        <v>0</v>
      </c>
      <c r="K19" s="1081">
        <v>3</v>
      </c>
      <c r="L19" s="5">
        <v>0</v>
      </c>
      <c r="M19" s="396">
        <v>3</v>
      </c>
      <c r="N19" s="1081">
        <v>3</v>
      </c>
      <c r="O19" s="5">
        <v>0</v>
      </c>
      <c r="P19" s="1038">
        <v>3</v>
      </c>
      <c r="Q19" s="52"/>
      <c r="R19" s="242"/>
      <c r="S19" s="52"/>
      <c r="T19" s="52"/>
      <c r="U19" s="52"/>
      <c r="V19" s="243"/>
      <c r="W19" s="243"/>
      <c r="X19" s="52"/>
      <c r="Y19" s="236"/>
      <c r="Z19" s="237"/>
      <c r="AA19" s="244"/>
      <c r="AB19" s="245"/>
      <c r="AC19" s="241"/>
      <c r="AD19" s="52"/>
      <c r="AE19" s="236"/>
      <c r="AF19" s="237"/>
      <c r="AG19" s="246"/>
      <c r="AH19" s="244"/>
      <c r="AI19" s="245"/>
      <c r="AJ19" s="235"/>
      <c r="AK19" s="245"/>
    </row>
    <row r="20" spans="1:37" ht="15" customHeight="1">
      <c r="A20" s="592" t="s">
        <v>44</v>
      </c>
      <c r="B20" s="595"/>
      <c r="C20" s="1069">
        <v>24</v>
      </c>
      <c r="D20" s="5">
        <v>0</v>
      </c>
      <c r="E20" s="396">
        <v>24</v>
      </c>
      <c r="F20" s="5">
        <v>3</v>
      </c>
      <c r="G20" s="5">
        <v>9</v>
      </c>
      <c r="H20" s="396">
        <v>15</v>
      </c>
      <c r="I20" s="396">
        <v>6</v>
      </c>
      <c r="J20" s="396">
        <v>3</v>
      </c>
      <c r="K20" s="1081">
        <v>6</v>
      </c>
      <c r="L20" s="5">
        <v>0</v>
      </c>
      <c r="M20" s="396">
        <v>6</v>
      </c>
      <c r="N20" s="1081">
        <v>6</v>
      </c>
      <c r="O20" s="5">
        <v>0</v>
      </c>
      <c r="P20" s="1038">
        <v>6</v>
      </c>
      <c r="Q20" s="244"/>
      <c r="R20" s="247"/>
      <c r="S20" s="244"/>
      <c r="T20" s="244"/>
      <c r="U20" s="244"/>
      <c r="V20" s="243"/>
      <c r="W20" s="243"/>
      <c r="X20" s="248"/>
      <c r="Y20" s="248"/>
      <c r="Z20" s="249"/>
      <c r="AA20" s="244"/>
      <c r="AB20" s="244"/>
      <c r="AC20" s="237"/>
      <c r="AD20" s="248"/>
      <c r="AE20" s="248"/>
      <c r="AF20" s="249"/>
      <c r="AG20" s="240"/>
      <c r="AH20" s="244"/>
      <c r="AI20" s="245"/>
      <c r="AJ20" s="235"/>
      <c r="AK20" s="245"/>
    </row>
    <row r="21" spans="1:37" ht="15" customHeight="1">
      <c r="A21" s="592" t="s">
        <v>45</v>
      </c>
      <c r="B21" s="595"/>
      <c r="C21" s="1069">
        <v>57</v>
      </c>
      <c r="D21" s="5">
        <v>0</v>
      </c>
      <c r="E21" s="396">
        <v>57</v>
      </c>
      <c r="F21" s="5">
        <v>6</v>
      </c>
      <c r="G21" s="5">
        <v>18</v>
      </c>
      <c r="H21" s="396">
        <v>33</v>
      </c>
      <c r="I21" s="396">
        <v>39</v>
      </c>
      <c r="J21" s="396">
        <v>3</v>
      </c>
      <c r="K21" s="1081">
        <v>18</v>
      </c>
      <c r="L21" s="5">
        <v>0</v>
      </c>
      <c r="M21" s="396">
        <v>18</v>
      </c>
      <c r="N21" s="1081">
        <v>18</v>
      </c>
      <c r="O21" s="5">
        <v>0</v>
      </c>
      <c r="P21" s="1038">
        <v>18</v>
      </c>
      <c r="Q21" s="52"/>
      <c r="R21" s="242"/>
      <c r="S21" s="244"/>
      <c r="T21" s="236"/>
      <c r="U21" s="236"/>
      <c r="V21" s="243"/>
      <c r="W21" s="243"/>
      <c r="X21" s="52"/>
      <c r="Y21" s="52"/>
      <c r="Z21" s="242"/>
      <c r="AA21" s="52"/>
      <c r="AB21" s="52"/>
      <c r="AC21" s="242"/>
      <c r="AD21" s="52"/>
      <c r="AE21" s="52"/>
      <c r="AF21" s="242"/>
      <c r="AG21" s="240"/>
      <c r="AH21" s="248"/>
      <c r="AI21" s="248"/>
      <c r="AJ21" s="249"/>
      <c r="AK21" s="250"/>
    </row>
    <row r="22" spans="1:37" ht="15" customHeight="1">
      <c r="A22" s="592" t="s">
        <v>55</v>
      </c>
      <c r="B22" s="595"/>
      <c r="C22" s="1069">
        <v>0</v>
      </c>
      <c r="D22" s="5">
        <v>0</v>
      </c>
      <c r="E22" s="396">
        <v>0</v>
      </c>
      <c r="F22" s="5">
        <v>0</v>
      </c>
      <c r="G22" s="5">
        <v>0</v>
      </c>
      <c r="H22" s="396">
        <v>0</v>
      </c>
      <c r="I22" s="396">
        <v>0</v>
      </c>
      <c r="J22" s="396">
        <v>0</v>
      </c>
      <c r="K22" s="1081">
        <v>0</v>
      </c>
      <c r="L22" s="5">
        <v>0</v>
      </c>
      <c r="M22" s="396">
        <v>0</v>
      </c>
      <c r="N22" s="1081">
        <v>0</v>
      </c>
      <c r="O22" s="5">
        <v>0</v>
      </c>
      <c r="P22" s="1038">
        <v>0</v>
      </c>
      <c r="Q22" s="240"/>
      <c r="R22" s="251"/>
      <c r="S22" s="52"/>
      <c r="T22" s="250"/>
      <c r="U22" s="250"/>
      <c r="V22" s="243"/>
      <c r="W22" s="243"/>
      <c r="X22" s="240"/>
      <c r="Y22" s="240"/>
      <c r="Z22" s="251"/>
      <c r="AA22" s="240"/>
      <c r="AB22" s="236"/>
      <c r="AC22" s="251"/>
      <c r="AD22" s="240"/>
      <c r="AE22" s="240"/>
      <c r="AF22" s="251"/>
      <c r="AG22" s="240"/>
      <c r="AH22" s="240"/>
      <c r="AI22" s="240"/>
      <c r="AJ22" s="251"/>
      <c r="AK22" s="250"/>
    </row>
    <row r="23" spans="1:37" ht="15" customHeight="1">
      <c r="A23" s="592" t="s">
        <v>46</v>
      </c>
      <c r="B23" s="595"/>
      <c r="C23" s="1070">
        <v>0</v>
      </c>
      <c r="D23" s="1063">
        <v>0</v>
      </c>
      <c r="E23" s="1064">
        <v>0</v>
      </c>
      <c r="F23" s="1063">
        <v>0</v>
      </c>
      <c r="G23" s="1063">
        <v>0</v>
      </c>
      <c r="H23" s="1064">
        <v>0</v>
      </c>
      <c r="I23" s="396">
        <v>0</v>
      </c>
      <c r="J23" s="396">
        <v>0</v>
      </c>
      <c r="K23" s="1082">
        <v>0</v>
      </c>
      <c r="L23" s="1063">
        <v>0</v>
      </c>
      <c r="M23" s="1064">
        <v>0</v>
      </c>
      <c r="N23" s="1082">
        <v>0</v>
      </c>
      <c r="O23" s="1063">
        <v>0</v>
      </c>
      <c r="P23" s="1036">
        <v>0</v>
      </c>
      <c r="Q23" s="240"/>
      <c r="R23" s="251"/>
      <c r="S23" s="240"/>
      <c r="T23" s="240"/>
      <c r="U23" s="240"/>
      <c r="V23" s="243"/>
      <c r="W23" s="243"/>
      <c r="X23" s="240"/>
      <c r="Y23" s="240"/>
      <c r="Z23" s="251"/>
      <c r="AA23" s="240"/>
      <c r="AB23" s="240"/>
      <c r="AC23" s="251"/>
      <c r="AD23" s="240"/>
      <c r="AE23" s="240"/>
      <c r="AF23" s="251"/>
      <c r="AG23" s="240"/>
      <c r="AH23" s="240"/>
      <c r="AI23" s="240"/>
      <c r="AJ23" s="251"/>
      <c r="AK23" s="250"/>
    </row>
    <row r="24" spans="1:37" ht="15" customHeight="1">
      <c r="A24" s="592" t="s">
        <v>47</v>
      </c>
      <c r="B24" s="595"/>
      <c r="C24" s="1069">
        <v>0</v>
      </c>
      <c r="D24" s="5">
        <v>0</v>
      </c>
      <c r="E24" s="396">
        <v>0</v>
      </c>
      <c r="F24" s="5">
        <v>0</v>
      </c>
      <c r="G24" s="5">
        <v>0</v>
      </c>
      <c r="H24" s="396">
        <v>0</v>
      </c>
      <c r="I24" s="258">
        <v>0</v>
      </c>
      <c r="J24" s="258">
        <v>0</v>
      </c>
      <c r="K24" s="1081">
        <v>0</v>
      </c>
      <c r="L24" s="5">
        <v>0</v>
      </c>
      <c r="M24" s="396">
        <v>0</v>
      </c>
      <c r="N24" s="1081">
        <v>0</v>
      </c>
      <c r="O24" s="5">
        <v>0</v>
      </c>
      <c r="P24" s="1038">
        <v>0</v>
      </c>
      <c r="Q24" s="52"/>
      <c r="R24" s="242"/>
      <c r="S24" s="52"/>
      <c r="T24" s="52"/>
      <c r="U24" s="52"/>
      <c r="V24" s="252"/>
      <c r="W24" s="252"/>
      <c r="X24" s="52"/>
      <c r="Y24" s="52"/>
      <c r="Z24" s="242"/>
      <c r="AA24" s="52"/>
      <c r="AB24" s="52"/>
      <c r="AC24" s="242"/>
      <c r="AD24" s="52"/>
      <c r="AE24" s="52"/>
      <c r="AF24" s="242"/>
      <c r="AG24" s="246"/>
      <c r="AH24" s="52"/>
      <c r="AI24" s="52"/>
      <c r="AJ24" s="242"/>
      <c r="AK24" s="250"/>
    </row>
    <row r="25" spans="1:37" ht="15" customHeight="1">
      <c r="A25" s="592" t="s">
        <v>51</v>
      </c>
      <c r="B25" s="595"/>
      <c r="C25" s="1069">
        <v>0</v>
      </c>
      <c r="D25" s="5">
        <v>0</v>
      </c>
      <c r="E25" s="396">
        <v>0</v>
      </c>
      <c r="F25" s="5">
        <v>0</v>
      </c>
      <c r="G25" s="5">
        <v>0</v>
      </c>
      <c r="H25" s="396">
        <v>0</v>
      </c>
      <c r="I25" s="396">
        <v>0</v>
      </c>
      <c r="J25" s="396">
        <v>0</v>
      </c>
      <c r="K25" s="1081">
        <v>0</v>
      </c>
      <c r="L25" s="5">
        <v>0</v>
      </c>
      <c r="M25" s="396">
        <v>0</v>
      </c>
      <c r="N25" s="1081">
        <v>0</v>
      </c>
      <c r="O25" s="5">
        <v>0</v>
      </c>
      <c r="P25" s="1038">
        <v>0</v>
      </c>
    </row>
    <row r="26" spans="1:37" ht="15" customHeight="1">
      <c r="A26" s="592" t="s">
        <v>56</v>
      </c>
      <c r="B26" s="595"/>
      <c r="C26" s="1069">
        <v>0</v>
      </c>
      <c r="D26" s="5">
        <v>0</v>
      </c>
      <c r="E26" s="396">
        <v>0</v>
      </c>
      <c r="F26" s="5">
        <v>0</v>
      </c>
      <c r="G26" s="5">
        <v>0</v>
      </c>
      <c r="H26" s="396">
        <v>0</v>
      </c>
      <c r="I26" s="396">
        <v>0</v>
      </c>
      <c r="J26" s="396">
        <v>0</v>
      </c>
      <c r="K26" s="1081">
        <v>0</v>
      </c>
      <c r="L26" s="5">
        <v>0</v>
      </c>
      <c r="M26" s="396">
        <v>0</v>
      </c>
      <c r="N26" s="1081">
        <v>0</v>
      </c>
      <c r="O26" s="5">
        <v>0</v>
      </c>
      <c r="P26" s="1038">
        <v>0</v>
      </c>
    </row>
    <row r="27" spans="1:37" ht="15" customHeight="1">
      <c r="A27" s="592" t="s">
        <v>57</v>
      </c>
      <c r="B27" s="595"/>
      <c r="C27" s="1069">
        <v>0</v>
      </c>
      <c r="D27" s="5">
        <v>0</v>
      </c>
      <c r="E27" s="396">
        <v>0</v>
      </c>
      <c r="F27" s="5">
        <v>0</v>
      </c>
      <c r="G27" s="5">
        <v>0</v>
      </c>
      <c r="H27" s="396">
        <v>0</v>
      </c>
      <c r="I27" s="396">
        <v>0</v>
      </c>
      <c r="J27" s="396">
        <v>0</v>
      </c>
      <c r="K27" s="1081">
        <v>0</v>
      </c>
      <c r="L27" s="5">
        <v>0</v>
      </c>
      <c r="M27" s="396">
        <v>0</v>
      </c>
      <c r="N27" s="1081">
        <v>0</v>
      </c>
      <c r="O27" s="5">
        <v>0</v>
      </c>
      <c r="P27" s="1038">
        <v>0</v>
      </c>
    </row>
    <row r="28" spans="1:37" s="253" customFormat="1" ht="15" customHeight="1">
      <c r="A28" s="592" t="s">
        <v>59</v>
      </c>
      <c r="B28" s="595"/>
      <c r="C28" s="1069">
        <v>0</v>
      </c>
      <c r="D28" s="5">
        <v>0</v>
      </c>
      <c r="E28" s="396">
        <v>0</v>
      </c>
      <c r="F28" s="5">
        <v>0</v>
      </c>
      <c r="G28" s="5">
        <v>0</v>
      </c>
      <c r="H28" s="396">
        <v>0</v>
      </c>
      <c r="I28" s="1037">
        <v>0</v>
      </c>
      <c r="J28" s="1037">
        <v>0</v>
      </c>
      <c r="K28" s="1081">
        <v>0</v>
      </c>
      <c r="L28" s="5">
        <v>0</v>
      </c>
      <c r="M28" s="396">
        <v>0</v>
      </c>
      <c r="N28" s="1081">
        <v>0</v>
      </c>
      <c r="O28" s="5">
        <v>0</v>
      </c>
      <c r="P28" s="1038">
        <v>0</v>
      </c>
    </row>
    <row r="29" spans="1:37" s="52" customFormat="1" ht="4.3499999999999996" customHeight="1">
      <c r="A29" s="656"/>
      <c r="B29" s="595"/>
      <c r="C29" s="408"/>
      <c r="D29" s="406"/>
      <c r="E29" s="407"/>
      <c r="F29" s="406"/>
      <c r="G29" s="406"/>
      <c r="H29" s="407"/>
      <c r="I29" s="1079"/>
      <c r="J29" s="1079"/>
      <c r="K29" s="1083"/>
      <c r="L29" s="406"/>
      <c r="M29" s="407"/>
      <c r="N29" s="1083"/>
      <c r="O29" s="406"/>
      <c r="P29" s="1085"/>
    </row>
    <row r="30" spans="1:37" s="254" customFormat="1" ht="21" customHeight="1" thickBot="1">
      <c r="A30" s="593" t="s">
        <v>60</v>
      </c>
      <c r="B30" s="658"/>
      <c r="C30" s="1068">
        <v>141</v>
      </c>
      <c r="D30" s="580">
        <v>3</v>
      </c>
      <c r="E30" s="1065">
        <v>138</v>
      </c>
      <c r="F30" s="580">
        <v>18</v>
      </c>
      <c r="G30" s="580">
        <v>51</v>
      </c>
      <c r="H30" s="1065">
        <v>72</v>
      </c>
      <c r="I30" s="1066">
        <v>72</v>
      </c>
      <c r="J30" s="1066">
        <v>18</v>
      </c>
      <c r="K30" s="580">
        <v>57</v>
      </c>
      <c r="L30" s="580">
        <v>0</v>
      </c>
      <c r="M30" s="1065">
        <v>57</v>
      </c>
      <c r="N30" s="580">
        <v>57</v>
      </c>
      <c r="O30" s="580">
        <v>0</v>
      </c>
      <c r="P30" s="1039">
        <v>57</v>
      </c>
    </row>
    <row r="31" spans="1:37" s="254" customFormat="1" ht="3.6" customHeight="1">
      <c r="A31" s="575"/>
      <c r="B31" s="575"/>
      <c r="C31" s="576"/>
      <c r="D31" s="576"/>
      <c r="E31" s="576"/>
      <c r="F31" s="576"/>
      <c r="G31" s="576"/>
      <c r="H31" s="576"/>
      <c r="I31" s="576"/>
      <c r="J31" s="576"/>
      <c r="K31" s="576"/>
      <c r="L31" s="576"/>
      <c r="M31" s="576"/>
      <c r="N31" s="577"/>
    </row>
    <row r="32" spans="1:37" s="254" customFormat="1" ht="11.1" customHeight="1">
      <c r="A32" s="70" t="s">
        <v>299</v>
      </c>
      <c r="B32" s="575"/>
      <c r="C32" s="576"/>
      <c r="D32" s="576"/>
      <c r="E32" s="576"/>
      <c r="F32" s="576"/>
      <c r="G32" s="576"/>
      <c r="H32" s="576"/>
      <c r="I32" s="576"/>
      <c r="J32" s="576"/>
      <c r="K32" s="576"/>
      <c r="L32" s="576"/>
      <c r="M32" s="576"/>
      <c r="N32" s="577"/>
    </row>
    <row r="33" spans="1:16" s="253" customFormat="1" ht="12" customHeight="1">
      <c r="A33" s="71" t="s">
        <v>382</v>
      </c>
      <c r="B33" s="71"/>
      <c r="C33" s="68"/>
      <c r="D33" s="68"/>
      <c r="E33" s="68"/>
      <c r="F33" s="68"/>
      <c r="G33" s="68"/>
      <c r="H33" s="68"/>
      <c r="I33" s="68"/>
      <c r="J33" s="68"/>
      <c r="K33" s="68"/>
      <c r="L33" s="68"/>
      <c r="M33" s="68"/>
      <c r="N33" s="68"/>
    </row>
    <row r="34" spans="1:16" s="253" customFormat="1" ht="11.85" customHeight="1">
      <c r="B34" s="70"/>
      <c r="C34" s="68"/>
      <c r="D34" s="68"/>
      <c r="E34" s="68"/>
      <c r="F34" s="68"/>
      <c r="G34" s="68"/>
      <c r="H34" s="68"/>
      <c r="I34" s="68"/>
      <c r="J34" s="68"/>
      <c r="K34" s="68"/>
      <c r="L34" s="68"/>
      <c r="M34" s="68"/>
      <c r="N34" s="68"/>
    </row>
    <row r="36" spans="1:16" thickBot="1">
      <c r="A36" s="593" t="s">
        <v>60</v>
      </c>
      <c r="B36" s="598"/>
      <c r="C36" s="1068">
        <v>141</v>
      </c>
      <c r="D36" s="580">
        <v>0</v>
      </c>
      <c r="E36" s="1065">
        <v>138</v>
      </c>
      <c r="F36" s="580">
        <v>18</v>
      </c>
      <c r="G36" s="580">
        <v>54</v>
      </c>
      <c r="H36" s="1065">
        <v>72</v>
      </c>
      <c r="I36" s="580">
        <v>72</v>
      </c>
      <c r="J36" s="1066">
        <v>18</v>
      </c>
      <c r="K36" s="1068">
        <v>57</v>
      </c>
      <c r="L36" s="580">
        <v>0</v>
      </c>
      <c r="M36" s="1065">
        <v>57</v>
      </c>
      <c r="N36" s="1068">
        <v>57</v>
      </c>
      <c r="O36" s="580">
        <v>0</v>
      </c>
      <c r="P36" s="1039">
        <v>57</v>
      </c>
    </row>
    <row r="37" spans="1:16" thickBot="1">
      <c r="A37" s="593" t="s">
        <v>386</v>
      </c>
      <c r="B37" s="598"/>
      <c r="C37" s="1327">
        <f t="shared" ref="C37:P37" si="0">C30-C36</f>
        <v>0</v>
      </c>
      <c r="D37" s="1297">
        <f t="shared" si="0"/>
        <v>3</v>
      </c>
      <c r="E37" s="1311">
        <f t="shared" si="0"/>
        <v>0</v>
      </c>
      <c r="F37" s="1323">
        <f t="shared" si="0"/>
        <v>0</v>
      </c>
      <c r="G37" s="1295">
        <f t="shared" si="0"/>
        <v>-3</v>
      </c>
      <c r="H37" s="1311">
        <f t="shared" si="0"/>
        <v>0</v>
      </c>
      <c r="I37" s="1305">
        <f t="shared" si="0"/>
        <v>0</v>
      </c>
      <c r="J37" s="1338">
        <f t="shared" si="0"/>
        <v>0</v>
      </c>
      <c r="K37" s="1327">
        <f t="shared" si="0"/>
        <v>0</v>
      </c>
      <c r="L37" s="1305">
        <f t="shared" si="0"/>
        <v>0</v>
      </c>
      <c r="M37" s="1311">
        <f t="shared" si="0"/>
        <v>0</v>
      </c>
      <c r="N37" s="1327">
        <f t="shared" si="0"/>
        <v>0</v>
      </c>
      <c r="O37" s="1305">
        <f t="shared" si="0"/>
        <v>0</v>
      </c>
      <c r="P37" s="1350">
        <f t="shared" si="0"/>
        <v>0</v>
      </c>
    </row>
  </sheetData>
  <mergeCells count="6">
    <mergeCell ref="K6:P6"/>
    <mergeCell ref="N7:P7"/>
    <mergeCell ref="N8:P8"/>
    <mergeCell ref="A4:P4"/>
    <mergeCell ref="A6:B12"/>
    <mergeCell ref="C6:H7"/>
  </mergeCells>
  <printOptions horizontalCentered="1"/>
  <pageMargins left="0.19685039370078741" right="0.19685039370078741" top="0.82677165354330717" bottom="0.70866141732283472" header="0.62992125984251968" footer="0.51181102362204722"/>
  <pageSetup paperSize="9" orientation="landscape" horizontalDpi="4294967295" verticalDpi="4294967295" r:id="rId1"/>
  <headerFooter alignWithMargins="0">
    <oddHeader>&amp;C&amp;"Arial,Standard"&amp;8- 23 -&amp;"Times New Roman,Standard"&amp;11
&amp;R&amp;8&amp;D</oddHeader>
    <oddFooter>&amp;R&amp;14...</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tint="-0.499984740745262"/>
  </sheetPr>
  <dimension ref="A1:GJ1436"/>
  <sheetViews>
    <sheetView topLeftCell="A202" zoomScaleNormal="100" zoomScaleSheetLayoutView="100" workbookViewId="0">
      <selection activeCell="F105" sqref="F105"/>
    </sheetView>
  </sheetViews>
  <sheetFormatPr baseColWidth="10" defaultColWidth="11.42578125" defaultRowHeight="14.25"/>
  <cols>
    <col min="1" max="1" width="18" style="141" customWidth="1"/>
    <col min="2" max="2" width="7.5703125" style="10" customWidth="1"/>
    <col min="3" max="6" width="13.5703125" style="55" customWidth="1"/>
    <col min="7" max="7" width="13.5703125" style="83" customWidth="1"/>
    <col min="8" max="16384" width="11.42578125" style="10"/>
  </cols>
  <sheetData>
    <row r="1" spans="1:192" ht="12">
      <c r="A1" s="2090"/>
      <c r="B1" s="2090"/>
      <c r="C1" s="2090"/>
      <c r="D1" s="528" t="s">
        <v>207</v>
      </c>
      <c r="G1" s="534"/>
    </row>
    <row r="2" spans="1:192">
      <c r="A2" s="36"/>
      <c r="B2" s="1"/>
      <c r="C2" s="2"/>
      <c r="D2" s="2"/>
      <c r="E2" s="2"/>
      <c r="G2" s="984"/>
      <c r="H2" s="3"/>
      <c r="I2" s="3"/>
      <c r="J2" s="3"/>
      <c r="K2" s="56"/>
      <c r="L2" s="56"/>
      <c r="M2" s="3"/>
      <c r="N2" s="3"/>
      <c r="O2" s="57"/>
      <c r="P2" s="58" t="s">
        <v>109</v>
      </c>
      <c r="Q2" s="3" t="s">
        <v>108</v>
      </c>
      <c r="R2" s="4"/>
      <c r="S2" s="4"/>
      <c r="T2" s="4"/>
      <c r="U2" s="4"/>
      <c r="V2" s="4"/>
      <c r="W2" s="3"/>
      <c r="X2" s="3"/>
      <c r="Y2" s="3"/>
      <c r="Z2" s="3"/>
      <c r="AA2" s="56"/>
      <c r="AB2" s="56"/>
      <c r="AC2" s="3"/>
      <c r="AD2" s="3"/>
      <c r="AE2" s="57"/>
      <c r="AF2" s="58" t="s">
        <v>109</v>
      </c>
      <c r="AG2" s="3" t="s">
        <v>108</v>
      </c>
      <c r="AH2" s="4"/>
      <c r="AI2" s="4"/>
      <c r="AJ2" s="4"/>
      <c r="AK2" s="4"/>
      <c r="AL2" s="4"/>
      <c r="AM2" s="3"/>
      <c r="AN2" s="3"/>
      <c r="AO2" s="3"/>
      <c r="AP2" s="3"/>
      <c r="AQ2" s="56"/>
      <c r="AR2" s="56"/>
      <c r="AS2" s="3"/>
      <c r="AT2" s="3"/>
      <c r="AU2" s="57"/>
      <c r="AV2" s="58" t="s">
        <v>109</v>
      </c>
      <c r="AW2" s="3" t="s">
        <v>108</v>
      </c>
      <c r="AX2" s="4"/>
      <c r="AY2" s="4"/>
      <c r="AZ2" s="4"/>
      <c r="BA2" s="4"/>
      <c r="BB2" s="4"/>
      <c r="BC2" s="3"/>
      <c r="BD2" s="3"/>
      <c r="BE2" s="3"/>
      <c r="BF2" s="3"/>
      <c r="BG2" s="56"/>
      <c r="BH2" s="56"/>
      <c r="BI2" s="3"/>
      <c r="BJ2" s="3"/>
      <c r="BK2" s="57"/>
      <c r="BL2" s="58" t="s">
        <v>109</v>
      </c>
      <c r="BM2" s="3" t="s">
        <v>108</v>
      </c>
      <c r="BN2" s="4"/>
      <c r="BO2" s="4"/>
      <c r="BP2" s="4"/>
      <c r="BQ2" s="4"/>
      <c r="BR2" s="4"/>
      <c r="BS2" s="3"/>
      <c r="BT2" s="3"/>
      <c r="BU2" s="3"/>
      <c r="BV2" s="3"/>
      <c r="BW2" s="56"/>
      <c r="BX2" s="56"/>
      <c r="BY2" s="3"/>
      <c r="BZ2" s="3"/>
      <c r="CA2" s="57"/>
      <c r="CB2" s="58" t="s">
        <v>109</v>
      </c>
      <c r="CC2" s="3" t="s">
        <v>108</v>
      </c>
      <c r="CD2" s="4"/>
      <c r="CE2" s="4"/>
      <c r="CF2" s="4"/>
      <c r="CG2" s="4"/>
      <c r="CH2" s="4"/>
      <c r="CI2" s="3"/>
      <c r="CJ2" s="3"/>
      <c r="CK2" s="3"/>
      <c r="CL2" s="3"/>
      <c r="CM2" s="56"/>
      <c r="CN2" s="56"/>
      <c r="CO2" s="3"/>
      <c r="CP2" s="3"/>
      <c r="CQ2" s="57"/>
      <c r="CR2" s="58" t="s">
        <v>109</v>
      </c>
      <c r="CS2" s="3" t="s">
        <v>108</v>
      </c>
      <c r="CT2" s="4"/>
      <c r="CU2" s="4"/>
      <c r="CV2" s="4"/>
      <c r="CW2" s="4"/>
      <c r="CX2" s="4"/>
      <c r="CY2" s="3"/>
      <c r="CZ2" s="3"/>
      <c r="DA2" s="3"/>
      <c r="DB2" s="3"/>
      <c r="DC2" s="56"/>
      <c r="DD2" s="56"/>
      <c r="DE2" s="3"/>
      <c r="DF2" s="3"/>
      <c r="DG2" s="57"/>
      <c r="DH2" s="58" t="s">
        <v>109</v>
      </c>
      <c r="DI2" s="3" t="s">
        <v>108</v>
      </c>
      <c r="DJ2" s="4"/>
      <c r="DK2" s="4"/>
      <c r="DL2" s="4"/>
      <c r="DM2" s="4"/>
      <c r="DN2" s="4"/>
      <c r="DO2" s="3"/>
      <c r="DP2" s="3"/>
      <c r="DQ2" s="3"/>
      <c r="DR2" s="3"/>
      <c r="DS2" s="56"/>
      <c r="DT2" s="56"/>
      <c r="DU2" s="3"/>
      <c r="DV2" s="3"/>
      <c r="DW2" s="57"/>
      <c r="DX2" s="58" t="s">
        <v>109</v>
      </c>
      <c r="DY2" s="3" t="s">
        <v>108</v>
      </c>
      <c r="DZ2" s="4"/>
      <c r="EA2" s="4"/>
      <c r="EB2" s="4"/>
      <c r="EC2" s="4"/>
      <c r="ED2" s="4"/>
      <c r="EE2" s="3"/>
      <c r="EF2" s="3"/>
      <c r="EG2" s="3"/>
      <c r="EH2" s="3"/>
      <c r="EI2" s="56"/>
      <c r="EJ2" s="56"/>
      <c r="EK2" s="3"/>
      <c r="EL2" s="3"/>
      <c r="EM2" s="57"/>
      <c r="EN2" s="58" t="s">
        <v>109</v>
      </c>
      <c r="EO2" s="3" t="s">
        <v>108</v>
      </c>
      <c r="EP2" s="4"/>
      <c r="EQ2" s="4"/>
      <c r="ER2" s="4"/>
      <c r="ES2" s="4"/>
      <c r="ET2" s="4"/>
      <c r="EU2" s="3"/>
      <c r="EV2" s="3"/>
      <c r="EW2" s="3"/>
      <c r="EX2" s="3"/>
      <c r="EY2" s="56"/>
      <c r="EZ2" s="56"/>
      <c r="FA2" s="3"/>
      <c r="FB2" s="3"/>
      <c r="FC2" s="57"/>
      <c r="FD2" s="58" t="s">
        <v>109</v>
      </c>
      <c r="FE2" s="3" t="s">
        <v>108</v>
      </c>
      <c r="FF2" s="4"/>
      <c r="FG2" s="4"/>
      <c r="FH2" s="4"/>
      <c r="FI2" s="4"/>
      <c r="FJ2" s="4"/>
      <c r="FK2" s="3"/>
      <c r="FL2" s="3"/>
      <c r="FM2" s="3"/>
      <c r="FN2" s="3"/>
      <c r="FO2" s="56"/>
      <c r="FP2" s="56"/>
      <c r="FQ2" s="3"/>
      <c r="FR2" s="3"/>
      <c r="FS2" s="57"/>
      <c r="FT2" s="58" t="s">
        <v>109</v>
      </c>
      <c r="FU2" s="3" t="s">
        <v>108</v>
      </c>
      <c r="FV2" s="4"/>
      <c r="FW2" s="4"/>
      <c r="FX2" s="4"/>
      <c r="FY2" s="4"/>
      <c r="FZ2" s="4"/>
      <c r="GA2" s="3"/>
      <c r="GB2" s="3"/>
      <c r="GC2" s="3"/>
      <c r="GD2" s="3"/>
      <c r="GE2" s="56"/>
      <c r="GF2" s="56"/>
      <c r="GG2" s="3"/>
      <c r="GH2" s="3"/>
      <c r="GI2" s="57"/>
      <c r="GJ2" s="58" t="s">
        <v>109</v>
      </c>
    </row>
    <row r="3" spans="1:192" s="38" customFormat="1" ht="12.75">
      <c r="A3" s="2091" t="s">
        <v>103</v>
      </c>
      <c r="B3" s="2091"/>
      <c r="C3" s="2091"/>
      <c r="D3" s="2091"/>
      <c r="E3" s="2091"/>
      <c r="F3" s="2091"/>
      <c r="G3" s="2091"/>
    </row>
    <row r="4" spans="1:192" ht="9" customHeight="1" thickBot="1">
      <c r="A4" s="142"/>
      <c r="B4" s="12"/>
      <c r="C4" s="61"/>
      <c r="D4" s="61"/>
      <c r="E4" s="61"/>
      <c r="F4" s="61"/>
      <c r="G4" s="62"/>
    </row>
    <row r="5" spans="1:192" ht="11.25" customHeight="1">
      <c r="A5" s="2082" t="s">
        <v>72</v>
      </c>
      <c r="B5" s="2095" t="s">
        <v>120</v>
      </c>
      <c r="C5" s="2087" t="s">
        <v>221</v>
      </c>
      <c r="D5" s="2088"/>
      <c r="E5" s="2089"/>
      <c r="F5" s="221" t="s">
        <v>332</v>
      </c>
      <c r="G5" s="291"/>
    </row>
    <row r="6" spans="1:192" ht="9.75" customHeight="1">
      <c r="A6" s="2083"/>
      <c r="B6" s="2096"/>
      <c r="C6" s="222" t="s">
        <v>124</v>
      </c>
      <c r="D6" s="223"/>
      <c r="E6" s="59" t="s">
        <v>121</v>
      </c>
      <c r="F6" s="2068" t="s">
        <v>325</v>
      </c>
      <c r="G6" s="2065" t="s">
        <v>326</v>
      </c>
    </row>
    <row r="7" spans="1:192" ht="13.5" customHeight="1">
      <c r="A7" s="2083"/>
      <c r="B7" s="2096"/>
      <c r="C7" s="2093" t="s">
        <v>94</v>
      </c>
      <c r="D7" s="219" t="s">
        <v>5</v>
      </c>
      <c r="E7" s="60" t="s">
        <v>122</v>
      </c>
      <c r="F7" s="2069"/>
      <c r="G7" s="2066"/>
      <c r="I7" s="970"/>
    </row>
    <row r="8" spans="1:192" ht="13.5" customHeight="1">
      <c r="A8" s="2084"/>
      <c r="B8" s="2097"/>
      <c r="C8" s="2094"/>
      <c r="D8" s="220" t="s">
        <v>93</v>
      </c>
      <c r="E8" s="69" t="s">
        <v>123</v>
      </c>
      <c r="F8" s="2070"/>
      <c r="G8" s="2067"/>
    </row>
    <row r="9" spans="1:192" ht="3" customHeight="1">
      <c r="A9" s="204"/>
      <c r="B9" s="143"/>
      <c r="C9" s="224"/>
      <c r="D9" s="144"/>
      <c r="E9" s="206"/>
      <c r="F9" s="144"/>
      <c r="G9" s="985"/>
    </row>
    <row r="10" spans="1:192" s="70" customFormat="1" ht="11.45" customHeight="1">
      <c r="A10" s="1148" t="s">
        <v>73</v>
      </c>
      <c r="B10" s="280">
        <v>2001</v>
      </c>
      <c r="C10" s="205">
        <v>7867</v>
      </c>
      <c r="D10" s="62">
        <v>732</v>
      </c>
      <c r="E10" s="258">
        <v>3217</v>
      </c>
      <c r="F10" s="62">
        <v>3663</v>
      </c>
      <c r="G10" s="279">
        <v>631</v>
      </c>
    </row>
    <row r="11" spans="1:192" s="70" customFormat="1" ht="11.45" customHeight="1">
      <c r="A11" s="238"/>
      <c r="B11" s="278">
        <v>2002</v>
      </c>
      <c r="C11" s="205">
        <v>7954</v>
      </c>
      <c r="D11" s="62">
        <v>743</v>
      </c>
      <c r="E11" s="258">
        <v>3269</v>
      </c>
      <c r="F11" s="62">
        <v>3509</v>
      </c>
      <c r="G11" s="279">
        <v>720</v>
      </c>
    </row>
    <row r="12" spans="1:192" s="70" customFormat="1" ht="11.45" customHeight="1">
      <c r="A12" s="238"/>
      <c r="B12" s="280">
        <v>2003</v>
      </c>
      <c r="C12" s="205">
        <v>8416</v>
      </c>
      <c r="D12" s="62">
        <v>766</v>
      </c>
      <c r="E12" s="258">
        <v>3601</v>
      </c>
      <c r="F12" s="62">
        <v>3260</v>
      </c>
      <c r="G12" s="279">
        <v>633</v>
      </c>
    </row>
    <row r="13" spans="1:192" s="70" customFormat="1" ht="11.45" customHeight="1">
      <c r="A13" s="259"/>
      <c r="B13" s="278">
        <v>2004</v>
      </c>
      <c r="C13" s="205">
        <v>9196</v>
      </c>
      <c r="D13" s="62">
        <v>835</v>
      </c>
      <c r="E13" s="258">
        <v>3838</v>
      </c>
      <c r="F13" s="62">
        <v>3164</v>
      </c>
      <c r="G13" s="279">
        <v>716</v>
      </c>
    </row>
    <row r="14" spans="1:192" s="70" customFormat="1" ht="11.45" customHeight="1">
      <c r="A14" s="259"/>
      <c r="B14" s="280">
        <v>2005</v>
      </c>
      <c r="C14" s="205">
        <v>9470</v>
      </c>
      <c r="D14" s="62">
        <v>813</v>
      </c>
      <c r="E14" s="258">
        <v>3825</v>
      </c>
      <c r="F14" s="62">
        <v>3483</v>
      </c>
      <c r="G14" s="279">
        <v>605</v>
      </c>
    </row>
    <row r="15" spans="1:192" s="70" customFormat="1" ht="11.45" customHeight="1">
      <c r="A15" s="259"/>
      <c r="B15" s="280">
        <v>2006</v>
      </c>
      <c r="C15" s="205">
        <v>9451</v>
      </c>
      <c r="D15" s="62">
        <v>897</v>
      </c>
      <c r="E15" s="258">
        <v>3831</v>
      </c>
      <c r="F15" s="62">
        <v>3726</v>
      </c>
      <c r="G15" s="279">
        <v>592</v>
      </c>
    </row>
    <row r="16" spans="1:192" s="70" customFormat="1" ht="11.45" customHeight="1">
      <c r="A16" s="259"/>
      <c r="B16" s="280">
        <v>2007</v>
      </c>
      <c r="C16" s="205">
        <v>9709</v>
      </c>
      <c r="D16" s="62">
        <v>989</v>
      </c>
      <c r="E16" s="258">
        <v>4804</v>
      </c>
      <c r="F16" s="1150" t="s">
        <v>195</v>
      </c>
      <c r="G16" s="527" t="s">
        <v>195</v>
      </c>
    </row>
    <row r="17" spans="1:9" s="70" customFormat="1" ht="11.45" customHeight="1">
      <c r="A17" s="259"/>
      <c r="B17" s="280">
        <v>2008</v>
      </c>
      <c r="C17" s="205">
        <v>9413</v>
      </c>
      <c r="D17" s="62">
        <v>1030</v>
      </c>
      <c r="E17" s="258">
        <v>4435</v>
      </c>
      <c r="F17" s="62">
        <v>3267</v>
      </c>
      <c r="G17" s="527" t="s">
        <v>195</v>
      </c>
    </row>
    <row r="18" spans="1:9" s="70" customFormat="1" ht="11.45" customHeight="1">
      <c r="A18" s="259"/>
      <c r="B18" s="280">
        <v>2009</v>
      </c>
      <c r="C18" s="205">
        <v>9217</v>
      </c>
      <c r="D18" s="62">
        <v>1061</v>
      </c>
      <c r="E18" s="258">
        <v>3814</v>
      </c>
      <c r="F18" s="62">
        <v>3384</v>
      </c>
      <c r="G18" s="279">
        <v>413</v>
      </c>
      <c r="I18" s="669"/>
    </row>
    <row r="19" spans="1:9" s="70" customFormat="1" ht="11.45" customHeight="1">
      <c r="A19" s="262"/>
      <c r="B19" s="280">
        <v>2010</v>
      </c>
      <c r="C19" s="205">
        <v>8871</v>
      </c>
      <c r="D19" s="62">
        <v>957</v>
      </c>
      <c r="E19" s="258">
        <v>3741</v>
      </c>
      <c r="F19" s="62">
        <v>3306</v>
      </c>
      <c r="G19" s="279">
        <v>528</v>
      </c>
    </row>
    <row r="20" spans="1:9" s="70" customFormat="1" ht="11.45" customHeight="1">
      <c r="A20" s="262"/>
      <c r="B20" s="280">
        <v>2011</v>
      </c>
      <c r="C20" s="205">
        <v>8532</v>
      </c>
      <c r="D20" s="62">
        <v>921</v>
      </c>
      <c r="E20" s="258">
        <v>3642</v>
      </c>
      <c r="F20" s="62">
        <v>3216</v>
      </c>
      <c r="G20" s="279">
        <v>486</v>
      </c>
    </row>
    <row r="21" spans="1:9" s="70" customFormat="1" ht="11.45" customHeight="1">
      <c r="A21" s="262"/>
      <c r="B21" s="280">
        <v>2012</v>
      </c>
      <c r="C21" s="205">
        <v>8496</v>
      </c>
      <c r="D21" s="62">
        <v>948</v>
      </c>
      <c r="E21" s="258">
        <v>3735</v>
      </c>
      <c r="F21" s="62">
        <v>3105</v>
      </c>
      <c r="G21" s="279">
        <v>660</v>
      </c>
    </row>
    <row r="22" spans="1:9" s="70" customFormat="1" ht="11.45" customHeight="1">
      <c r="A22" s="262"/>
      <c r="B22" s="280">
        <v>2013</v>
      </c>
      <c r="C22" s="205">
        <v>8730</v>
      </c>
      <c r="D22" s="62">
        <v>1026</v>
      </c>
      <c r="E22" s="258">
        <v>4065</v>
      </c>
      <c r="F22" s="62">
        <v>3060</v>
      </c>
      <c r="G22" s="279">
        <v>669</v>
      </c>
    </row>
    <row r="23" spans="1:9" s="70" customFormat="1" ht="11.45" customHeight="1">
      <c r="A23" s="1018"/>
      <c r="B23" s="280">
        <v>2014</v>
      </c>
      <c r="C23" s="205">
        <v>9126</v>
      </c>
      <c r="D23" s="62">
        <v>1119</v>
      </c>
      <c r="E23" s="258">
        <v>4074</v>
      </c>
      <c r="F23" s="62">
        <v>3000</v>
      </c>
      <c r="G23" s="279">
        <v>645</v>
      </c>
    </row>
    <row r="24" spans="1:9" s="70" customFormat="1" ht="11.45" customHeight="1">
      <c r="A24" s="1271"/>
      <c r="B24" s="1285">
        <v>2015</v>
      </c>
      <c r="C24" s="1286">
        <v>9453</v>
      </c>
      <c r="D24" s="1287">
        <v>1224</v>
      </c>
      <c r="E24" s="1288">
        <v>4239</v>
      </c>
      <c r="F24" s="1287">
        <v>3255</v>
      </c>
      <c r="G24" s="1289">
        <v>687</v>
      </c>
    </row>
    <row r="25" spans="1:9" s="70" customFormat="1" ht="3.6" customHeight="1">
      <c r="A25" s="1356"/>
      <c r="B25" s="1363"/>
      <c r="C25" s="1357"/>
      <c r="D25" s="1358"/>
      <c r="E25" s="1359"/>
      <c r="F25" s="1358"/>
      <c r="G25" s="1360"/>
    </row>
    <row r="26" spans="1:9" s="70" customFormat="1" ht="11.45" customHeight="1">
      <c r="A26" s="1149" t="s">
        <v>385</v>
      </c>
      <c r="B26" s="278">
        <v>2009</v>
      </c>
      <c r="C26" s="205">
        <v>523</v>
      </c>
      <c r="D26" s="62">
        <v>10</v>
      </c>
      <c r="E26" s="258">
        <v>210</v>
      </c>
      <c r="F26" s="62">
        <v>81</v>
      </c>
      <c r="G26" s="527" t="s">
        <v>195</v>
      </c>
    </row>
    <row r="27" spans="1:9" s="70" customFormat="1" ht="11.45" customHeight="1">
      <c r="A27" s="1149" t="s">
        <v>162</v>
      </c>
      <c r="B27" s="278">
        <v>2010</v>
      </c>
      <c r="C27" s="205">
        <v>561</v>
      </c>
      <c r="D27" s="62">
        <v>12</v>
      </c>
      <c r="E27" s="258">
        <v>225</v>
      </c>
      <c r="F27" s="62">
        <v>150</v>
      </c>
      <c r="G27" s="527" t="s">
        <v>195</v>
      </c>
    </row>
    <row r="28" spans="1:9" s="70" customFormat="1" ht="11.45" customHeight="1">
      <c r="A28" s="314"/>
      <c r="B28" s="278">
        <v>2011</v>
      </c>
      <c r="C28" s="205">
        <v>585</v>
      </c>
      <c r="D28" s="62">
        <v>12</v>
      </c>
      <c r="E28" s="258">
        <v>237</v>
      </c>
      <c r="F28" s="62">
        <v>150</v>
      </c>
      <c r="G28" s="279">
        <v>36</v>
      </c>
    </row>
    <row r="29" spans="1:9" s="70" customFormat="1" ht="11.45" customHeight="1">
      <c r="A29" s="314"/>
      <c r="B29" s="278">
        <v>2012</v>
      </c>
      <c r="C29" s="205">
        <v>588</v>
      </c>
      <c r="D29" s="62">
        <v>9</v>
      </c>
      <c r="E29" s="258">
        <v>219</v>
      </c>
      <c r="F29" s="62">
        <v>186</v>
      </c>
      <c r="G29" s="279">
        <v>33</v>
      </c>
    </row>
    <row r="30" spans="1:9" s="70" customFormat="1" ht="11.45" customHeight="1">
      <c r="A30" s="314"/>
      <c r="B30" s="278">
        <v>2013</v>
      </c>
      <c r="C30" s="205">
        <v>603</v>
      </c>
      <c r="D30" s="62">
        <v>12</v>
      </c>
      <c r="E30" s="258">
        <v>249</v>
      </c>
      <c r="F30" s="62">
        <v>195</v>
      </c>
      <c r="G30" s="279">
        <v>15</v>
      </c>
    </row>
    <row r="31" spans="1:9" s="70" customFormat="1" ht="11.45" customHeight="1">
      <c r="A31" s="314"/>
      <c r="B31" s="278">
        <v>2014</v>
      </c>
      <c r="C31" s="205">
        <v>645</v>
      </c>
      <c r="D31" s="62">
        <v>12</v>
      </c>
      <c r="E31" s="258">
        <v>282</v>
      </c>
      <c r="F31" s="62">
        <v>207</v>
      </c>
      <c r="G31" s="279">
        <v>30</v>
      </c>
    </row>
    <row r="32" spans="1:9" s="70" customFormat="1" ht="11.45" customHeight="1">
      <c r="A32" s="314"/>
      <c r="B32" s="1290">
        <v>2015</v>
      </c>
      <c r="C32" s="1286">
        <v>705</v>
      </c>
      <c r="D32" s="1287">
        <v>12</v>
      </c>
      <c r="E32" s="1288">
        <v>291</v>
      </c>
      <c r="F32" s="1287">
        <v>192</v>
      </c>
      <c r="G32" s="1289">
        <v>39</v>
      </c>
    </row>
    <row r="33" spans="1:7" s="70" customFormat="1" ht="3.6" customHeight="1">
      <c r="A33" s="1362"/>
      <c r="B33" s="1361"/>
      <c r="C33" s="1357"/>
      <c r="D33" s="1358"/>
      <c r="E33" s="1359"/>
      <c r="F33" s="1358"/>
      <c r="G33" s="1360"/>
    </row>
    <row r="34" spans="1:7" s="70" customFormat="1" ht="11.45" customHeight="1">
      <c r="A34" s="1148" t="s">
        <v>77</v>
      </c>
      <c r="B34" s="278">
        <v>2001</v>
      </c>
      <c r="C34" s="205">
        <v>616</v>
      </c>
      <c r="D34" s="62">
        <v>102</v>
      </c>
      <c r="E34" s="258">
        <v>227</v>
      </c>
      <c r="F34" s="62">
        <v>266</v>
      </c>
      <c r="G34" s="279">
        <v>34</v>
      </c>
    </row>
    <row r="35" spans="1:7" s="70" customFormat="1" ht="11.45" customHeight="1">
      <c r="A35" s="262"/>
      <c r="B35" s="278">
        <v>2002</v>
      </c>
      <c r="C35" s="205">
        <v>595</v>
      </c>
      <c r="D35" s="62">
        <v>95</v>
      </c>
      <c r="E35" s="258">
        <v>234</v>
      </c>
      <c r="F35" s="62">
        <v>239</v>
      </c>
      <c r="G35" s="279">
        <v>42</v>
      </c>
    </row>
    <row r="36" spans="1:7" s="70" customFormat="1" ht="11.45" customHeight="1">
      <c r="A36" s="262"/>
      <c r="B36" s="278">
        <v>2003</v>
      </c>
      <c r="C36" s="205">
        <v>657</v>
      </c>
      <c r="D36" s="62">
        <v>100</v>
      </c>
      <c r="E36" s="258">
        <v>305</v>
      </c>
      <c r="F36" s="62">
        <v>237</v>
      </c>
      <c r="G36" s="279">
        <v>35</v>
      </c>
    </row>
    <row r="37" spans="1:7" s="70" customFormat="1" ht="11.45" customHeight="1">
      <c r="A37" s="259"/>
      <c r="B37" s="278">
        <v>2004</v>
      </c>
      <c r="C37" s="205">
        <v>747</v>
      </c>
      <c r="D37" s="62">
        <v>114</v>
      </c>
      <c r="E37" s="258">
        <v>314</v>
      </c>
      <c r="F37" s="62">
        <v>187</v>
      </c>
      <c r="G37" s="279">
        <v>17</v>
      </c>
    </row>
    <row r="38" spans="1:7" s="70" customFormat="1" ht="11.45" customHeight="1">
      <c r="A38" s="259"/>
      <c r="B38" s="278">
        <v>2005</v>
      </c>
      <c r="C38" s="205">
        <v>815</v>
      </c>
      <c r="D38" s="62">
        <v>136</v>
      </c>
      <c r="E38" s="258">
        <v>338</v>
      </c>
      <c r="F38" s="62">
        <v>254</v>
      </c>
      <c r="G38" s="279">
        <v>58</v>
      </c>
    </row>
    <row r="39" spans="1:7" s="70" customFormat="1" ht="11.45" customHeight="1">
      <c r="A39" s="259"/>
      <c r="B39" s="278">
        <v>2006</v>
      </c>
      <c r="C39" s="205">
        <v>858</v>
      </c>
      <c r="D39" s="62">
        <v>135</v>
      </c>
      <c r="E39" s="258">
        <v>320</v>
      </c>
      <c r="F39" s="62">
        <v>273</v>
      </c>
      <c r="G39" s="279">
        <v>32</v>
      </c>
    </row>
    <row r="40" spans="1:7" s="70" customFormat="1" ht="11.45" customHeight="1">
      <c r="A40" s="259"/>
      <c r="B40" s="278">
        <v>2007</v>
      </c>
      <c r="C40" s="205">
        <v>818</v>
      </c>
      <c r="D40" s="62">
        <v>142</v>
      </c>
      <c r="E40" s="258">
        <v>334</v>
      </c>
      <c r="F40" s="1150" t="s">
        <v>195</v>
      </c>
      <c r="G40" s="527" t="s">
        <v>195</v>
      </c>
    </row>
    <row r="41" spans="1:7" s="70" customFormat="1" ht="11.45" customHeight="1">
      <c r="A41" s="262"/>
      <c r="B41" s="278">
        <v>2008</v>
      </c>
      <c r="C41" s="205">
        <v>850</v>
      </c>
      <c r="D41" s="62">
        <v>138</v>
      </c>
      <c r="E41" s="258">
        <v>345</v>
      </c>
      <c r="F41" s="62">
        <v>283</v>
      </c>
      <c r="G41" s="527" t="s">
        <v>195</v>
      </c>
    </row>
    <row r="42" spans="1:7" s="70" customFormat="1" ht="11.45" customHeight="1">
      <c r="A42" s="262"/>
      <c r="B42" s="278">
        <v>2009</v>
      </c>
      <c r="C42" s="205">
        <v>899</v>
      </c>
      <c r="D42" s="62">
        <v>150</v>
      </c>
      <c r="E42" s="258">
        <v>372</v>
      </c>
      <c r="F42" s="62">
        <v>190</v>
      </c>
      <c r="G42" s="279">
        <v>15</v>
      </c>
    </row>
    <row r="43" spans="1:7" s="70" customFormat="1" ht="11.45" customHeight="1">
      <c r="A43" s="262"/>
      <c r="B43" s="278">
        <v>2010</v>
      </c>
      <c r="C43" s="205">
        <v>912</v>
      </c>
      <c r="D43" s="62">
        <v>156</v>
      </c>
      <c r="E43" s="258">
        <v>369</v>
      </c>
      <c r="F43" s="62">
        <v>237</v>
      </c>
      <c r="G43" s="279">
        <v>30</v>
      </c>
    </row>
    <row r="44" spans="1:7" s="70" customFormat="1" ht="11.45" customHeight="1">
      <c r="A44" s="262"/>
      <c r="B44" s="278">
        <v>2011</v>
      </c>
      <c r="C44" s="205">
        <v>876</v>
      </c>
      <c r="D44" s="62">
        <v>186</v>
      </c>
      <c r="E44" s="258">
        <v>315</v>
      </c>
      <c r="F44" s="62">
        <v>234</v>
      </c>
      <c r="G44" s="279">
        <v>48</v>
      </c>
    </row>
    <row r="45" spans="1:7" s="70" customFormat="1" ht="11.45" customHeight="1">
      <c r="A45" s="262"/>
      <c r="B45" s="278">
        <v>2012</v>
      </c>
      <c r="C45" s="205">
        <v>882</v>
      </c>
      <c r="D45" s="62">
        <v>201</v>
      </c>
      <c r="E45" s="258">
        <v>342</v>
      </c>
      <c r="F45" s="62">
        <v>288</v>
      </c>
      <c r="G45" s="279">
        <v>21</v>
      </c>
    </row>
    <row r="46" spans="1:7" s="70" customFormat="1" ht="11.45" customHeight="1">
      <c r="A46" s="262"/>
      <c r="B46" s="278">
        <v>2013</v>
      </c>
      <c r="C46" s="205">
        <v>858</v>
      </c>
      <c r="D46" s="62">
        <v>201</v>
      </c>
      <c r="E46" s="258">
        <v>333</v>
      </c>
      <c r="F46" s="62">
        <v>309</v>
      </c>
      <c r="G46" s="279">
        <v>27</v>
      </c>
    </row>
    <row r="47" spans="1:7" s="70" customFormat="1" ht="11.45" customHeight="1">
      <c r="A47" s="1018"/>
      <c r="B47" s="278">
        <v>2014</v>
      </c>
      <c r="C47" s="205">
        <v>879</v>
      </c>
      <c r="D47" s="62">
        <v>195</v>
      </c>
      <c r="E47" s="258">
        <v>357</v>
      </c>
      <c r="F47" s="62">
        <v>264</v>
      </c>
      <c r="G47" s="279">
        <v>27</v>
      </c>
    </row>
    <row r="48" spans="1:7" s="70" customFormat="1" ht="11.45" customHeight="1">
      <c r="A48" s="1271"/>
      <c r="B48" s="1290">
        <v>2015</v>
      </c>
      <c r="C48" s="1286">
        <v>909</v>
      </c>
      <c r="D48" s="1287">
        <v>198</v>
      </c>
      <c r="E48" s="1288">
        <v>363</v>
      </c>
      <c r="F48" s="1287">
        <v>285</v>
      </c>
      <c r="G48" s="1289">
        <v>24</v>
      </c>
    </row>
    <row r="49" spans="1:7" s="70" customFormat="1" ht="3.6" customHeight="1">
      <c r="A49" s="1356"/>
      <c r="B49" s="1361"/>
      <c r="C49" s="1357"/>
      <c r="D49" s="1358"/>
      <c r="E49" s="1359"/>
      <c r="F49" s="1358"/>
      <c r="G49" s="1360"/>
    </row>
    <row r="50" spans="1:7" s="70" customFormat="1" ht="11.45" customHeight="1">
      <c r="A50" s="1148" t="s">
        <v>88</v>
      </c>
      <c r="B50" s="278">
        <v>2001</v>
      </c>
      <c r="C50" s="205">
        <v>176</v>
      </c>
      <c r="D50" s="62">
        <v>35</v>
      </c>
      <c r="E50" s="258">
        <v>78</v>
      </c>
      <c r="F50" s="62">
        <v>30</v>
      </c>
      <c r="G50" s="279">
        <v>0</v>
      </c>
    </row>
    <row r="51" spans="1:7" s="70" customFormat="1" ht="11.45" customHeight="1">
      <c r="A51" s="1148" t="s">
        <v>333</v>
      </c>
      <c r="B51" s="278">
        <v>2002</v>
      </c>
      <c r="C51" s="205">
        <v>191</v>
      </c>
      <c r="D51" s="62">
        <v>29</v>
      </c>
      <c r="E51" s="258">
        <v>69</v>
      </c>
      <c r="F51" s="62">
        <v>37</v>
      </c>
      <c r="G51" s="279">
        <v>0</v>
      </c>
    </row>
    <row r="52" spans="1:7" s="70" customFormat="1" ht="11.45" customHeight="1">
      <c r="A52" s="259"/>
      <c r="B52" s="278">
        <v>2003</v>
      </c>
      <c r="C52" s="205">
        <v>250</v>
      </c>
      <c r="D52" s="62">
        <v>41</v>
      </c>
      <c r="E52" s="258">
        <v>104</v>
      </c>
      <c r="F52" s="62">
        <v>48</v>
      </c>
      <c r="G52" s="279">
        <v>0</v>
      </c>
    </row>
    <row r="53" spans="1:7" s="70" customFormat="1" ht="11.45" customHeight="1">
      <c r="A53" s="259"/>
      <c r="B53" s="278">
        <v>2004</v>
      </c>
      <c r="C53" s="205">
        <v>292</v>
      </c>
      <c r="D53" s="62">
        <v>31</v>
      </c>
      <c r="E53" s="258">
        <v>128</v>
      </c>
      <c r="F53" s="62">
        <v>68</v>
      </c>
      <c r="G53" s="279">
        <v>0</v>
      </c>
    </row>
    <row r="54" spans="1:7" s="70" customFormat="1" ht="11.45" customHeight="1">
      <c r="A54" s="259"/>
      <c r="B54" s="278">
        <v>2005</v>
      </c>
      <c r="C54" s="205">
        <v>353</v>
      </c>
      <c r="D54" s="62">
        <v>38</v>
      </c>
      <c r="E54" s="258">
        <v>151</v>
      </c>
      <c r="F54" s="62">
        <v>67</v>
      </c>
      <c r="G54" s="279">
        <v>0</v>
      </c>
    </row>
    <row r="55" spans="1:7" s="70" customFormat="1" ht="11.45" customHeight="1">
      <c r="A55" s="259"/>
      <c r="B55" s="278">
        <v>2006</v>
      </c>
      <c r="C55" s="205">
        <v>415</v>
      </c>
      <c r="D55" s="62">
        <v>31</v>
      </c>
      <c r="E55" s="258">
        <v>173</v>
      </c>
      <c r="F55" s="62">
        <v>91</v>
      </c>
      <c r="G55" s="279">
        <v>0</v>
      </c>
    </row>
    <row r="56" spans="1:7" s="70" customFormat="1" ht="11.45" customHeight="1">
      <c r="A56" s="262"/>
      <c r="B56" s="278">
        <v>2007</v>
      </c>
      <c r="C56" s="205">
        <v>459</v>
      </c>
      <c r="D56" s="62">
        <v>40</v>
      </c>
      <c r="E56" s="258">
        <v>175</v>
      </c>
      <c r="F56" s="1150" t="s">
        <v>195</v>
      </c>
      <c r="G56" s="279">
        <v>0</v>
      </c>
    </row>
    <row r="57" spans="1:7" s="70" customFormat="1" ht="11.45" customHeight="1">
      <c r="A57" s="262"/>
      <c r="B57" s="278">
        <v>2008</v>
      </c>
      <c r="C57" s="205">
        <v>435</v>
      </c>
      <c r="D57" s="62">
        <v>49</v>
      </c>
      <c r="E57" s="258">
        <v>149</v>
      </c>
      <c r="F57" s="62">
        <v>113</v>
      </c>
      <c r="G57" s="279">
        <v>0</v>
      </c>
    </row>
    <row r="58" spans="1:7" s="70" customFormat="1" ht="11.45" customHeight="1">
      <c r="A58" s="262"/>
      <c r="B58" s="278">
        <v>2009</v>
      </c>
      <c r="C58" s="205">
        <v>441</v>
      </c>
      <c r="D58" s="62">
        <v>47</v>
      </c>
      <c r="E58" s="258">
        <v>170</v>
      </c>
      <c r="F58" s="62">
        <v>98</v>
      </c>
      <c r="G58" s="279">
        <v>0</v>
      </c>
    </row>
    <row r="59" spans="1:7" s="70" customFormat="1" ht="11.45" customHeight="1">
      <c r="A59" s="262"/>
      <c r="B59" s="278">
        <v>2010</v>
      </c>
      <c r="C59" s="205">
        <v>408</v>
      </c>
      <c r="D59" s="62">
        <v>45</v>
      </c>
      <c r="E59" s="258">
        <v>135</v>
      </c>
      <c r="F59" s="62">
        <v>129</v>
      </c>
      <c r="G59" s="279">
        <v>0</v>
      </c>
    </row>
    <row r="60" spans="1:7" s="70" customFormat="1" ht="11.45" customHeight="1">
      <c r="A60" s="262"/>
      <c r="B60" s="278">
        <v>2011</v>
      </c>
      <c r="C60" s="205">
        <v>423</v>
      </c>
      <c r="D60" s="62">
        <v>33</v>
      </c>
      <c r="E60" s="258">
        <v>162</v>
      </c>
      <c r="F60" s="62">
        <v>111</v>
      </c>
      <c r="G60" s="279">
        <v>0</v>
      </c>
    </row>
    <row r="61" spans="1:7" s="70" customFormat="1" ht="11.45" customHeight="1">
      <c r="A61" s="262"/>
      <c r="B61" s="278">
        <v>2012</v>
      </c>
      <c r="C61" s="205">
        <v>399</v>
      </c>
      <c r="D61" s="62">
        <v>27</v>
      </c>
      <c r="E61" s="258">
        <v>147</v>
      </c>
      <c r="F61" s="62">
        <v>120</v>
      </c>
      <c r="G61" s="279">
        <v>0</v>
      </c>
    </row>
    <row r="62" spans="1:7" s="70" customFormat="1" ht="11.45" customHeight="1">
      <c r="A62" s="262"/>
      <c r="B62" s="278">
        <v>2013</v>
      </c>
      <c r="C62" s="205">
        <v>423</v>
      </c>
      <c r="D62" s="62">
        <v>33</v>
      </c>
      <c r="E62" s="258">
        <v>168</v>
      </c>
      <c r="F62" s="62">
        <v>111</v>
      </c>
      <c r="G62" s="279">
        <v>0</v>
      </c>
    </row>
    <row r="63" spans="1:7" s="70" customFormat="1" ht="11.45" customHeight="1">
      <c r="A63" s="1018"/>
      <c r="B63" s="278">
        <v>2014</v>
      </c>
      <c r="C63" s="205">
        <v>426</v>
      </c>
      <c r="D63" s="62">
        <v>42</v>
      </c>
      <c r="E63" s="258">
        <v>162</v>
      </c>
      <c r="F63" s="62">
        <v>111</v>
      </c>
      <c r="G63" s="279">
        <v>0</v>
      </c>
    </row>
    <row r="64" spans="1:7" s="70" customFormat="1" ht="11.45" customHeight="1">
      <c r="A64" s="1284"/>
      <c r="B64" s="1290">
        <v>2015</v>
      </c>
      <c r="C64" s="1286">
        <v>438</v>
      </c>
      <c r="D64" s="1287">
        <v>51</v>
      </c>
      <c r="E64" s="1288">
        <v>168</v>
      </c>
      <c r="F64" s="1287">
        <v>129</v>
      </c>
      <c r="G64" s="1289">
        <v>0</v>
      </c>
    </row>
    <row r="65" spans="1:7" s="70" customFormat="1" ht="3.6" customHeight="1">
      <c r="A65" s="1356"/>
      <c r="B65" s="1361"/>
      <c r="C65" s="1357"/>
      <c r="D65" s="1358"/>
      <c r="E65" s="1359"/>
      <c r="F65" s="1358"/>
      <c r="G65" s="1360"/>
    </row>
    <row r="66" spans="1:7" s="70" customFormat="1" ht="11.45" customHeight="1">
      <c r="A66" s="1148" t="s">
        <v>76</v>
      </c>
      <c r="B66" s="278">
        <v>2001</v>
      </c>
      <c r="C66" s="205">
        <v>1289</v>
      </c>
      <c r="D66" s="62">
        <v>664</v>
      </c>
      <c r="E66" s="258">
        <v>469</v>
      </c>
      <c r="F66" s="62">
        <v>369</v>
      </c>
      <c r="G66" s="279">
        <v>31</v>
      </c>
    </row>
    <row r="67" spans="1:7" s="70" customFormat="1" ht="11.45" customHeight="1">
      <c r="A67" s="262"/>
      <c r="B67" s="278">
        <v>2002</v>
      </c>
      <c r="C67" s="205">
        <v>1355</v>
      </c>
      <c r="D67" s="62">
        <v>655</v>
      </c>
      <c r="E67" s="258">
        <v>525</v>
      </c>
      <c r="F67" s="62">
        <v>318</v>
      </c>
      <c r="G67" s="279">
        <v>70</v>
      </c>
    </row>
    <row r="68" spans="1:7" s="70" customFormat="1" ht="11.45" customHeight="1">
      <c r="A68" s="262"/>
      <c r="B68" s="278">
        <v>2003</v>
      </c>
      <c r="C68" s="205">
        <v>1422</v>
      </c>
      <c r="D68" s="62">
        <v>676</v>
      </c>
      <c r="E68" s="258">
        <v>582</v>
      </c>
      <c r="F68" s="62">
        <v>437</v>
      </c>
      <c r="G68" s="279">
        <v>34</v>
      </c>
    </row>
    <row r="69" spans="1:7" s="70" customFormat="1" ht="11.45" customHeight="1">
      <c r="A69" s="259"/>
      <c r="B69" s="278">
        <v>2004</v>
      </c>
      <c r="C69" s="205">
        <v>1590</v>
      </c>
      <c r="D69" s="62">
        <v>722</v>
      </c>
      <c r="E69" s="258">
        <v>585</v>
      </c>
      <c r="F69" s="62">
        <v>291</v>
      </c>
      <c r="G69" s="279">
        <v>52</v>
      </c>
    </row>
    <row r="70" spans="1:7" s="70" customFormat="1" ht="11.45" customHeight="1">
      <c r="A70" s="259"/>
      <c r="B70" s="278">
        <v>2005</v>
      </c>
      <c r="C70" s="205">
        <v>1616</v>
      </c>
      <c r="D70" s="62">
        <v>739</v>
      </c>
      <c r="E70" s="258">
        <v>575</v>
      </c>
      <c r="F70" s="62">
        <v>431</v>
      </c>
      <c r="G70" s="279">
        <v>7</v>
      </c>
    </row>
    <row r="71" spans="1:7" s="70" customFormat="1" ht="11.45" customHeight="1">
      <c r="A71" s="259"/>
      <c r="B71" s="278">
        <v>2006</v>
      </c>
      <c r="C71" s="205">
        <v>1716</v>
      </c>
      <c r="D71" s="62">
        <v>746</v>
      </c>
      <c r="E71" s="258">
        <v>673</v>
      </c>
      <c r="F71" s="62">
        <v>459</v>
      </c>
      <c r="G71" s="279">
        <v>23</v>
      </c>
    </row>
    <row r="72" spans="1:7" s="70" customFormat="1" ht="11.45" customHeight="1">
      <c r="A72" s="259"/>
      <c r="B72" s="315">
        <v>2007</v>
      </c>
      <c r="C72" s="257">
        <v>1759</v>
      </c>
      <c r="D72" s="256">
        <v>820</v>
      </c>
      <c r="E72" s="1151">
        <v>627</v>
      </c>
      <c r="F72" s="1150" t="s">
        <v>195</v>
      </c>
      <c r="G72" s="527" t="s">
        <v>195</v>
      </c>
    </row>
    <row r="73" spans="1:7" s="70" customFormat="1" ht="11.45" customHeight="1">
      <c r="A73" s="262"/>
      <c r="B73" s="316">
        <v>2008</v>
      </c>
      <c r="C73" s="257">
        <v>1718</v>
      </c>
      <c r="D73" s="256">
        <v>809</v>
      </c>
      <c r="E73" s="1151">
        <v>598</v>
      </c>
      <c r="F73" s="62">
        <v>444</v>
      </c>
      <c r="G73" s="527" t="s">
        <v>195</v>
      </c>
    </row>
    <row r="74" spans="1:7" s="70" customFormat="1" ht="11.45" customHeight="1">
      <c r="A74" s="262"/>
      <c r="B74" s="316">
        <v>2009</v>
      </c>
      <c r="C74" s="257">
        <v>1522</v>
      </c>
      <c r="D74" s="256">
        <v>745</v>
      </c>
      <c r="E74" s="1151">
        <v>508</v>
      </c>
      <c r="F74" s="62">
        <v>389</v>
      </c>
      <c r="G74" s="527" t="s">
        <v>195</v>
      </c>
    </row>
    <row r="75" spans="1:7" s="70" customFormat="1" ht="11.45" customHeight="1">
      <c r="A75" s="262"/>
      <c r="B75" s="316">
        <v>2010</v>
      </c>
      <c r="C75" s="257">
        <v>1359</v>
      </c>
      <c r="D75" s="256">
        <v>681</v>
      </c>
      <c r="E75" s="1151">
        <v>456</v>
      </c>
      <c r="F75" s="62">
        <v>456</v>
      </c>
      <c r="G75" s="279">
        <v>45</v>
      </c>
    </row>
    <row r="76" spans="1:7" s="70" customFormat="1" ht="11.45" customHeight="1">
      <c r="A76" s="262"/>
      <c r="B76" s="316">
        <v>2011</v>
      </c>
      <c r="C76" s="257">
        <v>1125</v>
      </c>
      <c r="D76" s="256">
        <v>576</v>
      </c>
      <c r="E76" s="1151">
        <v>393</v>
      </c>
      <c r="F76" s="62">
        <v>453</v>
      </c>
      <c r="G76" s="279">
        <v>12</v>
      </c>
    </row>
    <row r="77" spans="1:7" s="70" customFormat="1" ht="11.45" customHeight="1">
      <c r="A77" s="1034"/>
      <c r="B77" s="316">
        <v>2012</v>
      </c>
      <c r="C77" s="257">
        <v>987</v>
      </c>
      <c r="D77" s="256">
        <v>489</v>
      </c>
      <c r="E77" s="1151">
        <v>399</v>
      </c>
      <c r="F77" s="62">
        <v>366</v>
      </c>
      <c r="G77" s="279">
        <v>3</v>
      </c>
    </row>
    <row r="78" spans="1:7" s="70" customFormat="1" ht="11.45" customHeight="1">
      <c r="A78" s="1034"/>
      <c r="B78" s="316">
        <v>2013</v>
      </c>
      <c r="C78" s="257">
        <v>930</v>
      </c>
      <c r="D78" s="256">
        <v>435</v>
      </c>
      <c r="E78" s="1151">
        <v>393</v>
      </c>
      <c r="F78" s="62">
        <v>285</v>
      </c>
      <c r="G78" s="279">
        <v>18</v>
      </c>
    </row>
    <row r="79" spans="1:7" s="70" customFormat="1" ht="11.45" customHeight="1">
      <c r="A79" s="1034"/>
      <c r="B79" s="316">
        <v>2014</v>
      </c>
      <c r="C79" s="257">
        <v>930</v>
      </c>
      <c r="D79" s="256">
        <v>447</v>
      </c>
      <c r="E79" s="1151">
        <v>393</v>
      </c>
      <c r="F79" s="62">
        <v>249</v>
      </c>
      <c r="G79" s="279">
        <v>18</v>
      </c>
    </row>
    <row r="80" spans="1:7" s="70" customFormat="1" ht="11.45" customHeight="1">
      <c r="A80" s="1291"/>
      <c r="B80" s="1312">
        <v>2015</v>
      </c>
      <c r="C80" s="1309">
        <v>930</v>
      </c>
      <c r="D80" s="1310">
        <v>492</v>
      </c>
      <c r="E80" s="1313">
        <v>402</v>
      </c>
      <c r="F80" s="1287">
        <v>243</v>
      </c>
      <c r="G80" s="1289">
        <v>42</v>
      </c>
    </row>
    <row r="81" spans="1:7" s="70" customFormat="1" ht="3.75" customHeight="1" thickBot="1">
      <c r="A81" s="281"/>
      <c r="B81" s="282"/>
      <c r="C81" s="283"/>
      <c r="D81" s="284"/>
      <c r="E81" s="1152"/>
      <c r="F81" s="284"/>
      <c r="G81" s="285"/>
    </row>
    <row r="82" spans="1:7" s="70" customFormat="1" ht="12">
      <c r="A82" s="2071" t="s">
        <v>208</v>
      </c>
      <c r="B82" s="2071"/>
      <c r="C82" s="2071"/>
      <c r="D82" s="2071"/>
      <c r="E82" s="2071"/>
      <c r="F82" s="2071"/>
      <c r="G82" s="2071"/>
    </row>
    <row r="83" spans="1:7" s="70" customFormat="1" ht="5.25" customHeight="1">
      <c r="A83" s="179"/>
      <c r="B83" s="179"/>
      <c r="C83" s="225"/>
      <c r="D83" s="225"/>
      <c r="E83" s="225"/>
      <c r="F83" s="225"/>
      <c r="G83" s="225"/>
    </row>
    <row r="84" spans="1:7" s="70" customFormat="1" ht="12">
      <c r="A84" s="2092" t="s">
        <v>114</v>
      </c>
      <c r="B84" s="2092"/>
      <c r="C84" s="2092"/>
      <c r="D84" s="2092"/>
      <c r="E84" s="2092"/>
      <c r="F84" s="2092"/>
      <c r="G84" s="2092"/>
    </row>
    <row r="85" spans="1:7" s="70" customFormat="1" ht="5.25" customHeight="1" thickBot="1">
      <c r="A85" s="179"/>
      <c r="B85" s="179"/>
      <c r="C85" s="225"/>
      <c r="D85" s="225"/>
      <c r="E85" s="225"/>
      <c r="F85" s="225"/>
      <c r="G85" s="225"/>
    </row>
    <row r="86" spans="1:7" s="70" customFormat="1" ht="14.25" customHeight="1">
      <c r="A86" s="2086" t="s">
        <v>72</v>
      </c>
      <c r="B86" s="2085" t="s">
        <v>120</v>
      </c>
      <c r="C86" s="2076" t="s">
        <v>221</v>
      </c>
      <c r="D86" s="2077"/>
      <c r="E86" s="2078"/>
      <c r="F86" s="703" t="s">
        <v>222</v>
      </c>
      <c r="G86" s="291"/>
    </row>
    <row r="87" spans="1:7" s="70" customFormat="1" ht="11.25">
      <c r="A87" s="2072"/>
      <c r="B87" s="2074"/>
      <c r="C87" s="292" t="s">
        <v>124</v>
      </c>
      <c r="D87" s="293"/>
      <c r="E87" s="264" t="s">
        <v>121</v>
      </c>
      <c r="F87" s="2068" t="s">
        <v>325</v>
      </c>
      <c r="G87" s="2065" t="s">
        <v>326</v>
      </c>
    </row>
    <row r="88" spans="1:7" s="70" customFormat="1" ht="13.5" customHeight="1">
      <c r="A88" s="2072"/>
      <c r="B88" s="2074"/>
      <c r="C88" s="2079" t="s">
        <v>94</v>
      </c>
      <c r="D88" s="294" t="s">
        <v>5</v>
      </c>
      <c r="E88" s="213" t="s">
        <v>122</v>
      </c>
      <c r="F88" s="2069"/>
      <c r="G88" s="2066"/>
    </row>
    <row r="89" spans="1:7" s="70" customFormat="1" ht="11.25">
      <c r="A89" s="2073"/>
      <c r="B89" s="2075"/>
      <c r="C89" s="2080"/>
      <c r="D89" s="295" t="s">
        <v>93</v>
      </c>
      <c r="E89" s="214" t="s">
        <v>123</v>
      </c>
      <c r="F89" s="2070"/>
      <c r="G89" s="2067"/>
    </row>
    <row r="90" spans="1:7" s="70" customFormat="1" ht="3.6" customHeight="1">
      <c r="A90" s="317"/>
      <c r="B90" s="318"/>
      <c r="C90" s="319"/>
      <c r="D90" s="225"/>
      <c r="E90" s="320"/>
      <c r="F90" s="225"/>
      <c r="G90" s="321"/>
    </row>
    <row r="91" spans="1:7" s="70" customFormat="1" ht="11.45" customHeight="1">
      <c r="A91" s="1148" t="s">
        <v>79</v>
      </c>
      <c r="B91" s="278">
        <v>2001</v>
      </c>
      <c r="C91" s="205">
        <v>286</v>
      </c>
      <c r="D91" s="62">
        <v>8</v>
      </c>
      <c r="E91" s="258">
        <v>108</v>
      </c>
      <c r="F91" s="62">
        <v>84</v>
      </c>
      <c r="G91" s="279">
        <v>9</v>
      </c>
    </row>
    <row r="92" spans="1:7" s="70" customFormat="1" ht="11.45" customHeight="1">
      <c r="A92" s="1062"/>
      <c r="B92" s="278">
        <v>2002</v>
      </c>
      <c r="C92" s="205">
        <v>287</v>
      </c>
      <c r="D92" s="62">
        <v>10</v>
      </c>
      <c r="E92" s="258">
        <v>115</v>
      </c>
      <c r="F92" s="62">
        <v>90</v>
      </c>
      <c r="G92" s="279">
        <v>0</v>
      </c>
    </row>
    <row r="93" spans="1:7" s="70" customFormat="1" ht="11.45" customHeight="1">
      <c r="A93" s="1062"/>
      <c r="B93" s="278">
        <v>2003</v>
      </c>
      <c r="C93" s="205">
        <v>288</v>
      </c>
      <c r="D93" s="62">
        <v>12</v>
      </c>
      <c r="E93" s="258">
        <v>117</v>
      </c>
      <c r="F93" s="62">
        <v>80</v>
      </c>
      <c r="G93" s="279">
        <v>31</v>
      </c>
    </row>
    <row r="94" spans="1:7" s="70" customFormat="1" ht="11.45" customHeight="1">
      <c r="A94" s="259"/>
      <c r="B94" s="278">
        <v>2004</v>
      </c>
      <c r="C94" s="205">
        <v>314</v>
      </c>
      <c r="D94" s="62">
        <v>9</v>
      </c>
      <c r="E94" s="258">
        <v>123</v>
      </c>
      <c r="F94" s="62">
        <v>103</v>
      </c>
      <c r="G94" s="279">
        <v>25</v>
      </c>
    </row>
    <row r="95" spans="1:7" s="70" customFormat="1" ht="11.45" customHeight="1">
      <c r="A95" s="259"/>
      <c r="B95" s="278">
        <v>2005</v>
      </c>
      <c r="C95" s="205">
        <v>302</v>
      </c>
      <c r="D95" s="62">
        <v>9</v>
      </c>
      <c r="E95" s="258">
        <v>114</v>
      </c>
      <c r="F95" s="62">
        <v>110</v>
      </c>
      <c r="G95" s="279">
        <v>8</v>
      </c>
    </row>
    <row r="96" spans="1:7" s="70" customFormat="1" ht="11.45" customHeight="1">
      <c r="A96" s="259"/>
      <c r="B96" s="278">
        <v>2006</v>
      </c>
      <c r="C96" s="205">
        <v>329</v>
      </c>
      <c r="D96" s="62">
        <v>11</v>
      </c>
      <c r="E96" s="258">
        <v>123</v>
      </c>
      <c r="F96" s="62">
        <v>88</v>
      </c>
      <c r="G96" s="279">
        <v>23</v>
      </c>
    </row>
    <row r="97" spans="1:7" s="70" customFormat="1" ht="11.45" customHeight="1">
      <c r="A97" s="259"/>
      <c r="B97" s="278">
        <v>2007</v>
      </c>
      <c r="C97" s="205">
        <v>286</v>
      </c>
      <c r="D97" s="62">
        <v>13</v>
      </c>
      <c r="E97" s="258">
        <v>99</v>
      </c>
      <c r="F97" s="1150" t="s">
        <v>195</v>
      </c>
      <c r="G97" s="527" t="s">
        <v>195</v>
      </c>
    </row>
    <row r="98" spans="1:7" s="70" customFormat="1" ht="11.45" customHeight="1">
      <c r="A98" s="259"/>
      <c r="B98" s="278">
        <v>2008</v>
      </c>
      <c r="C98" s="205">
        <v>260</v>
      </c>
      <c r="D98" s="62">
        <v>7</v>
      </c>
      <c r="E98" s="258">
        <v>89</v>
      </c>
      <c r="F98" s="62">
        <v>103</v>
      </c>
      <c r="G98" s="527" t="s">
        <v>195</v>
      </c>
    </row>
    <row r="99" spans="1:7" s="70" customFormat="1" ht="11.45" customHeight="1">
      <c r="A99" s="259"/>
      <c r="B99" s="278">
        <v>2009</v>
      </c>
      <c r="C99" s="205">
        <v>245</v>
      </c>
      <c r="D99" s="62">
        <v>7</v>
      </c>
      <c r="E99" s="258">
        <v>103</v>
      </c>
      <c r="F99" s="62">
        <v>35</v>
      </c>
      <c r="G99" s="527" t="s">
        <v>195</v>
      </c>
    </row>
    <row r="100" spans="1:7" s="70" customFormat="1" ht="11.45" customHeight="1">
      <c r="A100" s="259"/>
      <c r="B100" s="278">
        <v>2010</v>
      </c>
      <c r="C100" s="205">
        <v>237</v>
      </c>
      <c r="D100" s="62">
        <v>6</v>
      </c>
      <c r="E100" s="258">
        <v>81</v>
      </c>
      <c r="F100" s="62">
        <v>87</v>
      </c>
      <c r="G100" s="279">
        <v>9</v>
      </c>
    </row>
    <row r="101" spans="1:7" s="70" customFormat="1" ht="11.45" customHeight="1">
      <c r="A101" s="259"/>
      <c r="B101" s="278">
        <v>2011</v>
      </c>
      <c r="C101" s="205">
        <v>240</v>
      </c>
      <c r="D101" s="62">
        <v>6</v>
      </c>
      <c r="E101" s="258">
        <v>99</v>
      </c>
      <c r="F101" s="62">
        <v>63</v>
      </c>
      <c r="G101" s="279">
        <v>18</v>
      </c>
    </row>
    <row r="102" spans="1:7" s="70" customFormat="1" ht="11.45" customHeight="1">
      <c r="A102" s="259"/>
      <c r="B102" s="278">
        <v>2012</v>
      </c>
      <c r="C102" s="205">
        <v>213</v>
      </c>
      <c r="D102" s="62">
        <v>3</v>
      </c>
      <c r="E102" s="258">
        <v>78</v>
      </c>
      <c r="F102" s="62">
        <v>69</v>
      </c>
      <c r="G102" s="279">
        <v>18</v>
      </c>
    </row>
    <row r="103" spans="1:7" s="70" customFormat="1" ht="11.45" customHeight="1">
      <c r="A103" s="259"/>
      <c r="B103" s="278">
        <v>2013</v>
      </c>
      <c r="C103" s="205">
        <v>228</v>
      </c>
      <c r="D103" s="62">
        <v>6</v>
      </c>
      <c r="E103" s="258">
        <v>96</v>
      </c>
      <c r="F103" s="62">
        <v>54</v>
      </c>
      <c r="G103" s="279">
        <v>12</v>
      </c>
    </row>
    <row r="104" spans="1:7" s="70" customFormat="1" ht="11.45" customHeight="1">
      <c r="A104" s="259"/>
      <c r="B104" s="278">
        <v>2014</v>
      </c>
      <c r="C104" s="205">
        <v>219</v>
      </c>
      <c r="D104" s="62">
        <v>3</v>
      </c>
      <c r="E104" s="258">
        <v>90</v>
      </c>
      <c r="F104" s="62">
        <v>72</v>
      </c>
      <c r="G104" s="279">
        <v>12</v>
      </c>
    </row>
    <row r="105" spans="1:7" s="70" customFormat="1" ht="11.45" customHeight="1">
      <c r="A105" s="259"/>
      <c r="B105" s="1290">
        <v>2015</v>
      </c>
      <c r="C105" s="1286">
        <v>213</v>
      </c>
      <c r="D105" s="1287">
        <v>6</v>
      </c>
      <c r="E105" s="1288">
        <v>78</v>
      </c>
      <c r="F105" s="1287">
        <v>57</v>
      </c>
      <c r="G105" s="1289">
        <v>15</v>
      </c>
    </row>
    <row r="106" spans="1:7" s="70" customFormat="1" ht="3.6" customHeight="1">
      <c r="A106" s="1354"/>
      <c r="B106" s="278"/>
      <c r="C106" s="205"/>
      <c r="D106" s="62"/>
      <c r="E106" s="258"/>
      <c r="F106" s="62"/>
      <c r="G106" s="279"/>
    </row>
    <row r="107" spans="1:7" s="70" customFormat="1" ht="3.6" customHeight="1">
      <c r="A107" s="1379"/>
      <c r="B107" s="1387"/>
      <c r="C107" s="1381"/>
      <c r="D107" s="1382"/>
      <c r="E107" s="1383"/>
      <c r="F107" s="1382"/>
      <c r="G107" s="1384"/>
    </row>
    <row r="108" spans="1:7" s="70" customFormat="1" ht="11.45" customHeight="1">
      <c r="A108" s="1148" t="s">
        <v>334</v>
      </c>
      <c r="B108" s="278">
        <v>2001</v>
      </c>
      <c r="C108" s="205">
        <v>2046</v>
      </c>
      <c r="D108" s="62">
        <v>1627</v>
      </c>
      <c r="E108" s="258">
        <v>839</v>
      </c>
      <c r="F108" s="62">
        <v>645</v>
      </c>
      <c r="G108" s="279">
        <v>140</v>
      </c>
    </row>
    <row r="109" spans="1:7" s="70" customFormat="1" ht="11.45" customHeight="1">
      <c r="A109" s="262"/>
      <c r="B109" s="278">
        <v>2002</v>
      </c>
      <c r="C109" s="205">
        <v>2134</v>
      </c>
      <c r="D109" s="62">
        <v>1718</v>
      </c>
      <c r="E109" s="258">
        <v>890</v>
      </c>
      <c r="F109" s="62">
        <v>675</v>
      </c>
      <c r="G109" s="279">
        <v>144</v>
      </c>
    </row>
    <row r="110" spans="1:7" s="70" customFormat="1" ht="11.45" customHeight="1">
      <c r="A110" s="262"/>
      <c r="B110" s="278">
        <v>2003</v>
      </c>
      <c r="C110" s="205">
        <v>2083</v>
      </c>
      <c r="D110" s="62">
        <v>1702</v>
      </c>
      <c r="E110" s="258">
        <v>830</v>
      </c>
      <c r="F110" s="62">
        <v>666</v>
      </c>
      <c r="G110" s="279">
        <v>169</v>
      </c>
    </row>
    <row r="111" spans="1:7" s="70" customFormat="1" ht="11.45" customHeight="1">
      <c r="A111" s="262"/>
      <c r="B111" s="278">
        <v>2004</v>
      </c>
      <c r="C111" s="205">
        <v>2099</v>
      </c>
      <c r="D111" s="62">
        <v>1709</v>
      </c>
      <c r="E111" s="258">
        <v>873</v>
      </c>
      <c r="F111" s="62">
        <v>687</v>
      </c>
      <c r="G111" s="279">
        <v>115</v>
      </c>
    </row>
    <row r="112" spans="1:7" s="70" customFormat="1" ht="11.45" customHeight="1">
      <c r="A112" s="262"/>
      <c r="B112" s="278">
        <v>2005</v>
      </c>
      <c r="C112" s="205">
        <v>2143</v>
      </c>
      <c r="D112" s="62">
        <v>1714</v>
      </c>
      <c r="E112" s="258">
        <v>901</v>
      </c>
      <c r="F112" s="62">
        <v>702</v>
      </c>
      <c r="G112" s="279">
        <v>129</v>
      </c>
    </row>
    <row r="113" spans="1:8" s="70" customFormat="1" ht="11.45" customHeight="1">
      <c r="A113" s="262"/>
      <c r="B113" s="278">
        <v>2006</v>
      </c>
      <c r="C113" s="205">
        <v>2119</v>
      </c>
      <c r="D113" s="62">
        <v>1692</v>
      </c>
      <c r="E113" s="258">
        <v>882</v>
      </c>
      <c r="F113" s="62">
        <v>683</v>
      </c>
      <c r="G113" s="279">
        <v>96</v>
      </c>
    </row>
    <row r="114" spans="1:8" s="70" customFormat="1" ht="11.45" customHeight="1">
      <c r="A114" s="262"/>
      <c r="B114" s="278">
        <v>2007</v>
      </c>
      <c r="C114" s="205">
        <v>2194</v>
      </c>
      <c r="D114" s="62">
        <v>1767</v>
      </c>
      <c r="E114" s="258">
        <v>1005</v>
      </c>
      <c r="F114" s="1150" t="s">
        <v>195</v>
      </c>
      <c r="G114" s="527" t="s">
        <v>195</v>
      </c>
    </row>
    <row r="115" spans="1:8" s="70" customFormat="1" ht="11.45" customHeight="1">
      <c r="A115" s="262"/>
      <c r="B115" s="278">
        <v>2008</v>
      </c>
      <c r="C115" s="205">
        <v>2198</v>
      </c>
      <c r="D115" s="62">
        <v>1808</v>
      </c>
      <c r="E115" s="258">
        <v>968</v>
      </c>
      <c r="F115" s="62">
        <v>597</v>
      </c>
      <c r="G115" s="527" t="s">
        <v>195</v>
      </c>
    </row>
    <row r="116" spans="1:8" s="70" customFormat="1" ht="11.45" customHeight="1">
      <c r="A116" s="262"/>
      <c r="B116" s="278">
        <v>2009</v>
      </c>
      <c r="C116" s="205">
        <v>2154</v>
      </c>
      <c r="D116" s="62">
        <v>1773</v>
      </c>
      <c r="E116" s="258">
        <v>902</v>
      </c>
      <c r="F116" s="62">
        <v>271</v>
      </c>
      <c r="G116" s="279">
        <v>80</v>
      </c>
    </row>
    <row r="117" spans="1:8" s="70" customFormat="1" ht="11.45" customHeight="1">
      <c r="A117" s="262"/>
      <c r="B117" s="278">
        <v>2010</v>
      </c>
      <c r="C117" s="205">
        <v>1932</v>
      </c>
      <c r="D117" s="62">
        <v>1626</v>
      </c>
      <c r="E117" s="258">
        <v>780</v>
      </c>
      <c r="F117" s="62">
        <v>627</v>
      </c>
      <c r="G117" s="279">
        <v>108</v>
      </c>
      <c r="H117" s="669"/>
    </row>
    <row r="118" spans="1:8" s="70" customFormat="1" ht="11.45" customHeight="1">
      <c r="A118" s="262"/>
      <c r="B118" s="278">
        <v>2011</v>
      </c>
      <c r="C118" s="205">
        <v>1875</v>
      </c>
      <c r="D118" s="62">
        <v>1575</v>
      </c>
      <c r="E118" s="258">
        <v>867</v>
      </c>
      <c r="F118" s="62">
        <v>618</v>
      </c>
      <c r="G118" s="279">
        <v>117</v>
      </c>
    </row>
    <row r="119" spans="1:8" s="70" customFormat="1" ht="11.45" customHeight="1">
      <c r="A119" s="262"/>
      <c r="B119" s="278">
        <v>2012</v>
      </c>
      <c r="C119" s="205">
        <v>1689</v>
      </c>
      <c r="D119" s="62">
        <v>1446</v>
      </c>
      <c r="E119" s="258">
        <v>807</v>
      </c>
      <c r="F119" s="62">
        <v>540</v>
      </c>
      <c r="G119" s="279">
        <v>63</v>
      </c>
    </row>
    <row r="120" spans="1:8" s="70" customFormat="1" ht="11.45" customHeight="1">
      <c r="A120" s="262"/>
      <c r="B120" s="278">
        <v>2013</v>
      </c>
      <c r="C120" s="205">
        <v>1728</v>
      </c>
      <c r="D120" s="62">
        <v>1461</v>
      </c>
      <c r="E120" s="258">
        <v>759</v>
      </c>
      <c r="F120" s="62">
        <v>519</v>
      </c>
      <c r="G120" s="279">
        <v>96</v>
      </c>
    </row>
    <row r="121" spans="1:8" s="70" customFormat="1" ht="11.45" customHeight="1">
      <c r="A121" s="1019"/>
      <c r="B121" s="278">
        <v>2014</v>
      </c>
      <c r="C121" s="205">
        <v>1686</v>
      </c>
      <c r="D121" s="62">
        <v>1422</v>
      </c>
      <c r="E121" s="258">
        <v>768</v>
      </c>
      <c r="F121" s="62">
        <v>528</v>
      </c>
      <c r="G121" s="279">
        <v>102</v>
      </c>
    </row>
    <row r="122" spans="1:8" s="70" customFormat="1" ht="11.45" customHeight="1">
      <c r="A122" s="1291"/>
      <c r="B122" s="1290">
        <v>2015</v>
      </c>
      <c r="C122" s="1286">
        <f>108+1560</f>
        <v>1668</v>
      </c>
      <c r="D122" s="1287">
        <f>93+1323</f>
        <v>1416</v>
      </c>
      <c r="E122" s="1288">
        <f>30+747</f>
        <v>777</v>
      </c>
      <c r="F122" s="1287">
        <f>39+477</f>
        <v>516</v>
      </c>
      <c r="G122" s="1289">
        <f>42+36+3</f>
        <v>81</v>
      </c>
    </row>
    <row r="123" spans="1:8" s="70" customFormat="1" ht="3.6" customHeight="1">
      <c r="A123" s="1354"/>
      <c r="B123" s="278"/>
      <c r="C123" s="205"/>
      <c r="D123" s="286"/>
      <c r="E123" s="287"/>
      <c r="F123" s="62"/>
      <c r="G123" s="279"/>
    </row>
    <row r="124" spans="1:8" s="70" customFormat="1" ht="3.6" customHeight="1">
      <c r="A124" s="1379"/>
      <c r="B124" s="1387"/>
      <c r="C124" s="1381"/>
      <c r="D124" s="1389"/>
      <c r="E124" s="1390"/>
      <c r="F124" s="1382"/>
      <c r="G124" s="1384"/>
    </row>
    <row r="125" spans="1:8" s="70" customFormat="1" ht="11.45" customHeight="1">
      <c r="A125" s="1148" t="s">
        <v>78</v>
      </c>
      <c r="B125" s="278">
        <v>2001</v>
      </c>
      <c r="C125" s="205">
        <v>17523</v>
      </c>
      <c r="D125" s="62">
        <v>4941</v>
      </c>
      <c r="E125" s="258">
        <v>6225</v>
      </c>
      <c r="F125" s="62">
        <v>5278</v>
      </c>
      <c r="G125" s="279">
        <v>557</v>
      </c>
    </row>
    <row r="126" spans="1:8" s="70" customFormat="1" ht="11.45" customHeight="1">
      <c r="A126" s="262"/>
      <c r="B126" s="278">
        <v>2002</v>
      </c>
      <c r="C126" s="205">
        <v>16610</v>
      </c>
      <c r="D126" s="62">
        <v>4419</v>
      </c>
      <c r="E126" s="258">
        <v>6632</v>
      </c>
      <c r="F126" s="62">
        <v>5063</v>
      </c>
      <c r="G126" s="279">
        <v>574</v>
      </c>
    </row>
    <row r="127" spans="1:8" s="70" customFormat="1" ht="11.45" customHeight="1">
      <c r="A127" s="262"/>
      <c r="B127" s="278">
        <v>2003</v>
      </c>
      <c r="C127" s="205">
        <v>16719</v>
      </c>
      <c r="D127" s="62">
        <v>4197</v>
      </c>
      <c r="E127" s="258">
        <v>6298</v>
      </c>
      <c r="F127" s="62">
        <v>4610</v>
      </c>
      <c r="G127" s="279">
        <v>593</v>
      </c>
    </row>
    <row r="128" spans="1:8" s="70" customFormat="1" ht="11.45" customHeight="1">
      <c r="A128" s="259"/>
      <c r="B128" s="278">
        <v>2004</v>
      </c>
      <c r="C128" s="205">
        <v>17417</v>
      </c>
      <c r="D128" s="62">
        <v>4116</v>
      </c>
      <c r="E128" s="258">
        <v>6624</v>
      </c>
      <c r="F128" s="62">
        <v>4462</v>
      </c>
      <c r="G128" s="279">
        <v>608</v>
      </c>
    </row>
    <row r="129" spans="1:7" s="70" customFormat="1" ht="11.45" customHeight="1">
      <c r="A129" s="259"/>
      <c r="B129" s="278">
        <v>2005</v>
      </c>
      <c r="C129" s="205">
        <v>17521</v>
      </c>
      <c r="D129" s="62">
        <v>3928</v>
      </c>
      <c r="E129" s="258">
        <v>6251</v>
      </c>
      <c r="F129" s="62">
        <v>4631</v>
      </c>
      <c r="G129" s="279">
        <v>483</v>
      </c>
    </row>
    <row r="130" spans="1:7" s="70" customFormat="1" ht="11.45" customHeight="1">
      <c r="A130" s="259"/>
      <c r="B130" s="278">
        <v>2006</v>
      </c>
      <c r="C130" s="205">
        <v>17750</v>
      </c>
      <c r="D130" s="62">
        <v>3737</v>
      </c>
      <c r="E130" s="258">
        <v>6566</v>
      </c>
      <c r="F130" s="62">
        <v>4738</v>
      </c>
      <c r="G130" s="279">
        <v>476</v>
      </c>
    </row>
    <row r="131" spans="1:7" s="70" customFormat="1" ht="11.45" customHeight="1">
      <c r="A131" s="262" t="s">
        <v>40</v>
      </c>
      <c r="B131" s="278">
        <v>2007</v>
      </c>
      <c r="C131" s="205">
        <v>18366</v>
      </c>
      <c r="D131" s="62">
        <v>3778</v>
      </c>
      <c r="E131" s="258">
        <v>7109</v>
      </c>
      <c r="F131" s="1150" t="s">
        <v>195</v>
      </c>
      <c r="G131" s="527" t="s">
        <v>195</v>
      </c>
    </row>
    <row r="132" spans="1:7" s="70" customFormat="1" ht="11.45" customHeight="1">
      <c r="A132" s="259"/>
      <c r="B132" s="278">
        <v>2008</v>
      </c>
      <c r="C132" s="205">
        <v>18022</v>
      </c>
      <c r="D132" s="62">
        <v>3755</v>
      </c>
      <c r="E132" s="258">
        <v>6243</v>
      </c>
      <c r="F132" s="62">
        <v>4536</v>
      </c>
      <c r="G132" s="527" t="s">
        <v>195</v>
      </c>
    </row>
    <row r="133" spans="1:7" s="70" customFormat="1" ht="11.45" customHeight="1">
      <c r="A133" s="259"/>
      <c r="B133" s="278">
        <v>2009</v>
      </c>
      <c r="C133" s="205">
        <v>17201</v>
      </c>
      <c r="D133" s="62">
        <v>3579</v>
      </c>
      <c r="E133" s="258">
        <v>5886</v>
      </c>
      <c r="F133" s="62">
        <v>4406</v>
      </c>
      <c r="G133" s="279">
        <v>297</v>
      </c>
    </row>
    <row r="134" spans="1:7" s="70" customFormat="1" ht="11.45" customHeight="1">
      <c r="A134" s="259"/>
      <c r="B134" s="278">
        <v>2010</v>
      </c>
      <c r="C134" s="205">
        <v>16239</v>
      </c>
      <c r="D134" s="62">
        <v>3372</v>
      </c>
      <c r="E134" s="258">
        <v>5715</v>
      </c>
      <c r="F134" s="62">
        <v>5097</v>
      </c>
      <c r="G134" s="279">
        <v>480</v>
      </c>
    </row>
    <row r="135" spans="1:7" s="70" customFormat="1" ht="11.45" customHeight="1">
      <c r="A135" s="259"/>
      <c r="B135" s="278">
        <v>2011</v>
      </c>
      <c r="C135" s="205">
        <v>15273</v>
      </c>
      <c r="D135" s="62">
        <v>3054</v>
      </c>
      <c r="E135" s="258">
        <v>5259</v>
      </c>
      <c r="F135" s="62">
        <v>4593</v>
      </c>
      <c r="G135" s="279">
        <v>474</v>
      </c>
    </row>
    <row r="136" spans="1:7" s="70" customFormat="1" ht="11.45" customHeight="1">
      <c r="A136" s="259"/>
      <c r="B136" s="278">
        <v>2012</v>
      </c>
      <c r="C136" s="205">
        <v>14217</v>
      </c>
      <c r="D136" s="62">
        <v>2778</v>
      </c>
      <c r="E136" s="258">
        <v>5046</v>
      </c>
      <c r="F136" s="62">
        <v>4128</v>
      </c>
      <c r="G136" s="279">
        <v>648</v>
      </c>
    </row>
    <row r="137" spans="1:7" s="70" customFormat="1" ht="11.45" customHeight="1">
      <c r="A137" s="259"/>
      <c r="B137" s="278">
        <v>2013</v>
      </c>
      <c r="C137" s="205">
        <v>13149</v>
      </c>
      <c r="D137" s="62">
        <v>2631</v>
      </c>
      <c r="E137" s="258">
        <v>4740</v>
      </c>
      <c r="F137" s="62">
        <v>4002</v>
      </c>
      <c r="G137" s="279">
        <v>555</v>
      </c>
    </row>
    <row r="138" spans="1:7" s="70" customFormat="1" ht="11.45" customHeight="1">
      <c r="A138" s="259"/>
      <c r="B138" s="278">
        <v>2014</v>
      </c>
      <c r="C138" s="205">
        <v>12804</v>
      </c>
      <c r="D138" s="62">
        <v>2586</v>
      </c>
      <c r="E138" s="258">
        <v>4812</v>
      </c>
      <c r="F138" s="62">
        <v>3879</v>
      </c>
      <c r="G138" s="279">
        <v>636</v>
      </c>
    </row>
    <row r="139" spans="1:7" s="70" customFormat="1" ht="11.45" customHeight="1">
      <c r="A139" s="259"/>
      <c r="B139" s="1290">
        <v>2015</v>
      </c>
      <c r="C139" s="1286">
        <v>12561</v>
      </c>
      <c r="D139" s="1287">
        <v>2475</v>
      </c>
      <c r="E139" s="1288">
        <v>4758</v>
      </c>
      <c r="F139" s="1287">
        <v>3696</v>
      </c>
      <c r="G139" s="1289">
        <f>84+6+48+21+387+36+18</f>
        <v>600</v>
      </c>
    </row>
    <row r="140" spans="1:7" s="70" customFormat="1" ht="3.6" customHeight="1">
      <c r="A140" s="1354"/>
      <c r="B140" s="278"/>
      <c r="C140" s="205" t="s">
        <v>40</v>
      </c>
      <c r="D140" s="62"/>
      <c r="E140" s="258"/>
      <c r="F140" s="62"/>
      <c r="G140" s="279"/>
    </row>
    <row r="141" spans="1:7" s="70" customFormat="1" ht="3.6" customHeight="1">
      <c r="A141" s="1379"/>
      <c r="B141" s="1387"/>
      <c r="C141" s="1381"/>
      <c r="D141" s="1382"/>
      <c r="E141" s="1383"/>
      <c r="F141" s="1382"/>
      <c r="G141" s="1384"/>
    </row>
    <row r="142" spans="1:7" s="70" customFormat="1" ht="11.45" customHeight="1">
      <c r="A142" s="1148" t="s">
        <v>89</v>
      </c>
      <c r="B142" s="278">
        <v>2001</v>
      </c>
      <c r="C142" s="205">
        <v>4095</v>
      </c>
      <c r="D142" s="62">
        <v>1055</v>
      </c>
      <c r="E142" s="258">
        <v>1546</v>
      </c>
      <c r="F142" s="62">
        <v>1067</v>
      </c>
      <c r="G142" s="279">
        <v>0</v>
      </c>
    </row>
    <row r="143" spans="1:7" s="70" customFormat="1" ht="11.45" customHeight="1">
      <c r="A143" s="1148" t="s">
        <v>333</v>
      </c>
      <c r="B143" s="228">
        <v>2002</v>
      </c>
      <c r="C143" s="205">
        <v>4315</v>
      </c>
      <c r="D143" s="62">
        <v>1149</v>
      </c>
      <c r="E143" s="258">
        <v>1556</v>
      </c>
      <c r="F143" s="62">
        <v>1169</v>
      </c>
      <c r="G143" s="279">
        <v>0</v>
      </c>
    </row>
    <row r="144" spans="1:7" s="70" customFormat="1" ht="11.45" customHeight="1">
      <c r="A144" s="289"/>
      <c r="B144" s="278">
        <v>2003</v>
      </c>
      <c r="C144" s="205">
        <v>4674</v>
      </c>
      <c r="D144" s="62">
        <v>1147</v>
      </c>
      <c r="E144" s="258">
        <v>1787</v>
      </c>
      <c r="F144" s="62">
        <v>1070</v>
      </c>
      <c r="G144" s="279">
        <v>0</v>
      </c>
    </row>
    <row r="145" spans="1:7" s="70" customFormat="1" ht="11.45" customHeight="1">
      <c r="A145" s="289" t="s">
        <v>40</v>
      </c>
      <c r="B145" s="278">
        <v>2004</v>
      </c>
      <c r="C145" s="205">
        <v>5025</v>
      </c>
      <c r="D145" s="62">
        <v>1231</v>
      </c>
      <c r="E145" s="258">
        <v>1866</v>
      </c>
      <c r="F145" s="62">
        <v>1227</v>
      </c>
      <c r="G145" s="279">
        <v>0</v>
      </c>
    </row>
    <row r="146" spans="1:7" s="70" customFormat="1" ht="11.45" customHeight="1">
      <c r="A146" s="259"/>
      <c r="B146" s="278">
        <v>2005</v>
      </c>
      <c r="C146" s="205">
        <v>5201</v>
      </c>
      <c r="D146" s="62">
        <v>1210</v>
      </c>
      <c r="E146" s="258">
        <v>1769</v>
      </c>
      <c r="F146" s="62">
        <v>1289</v>
      </c>
      <c r="G146" s="279">
        <v>0</v>
      </c>
    </row>
    <row r="147" spans="1:7" s="70" customFormat="1" ht="11.45" customHeight="1">
      <c r="A147" s="259"/>
      <c r="B147" s="278">
        <v>2006</v>
      </c>
      <c r="C147" s="205">
        <v>5207</v>
      </c>
      <c r="D147" s="62">
        <v>1182</v>
      </c>
      <c r="E147" s="258">
        <v>1811</v>
      </c>
      <c r="F147" s="62">
        <v>1463</v>
      </c>
      <c r="G147" s="279">
        <v>0</v>
      </c>
    </row>
    <row r="148" spans="1:7" s="70" customFormat="1" ht="11.45" customHeight="1">
      <c r="A148" s="262" t="s">
        <v>40</v>
      </c>
      <c r="B148" s="278">
        <v>2007</v>
      </c>
      <c r="C148" s="205">
        <v>5371</v>
      </c>
      <c r="D148" s="62">
        <v>1201</v>
      </c>
      <c r="E148" s="258">
        <v>2046</v>
      </c>
      <c r="F148" s="1150" t="s">
        <v>195</v>
      </c>
      <c r="G148" s="279">
        <v>0</v>
      </c>
    </row>
    <row r="149" spans="1:7" s="70" customFormat="1" ht="11.45" customHeight="1">
      <c r="A149" s="259"/>
      <c r="B149" s="278">
        <v>2008</v>
      </c>
      <c r="C149" s="205">
        <v>5170</v>
      </c>
      <c r="D149" s="62">
        <v>1143</v>
      </c>
      <c r="E149" s="258">
        <v>1801</v>
      </c>
      <c r="F149" s="62">
        <v>1415</v>
      </c>
      <c r="G149" s="279">
        <v>0</v>
      </c>
    </row>
    <row r="150" spans="1:7" s="70" customFormat="1" ht="11.45" customHeight="1">
      <c r="A150" s="259"/>
      <c r="B150" s="278">
        <v>2009</v>
      </c>
      <c r="C150" s="205">
        <v>5198</v>
      </c>
      <c r="D150" s="62">
        <v>1095</v>
      </c>
      <c r="E150" s="258">
        <v>1781</v>
      </c>
      <c r="F150" s="62">
        <v>1343</v>
      </c>
      <c r="G150" s="279">
        <v>0</v>
      </c>
    </row>
    <row r="151" spans="1:7" s="70" customFormat="1" ht="11.45" customHeight="1">
      <c r="A151" s="259"/>
      <c r="B151" s="278">
        <v>2010</v>
      </c>
      <c r="C151" s="205">
        <v>4812</v>
      </c>
      <c r="D151" s="62">
        <v>1038</v>
      </c>
      <c r="E151" s="258">
        <v>1557</v>
      </c>
      <c r="F151" s="62">
        <v>1443</v>
      </c>
      <c r="G151" s="279">
        <v>0</v>
      </c>
    </row>
    <row r="152" spans="1:7" s="70" customFormat="1" ht="11.45" customHeight="1">
      <c r="A152" s="259"/>
      <c r="B152" s="278">
        <v>2011</v>
      </c>
      <c r="C152" s="205">
        <v>4422</v>
      </c>
      <c r="D152" s="62">
        <v>924</v>
      </c>
      <c r="E152" s="258">
        <v>1467</v>
      </c>
      <c r="F152" s="62">
        <v>1326</v>
      </c>
      <c r="G152" s="279">
        <v>0</v>
      </c>
    </row>
    <row r="153" spans="1:7" s="70" customFormat="1" ht="11.45" customHeight="1">
      <c r="A153" s="259"/>
      <c r="B153" s="278">
        <v>2012</v>
      </c>
      <c r="C153" s="205">
        <v>3987</v>
      </c>
      <c r="D153" s="62">
        <v>801</v>
      </c>
      <c r="E153" s="258">
        <v>1335</v>
      </c>
      <c r="F153" s="62">
        <v>1296</v>
      </c>
      <c r="G153" s="279">
        <v>0</v>
      </c>
    </row>
    <row r="154" spans="1:7" s="70" customFormat="1" ht="11.45" customHeight="1">
      <c r="A154" s="259"/>
      <c r="B154" s="278">
        <v>2013</v>
      </c>
      <c r="C154" s="205">
        <v>3753</v>
      </c>
      <c r="D154" s="62">
        <v>729</v>
      </c>
      <c r="E154" s="258">
        <v>1320</v>
      </c>
      <c r="F154" s="62">
        <v>1158</v>
      </c>
      <c r="G154" s="279">
        <v>0</v>
      </c>
    </row>
    <row r="155" spans="1:7" s="70" customFormat="1" ht="11.45" customHeight="1">
      <c r="A155" s="259"/>
      <c r="B155" s="278">
        <v>2014</v>
      </c>
      <c r="C155" s="205">
        <v>3537</v>
      </c>
      <c r="D155" s="62">
        <v>693</v>
      </c>
      <c r="E155" s="258">
        <v>1254</v>
      </c>
      <c r="F155" s="62">
        <v>1101</v>
      </c>
      <c r="G155" s="279">
        <v>0</v>
      </c>
    </row>
    <row r="156" spans="1:7" s="70" customFormat="1" ht="11.45" customHeight="1">
      <c r="A156" s="259"/>
      <c r="B156" s="1290">
        <v>2015</v>
      </c>
      <c r="C156" s="1286">
        <v>3435</v>
      </c>
      <c r="D156" s="1287">
        <v>678</v>
      </c>
      <c r="E156" s="1288">
        <v>1209</v>
      </c>
      <c r="F156" s="1287">
        <v>996</v>
      </c>
      <c r="G156" s="1289">
        <v>0</v>
      </c>
    </row>
    <row r="157" spans="1:7" s="70" customFormat="1" ht="3.6" customHeight="1" thickBot="1">
      <c r="A157" s="261"/>
      <c r="B157" s="290"/>
      <c r="C157" s="231"/>
      <c r="D157" s="232"/>
      <c r="E157" s="1153"/>
      <c r="F157" s="232"/>
      <c r="G157" s="233"/>
    </row>
    <row r="158" spans="1:7" s="70" customFormat="1" ht="12">
      <c r="A158" s="2071" t="s">
        <v>201</v>
      </c>
      <c r="B158" s="2071"/>
      <c r="C158" s="2071"/>
      <c r="D158" s="2071"/>
      <c r="E158" s="2071"/>
      <c r="F158" s="2071"/>
      <c r="G158" s="2071"/>
    </row>
    <row r="159" spans="1:7" s="70" customFormat="1" ht="5.25" customHeight="1">
      <c r="A159" s="162"/>
      <c r="B159" s="226"/>
      <c r="C159" s="225"/>
      <c r="D159" s="225"/>
      <c r="E159" s="225"/>
      <c r="F159" s="225"/>
      <c r="G159" s="225"/>
    </row>
    <row r="160" spans="1:7" s="70" customFormat="1" ht="12">
      <c r="A160" s="2081" t="s">
        <v>114</v>
      </c>
      <c r="B160" s="2081"/>
      <c r="C160" s="2081"/>
      <c r="D160" s="2081"/>
      <c r="E160" s="2081"/>
      <c r="F160" s="2081"/>
      <c r="G160" s="2081"/>
    </row>
    <row r="161" spans="1:7" s="70" customFormat="1" ht="5.25" customHeight="1" thickBot="1">
      <c r="A161" s="179"/>
      <c r="B161" s="226"/>
      <c r="C161" s="225"/>
      <c r="D161" s="225"/>
      <c r="E161" s="225"/>
      <c r="F161" s="225"/>
      <c r="G161" s="225"/>
    </row>
    <row r="162" spans="1:7" s="70" customFormat="1" ht="12.75" customHeight="1">
      <c r="A162" s="2086" t="s">
        <v>72</v>
      </c>
      <c r="B162" s="2085" t="s">
        <v>120</v>
      </c>
      <c r="C162" s="2076" t="s">
        <v>221</v>
      </c>
      <c r="D162" s="2077"/>
      <c r="E162" s="2078"/>
      <c r="F162" s="703" t="s">
        <v>222</v>
      </c>
      <c r="G162" s="291"/>
    </row>
    <row r="163" spans="1:7" s="70" customFormat="1" ht="11.25">
      <c r="A163" s="2072"/>
      <c r="B163" s="2074"/>
      <c r="C163" s="292" t="s">
        <v>124</v>
      </c>
      <c r="D163" s="293"/>
      <c r="E163" s="264" t="s">
        <v>121</v>
      </c>
      <c r="F163" s="2068" t="s">
        <v>325</v>
      </c>
      <c r="G163" s="2065" t="s">
        <v>326</v>
      </c>
    </row>
    <row r="164" spans="1:7" s="70" customFormat="1" ht="13.5" customHeight="1">
      <c r="A164" s="2072"/>
      <c r="B164" s="2074"/>
      <c r="C164" s="2079" t="s">
        <v>94</v>
      </c>
      <c r="D164" s="294" t="s">
        <v>5</v>
      </c>
      <c r="E164" s="213" t="s">
        <v>122</v>
      </c>
      <c r="F164" s="2069"/>
      <c r="G164" s="2066"/>
    </row>
    <row r="165" spans="1:7" s="70" customFormat="1" ht="11.25">
      <c r="A165" s="2073"/>
      <c r="B165" s="2075"/>
      <c r="C165" s="2080"/>
      <c r="D165" s="295" t="s">
        <v>93</v>
      </c>
      <c r="E165" s="214" t="s">
        <v>123</v>
      </c>
      <c r="F165" s="2070"/>
      <c r="G165" s="2067"/>
    </row>
    <row r="166" spans="1:7" s="70" customFormat="1" ht="3.6" customHeight="1">
      <c r="A166" s="296"/>
      <c r="B166" s="297"/>
      <c r="C166" s="298"/>
      <c r="D166" s="62"/>
      <c r="E166" s="299"/>
      <c r="F166" s="62"/>
      <c r="G166" s="300"/>
    </row>
    <row r="167" spans="1:7" s="70" customFormat="1" ht="11.45" customHeight="1">
      <c r="A167" s="1148" t="s">
        <v>82</v>
      </c>
      <c r="B167" s="278">
        <v>2001</v>
      </c>
      <c r="C167" s="205">
        <v>47</v>
      </c>
      <c r="D167" s="62">
        <v>3</v>
      </c>
      <c r="E167" s="258">
        <v>26</v>
      </c>
      <c r="F167" s="62">
        <v>12</v>
      </c>
      <c r="G167" s="279">
        <v>29</v>
      </c>
    </row>
    <row r="168" spans="1:7" s="70" customFormat="1" ht="11.45" customHeight="1">
      <c r="A168" s="1148" t="s">
        <v>83</v>
      </c>
      <c r="B168" s="278">
        <v>2002</v>
      </c>
      <c r="C168" s="205">
        <v>46</v>
      </c>
      <c r="D168" s="62">
        <v>0</v>
      </c>
      <c r="E168" s="258">
        <v>22</v>
      </c>
      <c r="F168" s="62">
        <v>14</v>
      </c>
      <c r="G168" s="279">
        <v>0</v>
      </c>
    </row>
    <row r="169" spans="1:7" s="70" customFormat="1" ht="11.45" customHeight="1">
      <c r="A169" s="259"/>
      <c r="B169" s="278">
        <v>2003</v>
      </c>
      <c r="C169" s="205">
        <v>52</v>
      </c>
      <c r="D169" s="62">
        <v>3</v>
      </c>
      <c r="E169" s="258">
        <v>24</v>
      </c>
      <c r="F169" s="62">
        <v>13</v>
      </c>
      <c r="G169" s="279">
        <v>0</v>
      </c>
    </row>
    <row r="170" spans="1:7" s="70" customFormat="1" ht="11.45" customHeight="1">
      <c r="A170" s="259"/>
      <c r="B170" s="278">
        <v>2004</v>
      </c>
      <c r="C170" s="205">
        <v>52</v>
      </c>
      <c r="D170" s="62">
        <v>3</v>
      </c>
      <c r="E170" s="258">
        <v>29</v>
      </c>
      <c r="F170" s="62">
        <v>18</v>
      </c>
      <c r="G170" s="279">
        <v>11</v>
      </c>
    </row>
    <row r="171" spans="1:7" s="70" customFormat="1" ht="11.45" customHeight="1">
      <c r="A171" s="259"/>
      <c r="B171" s="278">
        <v>2005</v>
      </c>
      <c r="C171" s="205">
        <v>47</v>
      </c>
      <c r="D171" s="62">
        <v>3</v>
      </c>
      <c r="E171" s="258">
        <v>22</v>
      </c>
      <c r="F171" s="62">
        <v>11</v>
      </c>
      <c r="G171" s="279">
        <v>4</v>
      </c>
    </row>
    <row r="172" spans="1:7" s="70" customFormat="1" ht="11.45" customHeight="1">
      <c r="A172" s="259"/>
      <c r="B172" s="278">
        <v>2006</v>
      </c>
      <c r="C172" s="205">
        <v>54</v>
      </c>
      <c r="D172" s="62">
        <v>3</v>
      </c>
      <c r="E172" s="258">
        <v>23</v>
      </c>
      <c r="F172" s="62">
        <v>24</v>
      </c>
      <c r="G172" s="279">
        <v>3</v>
      </c>
    </row>
    <row r="173" spans="1:7" s="70" customFormat="1" ht="11.45" customHeight="1">
      <c r="A173" s="259"/>
      <c r="B173" s="278">
        <v>2007</v>
      </c>
      <c r="C173" s="205">
        <v>60</v>
      </c>
      <c r="D173" s="62">
        <v>0</v>
      </c>
      <c r="E173" s="258">
        <v>17</v>
      </c>
      <c r="F173" s="1150" t="s">
        <v>195</v>
      </c>
      <c r="G173" s="527" t="s">
        <v>195</v>
      </c>
    </row>
    <row r="174" spans="1:7" s="70" customFormat="1" ht="11.45" customHeight="1">
      <c r="A174" s="259"/>
      <c r="B174" s="228">
        <v>2008</v>
      </c>
      <c r="C174" s="205">
        <v>44</v>
      </c>
      <c r="D174" s="62">
        <v>3</v>
      </c>
      <c r="E174" s="258">
        <v>23</v>
      </c>
      <c r="F174" s="62">
        <v>0</v>
      </c>
      <c r="G174" s="527" t="s">
        <v>195</v>
      </c>
    </row>
    <row r="175" spans="1:7" s="70" customFormat="1" ht="11.45" customHeight="1">
      <c r="A175" s="259"/>
      <c r="B175" s="228">
        <v>2009</v>
      </c>
      <c r="C175" s="205">
        <v>47</v>
      </c>
      <c r="D175" s="62">
        <v>3</v>
      </c>
      <c r="E175" s="258">
        <v>21</v>
      </c>
      <c r="F175" s="62">
        <v>0</v>
      </c>
      <c r="G175" s="279">
        <v>13</v>
      </c>
    </row>
    <row r="176" spans="1:7" s="70" customFormat="1" ht="11.45" customHeight="1">
      <c r="A176" s="259"/>
      <c r="B176" s="228">
        <v>2010</v>
      </c>
      <c r="C176" s="205">
        <v>48</v>
      </c>
      <c r="D176" s="62">
        <v>3</v>
      </c>
      <c r="E176" s="258">
        <v>30</v>
      </c>
      <c r="F176" s="62">
        <v>18</v>
      </c>
      <c r="G176" s="279">
        <v>9</v>
      </c>
    </row>
    <row r="177" spans="1:7" s="70" customFormat="1" ht="11.45" customHeight="1">
      <c r="A177" s="259"/>
      <c r="B177" s="228">
        <v>2011</v>
      </c>
      <c r="C177" s="205">
        <v>48</v>
      </c>
      <c r="D177" s="62">
        <v>3</v>
      </c>
      <c r="E177" s="258">
        <v>18</v>
      </c>
      <c r="F177" s="62">
        <v>12</v>
      </c>
      <c r="G177" s="279">
        <v>0</v>
      </c>
    </row>
    <row r="178" spans="1:7" s="70" customFormat="1" ht="11.45" customHeight="1">
      <c r="A178" s="259"/>
      <c r="B178" s="228">
        <v>2012</v>
      </c>
      <c r="C178" s="205">
        <v>42</v>
      </c>
      <c r="D178" s="62">
        <v>6</v>
      </c>
      <c r="E178" s="258">
        <v>21</v>
      </c>
      <c r="F178" s="62">
        <v>24</v>
      </c>
      <c r="G178" s="279">
        <v>15</v>
      </c>
    </row>
    <row r="179" spans="1:7" s="70" customFormat="1" ht="11.45" customHeight="1">
      <c r="A179" s="259"/>
      <c r="B179" s="228">
        <v>2013</v>
      </c>
      <c r="C179" s="205">
        <v>66</v>
      </c>
      <c r="D179" s="62">
        <v>3</v>
      </c>
      <c r="E179" s="258">
        <v>21</v>
      </c>
      <c r="F179" s="62">
        <v>9</v>
      </c>
      <c r="G179" s="279">
        <v>9</v>
      </c>
    </row>
    <row r="180" spans="1:7" s="70" customFormat="1" ht="11.45" customHeight="1">
      <c r="A180" s="259"/>
      <c r="B180" s="228">
        <v>2014</v>
      </c>
      <c r="C180" s="205">
        <v>63</v>
      </c>
      <c r="D180" s="86">
        <v>0</v>
      </c>
      <c r="E180" s="258">
        <v>39</v>
      </c>
      <c r="F180" s="62">
        <v>27</v>
      </c>
      <c r="G180" s="279">
        <v>18</v>
      </c>
    </row>
    <row r="181" spans="1:7" s="70" customFormat="1" ht="11.45" customHeight="1">
      <c r="A181" s="259"/>
      <c r="B181" s="1324">
        <v>2015</v>
      </c>
      <c r="C181" s="1286">
        <v>66</v>
      </c>
      <c r="D181" s="1325">
        <v>0</v>
      </c>
      <c r="E181" s="1288">
        <v>30</v>
      </c>
      <c r="F181" s="1287">
        <v>15</v>
      </c>
      <c r="G181" s="1289">
        <v>0</v>
      </c>
    </row>
    <row r="182" spans="1:7" s="70" customFormat="1" ht="3.6" customHeight="1">
      <c r="A182" s="1354"/>
      <c r="B182" s="82"/>
      <c r="C182" s="205"/>
      <c r="D182" s="86"/>
      <c r="E182" s="258"/>
      <c r="F182" s="62"/>
      <c r="G182" s="279"/>
    </row>
    <row r="183" spans="1:7" s="70" customFormat="1" ht="3.6" customHeight="1">
      <c r="A183" s="1379"/>
      <c r="B183" s="1388"/>
      <c r="C183" s="1381"/>
      <c r="D183" s="1382"/>
      <c r="E183" s="1383"/>
      <c r="F183" s="1382"/>
      <c r="G183" s="1384"/>
    </row>
    <row r="184" spans="1:7" s="70" customFormat="1" ht="11.45" customHeight="1">
      <c r="A184" s="1148" t="s">
        <v>335</v>
      </c>
      <c r="B184" s="278">
        <v>2001</v>
      </c>
      <c r="C184" s="205">
        <v>1979</v>
      </c>
      <c r="D184" s="62">
        <v>124</v>
      </c>
      <c r="E184" s="258">
        <v>667</v>
      </c>
      <c r="F184" s="62">
        <v>711</v>
      </c>
      <c r="G184" s="279">
        <v>73</v>
      </c>
    </row>
    <row r="185" spans="1:7" s="70" customFormat="1" ht="11.45" customHeight="1">
      <c r="A185" s="1148" t="s">
        <v>80</v>
      </c>
      <c r="B185" s="278">
        <v>2002</v>
      </c>
      <c r="C185" s="205">
        <v>1842</v>
      </c>
      <c r="D185" s="62">
        <v>112</v>
      </c>
      <c r="E185" s="258">
        <v>640</v>
      </c>
      <c r="F185" s="62">
        <v>611</v>
      </c>
      <c r="G185" s="279">
        <v>60</v>
      </c>
    </row>
    <row r="186" spans="1:7" s="70" customFormat="1" ht="11.45" customHeight="1">
      <c r="A186" s="1148" t="s">
        <v>81</v>
      </c>
      <c r="B186" s="278">
        <v>2003</v>
      </c>
      <c r="C186" s="205">
        <v>1679</v>
      </c>
      <c r="D186" s="62">
        <v>77</v>
      </c>
      <c r="E186" s="258">
        <v>618</v>
      </c>
      <c r="F186" s="62">
        <v>561</v>
      </c>
      <c r="G186" s="279">
        <v>16</v>
      </c>
    </row>
    <row r="187" spans="1:7" s="70" customFormat="1" ht="11.45" customHeight="1">
      <c r="A187" s="259"/>
      <c r="B187" s="278">
        <v>2004</v>
      </c>
      <c r="C187" s="205">
        <v>1912</v>
      </c>
      <c r="D187" s="62">
        <v>95</v>
      </c>
      <c r="E187" s="258">
        <v>641</v>
      </c>
      <c r="F187" s="62">
        <v>605</v>
      </c>
      <c r="G187" s="279">
        <v>20</v>
      </c>
    </row>
    <row r="188" spans="1:7" s="70" customFormat="1" ht="11.45" customHeight="1">
      <c r="A188" s="259"/>
      <c r="B188" s="278">
        <v>2005</v>
      </c>
      <c r="C188" s="205">
        <v>1911</v>
      </c>
      <c r="D188" s="62">
        <v>87</v>
      </c>
      <c r="E188" s="258">
        <v>675</v>
      </c>
      <c r="F188" s="62">
        <v>639</v>
      </c>
      <c r="G188" s="279">
        <v>24</v>
      </c>
    </row>
    <row r="189" spans="1:7" s="70" customFormat="1" ht="11.45" customHeight="1">
      <c r="A189" s="259"/>
      <c r="B189" s="278">
        <v>2006</v>
      </c>
      <c r="C189" s="205">
        <v>2184</v>
      </c>
      <c r="D189" s="62">
        <v>111</v>
      </c>
      <c r="E189" s="258">
        <v>664</v>
      </c>
      <c r="F189" s="62">
        <v>641</v>
      </c>
      <c r="G189" s="279">
        <v>72</v>
      </c>
    </row>
    <row r="190" spans="1:7" s="70" customFormat="1" ht="11.45" customHeight="1">
      <c r="A190" s="259"/>
      <c r="B190" s="278">
        <v>2007</v>
      </c>
      <c r="C190" s="205">
        <v>1951</v>
      </c>
      <c r="D190" s="62">
        <v>91</v>
      </c>
      <c r="E190" s="258">
        <v>651</v>
      </c>
      <c r="F190" s="1150" t="s">
        <v>195</v>
      </c>
      <c r="G190" s="527" t="s">
        <v>195</v>
      </c>
    </row>
    <row r="191" spans="1:7" s="70" customFormat="1" ht="11.25" customHeight="1">
      <c r="A191" s="259"/>
      <c r="B191" s="278">
        <v>2008</v>
      </c>
      <c r="C191" s="205">
        <v>1912</v>
      </c>
      <c r="D191" s="62">
        <v>90</v>
      </c>
      <c r="E191" s="258">
        <v>644</v>
      </c>
      <c r="F191" s="62">
        <v>549</v>
      </c>
      <c r="G191" s="527" t="s">
        <v>195</v>
      </c>
    </row>
    <row r="192" spans="1:7" s="70" customFormat="1" ht="11.45" customHeight="1">
      <c r="A192" s="259"/>
      <c r="B192" s="278">
        <v>2009</v>
      </c>
      <c r="C192" s="205">
        <v>1911</v>
      </c>
      <c r="D192" s="62">
        <v>93</v>
      </c>
      <c r="E192" s="258">
        <v>657</v>
      </c>
      <c r="F192" s="62">
        <v>381</v>
      </c>
      <c r="G192" s="279">
        <v>15</v>
      </c>
    </row>
    <row r="193" spans="1:7" s="70" customFormat="1" ht="11.45" customHeight="1">
      <c r="A193" s="259"/>
      <c r="B193" s="278">
        <v>2010</v>
      </c>
      <c r="C193" s="205">
        <v>1809</v>
      </c>
      <c r="D193" s="62">
        <v>87</v>
      </c>
      <c r="E193" s="258">
        <v>621</v>
      </c>
      <c r="F193" s="62">
        <v>600</v>
      </c>
      <c r="G193" s="279">
        <v>72</v>
      </c>
    </row>
    <row r="194" spans="1:7" s="70" customFormat="1" ht="11.45" customHeight="1">
      <c r="A194" s="259"/>
      <c r="B194" s="278">
        <v>2011</v>
      </c>
      <c r="C194" s="205">
        <v>1779</v>
      </c>
      <c r="D194" s="62">
        <v>81</v>
      </c>
      <c r="E194" s="258">
        <v>603</v>
      </c>
      <c r="F194" s="62">
        <v>621</v>
      </c>
      <c r="G194" s="279">
        <v>27</v>
      </c>
    </row>
    <row r="195" spans="1:7" s="70" customFormat="1" ht="11.45" customHeight="1">
      <c r="A195" s="259"/>
      <c r="B195" s="278">
        <v>2012</v>
      </c>
      <c r="C195" s="205">
        <v>1755</v>
      </c>
      <c r="D195" s="62">
        <v>78</v>
      </c>
      <c r="E195" s="258">
        <v>612</v>
      </c>
      <c r="F195" s="62">
        <v>582</v>
      </c>
      <c r="G195" s="279">
        <v>24</v>
      </c>
    </row>
    <row r="196" spans="1:7" s="70" customFormat="1" ht="11.45" customHeight="1">
      <c r="A196" s="259"/>
      <c r="B196" s="278">
        <v>2013</v>
      </c>
      <c r="C196" s="205">
        <v>1731</v>
      </c>
      <c r="D196" s="62">
        <v>96</v>
      </c>
      <c r="E196" s="258">
        <v>615</v>
      </c>
      <c r="F196" s="62">
        <v>576</v>
      </c>
      <c r="G196" s="279">
        <v>63</v>
      </c>
    </row>
    <row r="197" spans="1:7" s="70" customFormat="1" ht="11.45" customHeight="1">
      <c r="A197" s="259"/>
      <c r="B197" s="278">
        <v>2014</v>
      </c>
      <c r="C197" s="205">
        <v>1677</v>
      </c>
      <c r="D197" s="62">
        <v>102</v>
      </c>
      <c r="E197" s="258">
        <v>594</v>
      </c>
      <c r="F197" s="62">
        <v>573</v>
      </c>
      <c r="G197" s="279">
        <v>75</v>
      </c>
    </row>
    <row r="198" spans="1:7" s="70" customFormat="1" ht="11.45" customHeight="1">
      <c r="A198" s="259"/>
      <c r="B198" s="1290">
        <v>2015</v>
      </c>
      <c r="C198" s="1286">
        <v>1656</v>
      </c>
      <c r="D198" s="1287">
        <v>111</v>
      </c>
      <c r="E198" s="1288">
        <v>582</v>
      </c>
      <c r="F198" s="1287">
        <v>534</v>
      </c>
      <c r="G198" s="1289">
        <v>60</v>
      </c>
    </row>
    <row r="199" spans="1:7" s="70" customFormat="1" ht="3.6" customHeight="1">
      <c r="A199" s="259"/>
      <c r="B199" s="278"/>
      <c r="C199" s="205"/>
      <c r="D199" s="62"/>
      <c r="E199" s="258"/>
      <c r="F199" s="62"/>
      <c r="G199" s="279"/>
    </row>
    <row r="200" spans="1:7" s="70" customFormat="1" ht="3.6" customHeight="1">
      <c r="A200" s="1385"/>
      <c r="B200" s="1387"/>
      <c r="C200" s="1381"/>
      <c r="D200" s="1382"/>
      <c r="E200" s="1383"/>
      <c r="F200" s="1382"/>
      <c r="G200" s="1384"/>
    </row>
    <row r="201" spans="1:7" s="70" customFormat="1" ht="11.45" customHeight="1">
      <c r="A201" s="1156" t="s">
        <v>330</v>
      </c>
      <c r="B201" s="278">
        <v>2008</v>
      </c>
      <c r="C201" s="205">
        <v>30</v>
      </c>
      <c r="D201" s="62">
        <v>3</v>
      </c>
      <c r="E201" s="258">
        <v>14</v>
      </c>
      <c r="F201" s="1150" t="s">
        <v>195</v>
      </c>
      <c r="G201" s="279">
        <v>0</v>
      </c>
    </row>
    <row r="202" spans="1:7" s="70" customFormat="1" ht="11.25" customHeight="1">
      <c r="A202" s="1157" t="s">
        <v>329</v>
      </c>
      <c r="B202" s="278">
        <v>2009</v>
      </c>
      <c r="C202" s="205">
        <v>32</v>
      </c>
      <c r="D202" s="62">
        <v>3</v>
      </c>
      <c r="E202" s="258">
        <v>13</v>
      </c>
      <c r="F202" s="1150" t="s">
        <v>195</v>
      </c>
      <c r="G202" s="279">
        <v>0</v>
      </c>
    </row>
    <row r="203" spans="1:7" s="70" customFormat="1" ht="11.25" customHeight="1">
      <c r="A203" s="1157" t="s">
        <v>331</v>
      </c>
      <c r="B203" s="278">
        <v>2010</v>
      </c>
      <c r="C203" s="205">
        <v>30</v>
      </c>
      <c r="D203" s="62">
        <v>3</v>
      </c>
      <c r="E203" s="258">
        <v>6</v>
      </c>
      <c r="F203" s="62">
        <v>6</v>
      </c>
      <c r="G203" s="279">
        <v>0</v>
      </c>
    </row>
    <row r="204" spans="1:7" s="70" customFormat="1" ht="11.25" customHeight="1">
      <c r="A204" s="259"/>
      <c r="B204" s="278">
        <v>2011</v>
      </c>
      <c r="C204" s="205">
        <v>33</v>
      </c>
      <c r="D204" s="62">
        <v>0</v>
      </c>
      <c r="E204" s="258">
        <v>15</v>
      </c>
      <c r="F204" s="62">
        <v>12</v>
      </c>
      <c r="G204" s="279">
        <v>0</v>
      </c>
    </row>
    <row r="205" spans="1:7" s="70" customFormat="1" ht="11.25" customHeight="1">
      <c r="A205" s="259"/>
      <c r="B205" s="278">
        <v>2012</v>
      </c>
      <c r="C205" s="205">
        <v>24</v>
      </c>
      <c r="D205" s="62">
        <v>0</v>
      </c>
      <c r="E205" s="258">
        <v>6</v>
      </c>
      <c r="F205" s="62">
        <v>12</v>
      </c>
      <c r="G205" s="279">
        <v>0</v>
      </c>
    </row>
    <row r="206" spans="1:7" s="70" customFormat="1" ht="11.25" customHeight="1">
      <c r="A206" s="259"/>
      <c r="B206" s="278">
        <v>2013</v>
      </c>
      <c r="C206" s="205">
        <v>18</v>
      </c>
      <c r="D206" s="62">
        <v>0</v>
      </c>
      <c r="E206" s="258">
        <v>0</v>
      </c>
      <c r="F206" s="62">
        <v>6</v>
      </c>
      <c r="G206" s="279">
        <v>0</v>
      </c>
    </row>
    <row r="207" spans="1:7" s="70" customFormat="1" ht="11.25" customHeight="1">
      <c r="A207" s="259"/>
      <c r="B207" s="278">
        <v>2014</v>
      </c>
      <c r="C207" s="205">
        <v>9</v>
      </c>
      <c r="D207" s="62">
        <v>0</v>
      </c>
      <c r="E207" s="258">
        <v>3</v>
      </c>
      <c r="F207" s="62">
        <v>12</v>
      </c>
      <c r="G207" s="279">
        <v>0</v>
      </c>
    </row>
    <row r="208" spans="1:7" s="70" customFormat="1" ht="11.25" customHeight="1">
      <c r="A208" s="259"/>
      <c r="B208" s="1290">
        <v>2015</v>
      </c>
      <c r="C208" s="1286">
        <v>12</v>
      </c>
      <c r="D208" s="1287">
        <v>0</v>
      </c>
      <c r="E208" s="1288">
        <v>6</v>
      </c>
      <c r="F208" s="1287">
        <v>6</v>
      </c>
      <c r="G208" s="1289">
        <v>0</v>
      </c>
    </row>
    <row r="209" spans="1:7" s="70" customFormat="1" ht="3.6" customHeight="1">
      <c r="A209" s="259"/>
      <c r="B209" s="278"/>
      <c r="C209" s="205"/>
      <c r="D209" s="62"/>
      <c r="E209" s="258"/>
      <c r="F209" s="62"/>
      <c r="G209" s="279"/>
    </row>
    <row r="210" spans="1:7" s="70" customFormat="1" ht="3.6" customHeight="1">
      <c r="A210" s="1385"/>
      <c r="B210" s="1387"/>
      <c r="C210" s="1381"/>
      <c r="D210" s="1382"/>
      <c r="E210" s="1383"/>
      <c r="F210" s="1382"/>
      <c r="G210" s="1384"/>
    </row>
    <row r="211" spans="1:7" s="70" customFormat="1" ht="11.45" customHeight="1">
      <c r="A211" s="1148" t="s">
        <v>84</v>
      </c>
      <c r="B211" s="278">
        <v>2001</v>
      </c>
      <c r="C211" s="205">
        <v>714</v>
      </c>
      <c r="D211" s="62">
        <v>117</v>
      </c>
      <c r="E211" s="258">
        <v>266</v>
      </c>
      <c r="F211" s="62">
        <v>231</v>
      </c>
      <c r="G211" s="279">
        <v>32</v>
      </c>
    </row>
    <row r="212" spans="1:7" s="70" customFormat="1" ht="11.45" customHeight="1">
      <c r="A212" s="1148" t="s">
        <v>85</v>
      </c>
      <c r="B212" s="278">
        <v>2002</v>
      </c>
      <c r="C212" s="205">
        <v>765</v>
      </c>
      <c r="D212" s="62">
        <v>116</v>
      </c>
      <c r="E212" s="258">
        <v>294</v>
      </c>
      <c r="F212" s="62">
        <v>213</v>
      </c>
      <c r="G212" s="279">
        <v>40</v>
      </c>
    </row>
    <row r="213" spans="1:7" s="70" customFormat="1" ht="11.45" customHeight="1">
      <c r="A213" s="259"/>
      <c r="B213" s="278">
        <v>2003</v>
      </c>
      <c r="C213" s="205">
        <v>856</v>
      </c>
      <c r="D213" s="62">
        <v>127</v>
      </c>
      <c r="E213" s="258">
        <v>310</v>
      </c>
      <c r="F213" s="62">
        <v>204</v>
      </c>
      <c r="G213" s="279">
        <v>51</v>
      </c>
    </row>
    <row r="214" spans="1:7" s="70" customFormat="1" ht="9" customHeight="1">
      <c r="A214" s="259"/>
      <c r="B214" s="278">
        <v>2004</v>
      </c>
      <c r="C214" s="205">
        <v>838</v>
      </c>
      <c r="D214" s="62">
        <v>115</v>
      </c>
      <c r="E214" s="258">
        <v>276</v>
      </c>
      <c r="F214" s="62">
        <v>238</v>
      </c>
      <c r="G214" s="279">
        <v>42</v>
      </c>
    </row>
    <row r="215" spans="1:7" s="70" customFormat="1" ht="11.45" customHeight="1">
      <c r="A215" s="259"/>
      <c r="B215" s="278">
        <v>2005</v>
      </c>
      <c r="C215" s="205">
        <v>856</v>
      </c>
      <c r="D215" s="62">
        <v>110</v>
      </c>
      <c r="E215" s="258">
        <v>296</v>
      </c>
      <c r="F215" s="62">
        <v>264</v>
      </c>
      <c r="G215" s="279">
        <v>27</v>
      </c>
    </row>
    <row r="216" spans="1:7" s="70" customFormat="1" ht="11.45" customHeight="1">
      <c r="A216" s="259"/>
      <c r="B216" s="278">
        <v>2006</v>
      </c>
      <c r="C216" s="205">
        <v>845</v>
      </c>
      <c r="D216" s="62">
        <v>127</v>
      </c>
      <c r="E216" s="258">
        <v>284</v>
      </c>
      <c r="F216" s="62">
        <v>270</v>
      </c>
      <c r="G216" s="279">
        <v>41</v>
      </c>
    </row>
    <row r="217" spans="1:7" s="70" customFormat="1" ht="11.45" customHeight="1">
      <c r="A217" s="259"/>
      <c r="B217" s="278">
        <v>2007</v>
      </c>
      <c r="C217" s="205">
        <v>785</v>
      </c>
      <c r="D217" s="62">
        <v>145</v>
      </c>
      <c r="E217" s="258">
        <v>263</v>
      </c>
      <c r="F217" s="1150" t="s">
        <v>195</v>
      </c>
      <c r="G217" s="527" t="s">
        <v>195</v>
      </c>
    </row>
    <row r="218" spans="1:7" s="70" customFormat="1" ht="11.45" customHeight="1">
      <c r="A218" s="259"/>
      <c r="B218" s="228">
        <v>2008</v>
      </c>
      <c r="C218" s="205">
        <v>862</v>
      </c>
      <c r="D218" s="62">
        <v>163</v>
      </c>
      <c r="E218" s="258">
        <v>279</v>
      </c>
      <c r="F218" s="62">
        <v>193</v>
      </c>
      <c r="G218" s="527" t="s">
        <v>195</v>
      </c>
    </row>
    <row r="219" spans="1:7" s="70" customFormat="1" ht="11.45" customHeight="1">
      <c r="A219" s="259"/>
      <c r="B219" s="228">
        <v>2009</v>
      </c>
      <c r="C219" s="205">
        <v>826</v>
      </c>
      <c r="D219" s="62">
        <v>154</v>
      </c>
      <c r="E219" s="258">
        <v>270</v>
      </c>
      <c r="F219" s="62">
        <v>193</v>
      </c>
      <c r="G219" s="527" t="s">
        <v>195</v>
      </c>
    </row>
    <row r="220" spans="1:7" s="70" customFormat="1" ht="11.45" customHeight="1">
      <c r="A220" s="259"/>
      <c r="B220" s="228">
        <v>2010</v>
      </c>
      <c r="C220" s="205">
        <v>516</v>
      </c>
      <c r="D220" s="62">
        <v>105</v>
      </c>
      <c r="E220" s="258">
        <v>42</v>
      </c>
      <c r="F220" s="62">
        <v>255</v>
      </c>
      <c r="G220" s="279">
        <v>39</v>
      </c>
    </row>
    <row r="221" spans="1:7" s="70" customFormat="1" ht="11.45" customHeight="1">
      <c r="A221" s="259"/>
      <c r="B221" s="228">
        <v>2011</v>
      </c>
      <c r="C221" s="205">
        <v>240</v>
      </c>
      <c r="D221" s="62">
        <v>57</v>
      </c>
      <c r="E221" s="258">
        <v>0</v>
      </c>
      <c r="F221" s="62">
        <v>195</v>
      </c>
      <c r="G221" s="279">
        <v>36</v>
      </c>
    </row>
    <row r="222" spans="1:7" s="70" customFormat="1" ht="11.45" customHeight="1">
      <c r="A222" s="259"/>
      <c r="B222" s="228">
        <v>2012</v>
      </c>
      <c r="C222" s="205">
        <v>18</v>
      </c>
      <c r="D222" s="62">
        <v>6</v>
      </c>
      <c r="E222" s="258">
        <v>0</v>
      </c>
      <c r="F222" s="62">
        <v>180</v>
      </c>
      <c r="G222" s="279">
        <v>21</v>
      </c>
    </row>
    <row r="223" spans="1:7" s="70" customFormat="1" ht="11.45" customHeight="1">
      <c r="A223" s="259"/>
      <c r="B223" s="228">
        <v>2013</v>
      </c>
      <c r="C223" s="205">
        <v>18</v>
      </c>
      <c r="D223" s="62">
        <v>3</v>
      </c>
      <c r="E223" s="258">
        <v>3</v>
      </c>
      <c r="F223" s="62">
        <v>18</v>
      </c>
      <c r="G223" s="279">
        <v>51</v>
      </c>
    </row>
    <row r="224" spans="1:7" s="70" customFormat="1" ht="11.45" customHeight="1">
      <c r="A224" s="259"/>
      <c r="B224" s="228">
        <v>2014</v>
      </c>
      <c r="C224" s="205">
        <v>12</v>
      </c>
      <c r="D224" s="62">
        <v>0</v>
      </c>
      <c r="E224" s="258">
        <v>0</v>
      </c>
      <c r="F224" s="62">
        <v>3</v>
      </c>
      <c r="G224" s="279">
        <v>60</v>
      </c>
    </row>
    <row r="225" spans="1:7" s="70" customFormat="1" ht="11.45" customHeight="1">
      <c r="A225" s="259"/>
      <c r="B225" s="1324">
        <v>2015</v>
      </c>
      <c r="C225" s="1286">
        <v>9</v>
      </c>
      <c r="D225" s="1287">
        <v>3</v>
      </c>
      <c r="E225" s="1288">
        <v>0</v>
      </c>
      <c r="F225" s="1287">
        <v>9</v>
      </c>
      <c r="G225" s="1289">
        <v>45</v>
      </c>
    </row>
    <row r="226" spans="1:7" s="70" customFormat="1" ht="2.4500000000000002" customHeight="1">
      <c r="A226" s="259"/>
      <c r="B226" s="228"/>
      <c r="C226" s="205"/>
      <c r="D226" s="62"/>
      <c r="E226" s="258"/>
      <c r="F226" s="62"/>
      <c r="G226" s="279"/>
    </row>
    <row r="227" spans="1:7" s="70" customFormat="1" ht="2.4500000000000002" customHeight="1">
      <c r="A227" s="1385"/>
      <c r="B227" s="1386"/>
      <c r="C227" s="1381"/>
      <c r="D227" s="1382"/>
      <c r="E227" s="1383"/>
      <c r="F227" s="1382"/>
      <c r="G227" s="1384"/>
    </row>
    <row r="228" spans="1:7" s="70" customFormat="1" ht="11.45" customHeight="1">
      <c r="A228" s="1149" t="s">
        <v>327</v>
      </c>
      <c r="B228" s="228">
        <v>2013</v>
      </c>
      <c r="C228" s="302">
        <v>15</v>
      </c>
      <c r="D228" s="303">
        <v>10</v>
      </c>
      <c r="E228" s="258">
        <v>18</v>
      </c>
      <c r="F228" s="1150">
        <v>0</v>
      </c>
      <c r="G228" s="527">
        <v>0</v>
      </c>
    </row>
    <row r="229" spans="1:7" s="70" customFormat="1" ht="11.45" customHeight="1">
      <c r="A229" s="1149" t="s">
        <v>328</v>
      </c>
      <c r="B229" s="228">
        <v>2014</v>
      </c>
      <c r="C229" s="302">
        <v>48</v>
      </c>
      <c r="D229" s="303">
        <v>30</v>
      </c>
      <c r="E229" s="732">
        <v>30</v>
      </c>
      <c r="F229" s="1150">
        <v>0</v>
      </c>
      <c r="G229" s="527">
        <v>0</v>
      </c>
    </row>
    <row r="230" spans="1:7" s="70" customFormat="1" ht="11.45" customHeight="1">
      <c r="A230" s="1149"/>
      <c r="B230" s="1324">
        <v>2015</v>
      </c>
      <c r="C230" s="1364">
        <v>81</v>
      </c>
      <c r="D230" s="1365">
        <v>51</v>
      </c>
      <c r="E230" s="1366">
        <v>36</v>
      </c>
      <c r="F230" s="1150">
        <v>3</v>
      </c>
      <c r="G230" s="527">
        <v>0</v>
      </c>
    </row>
    <row r="231" spans="1:7" s="70" customFormat="1" ht="3.6" customHeight="1" thickBot="1">
      <c r="A231" s="281"/>
      <c r="B231" s="301"/>
      <c r="C231" s="231"/>
      <c r="D231" s="232"/>
      <c r="E231" s="1155"/>
      <c r="F231" s="232"/>
      <c r="G231" s="233"/>
    </row>
    <row r="232" spans="1:7" s="70" customFormat="1" ht="6" customHeight="1">
      <c r="A232" s="179"/>
      <c r="B232" s="226"/>
      <c r="C232" s="225"/>
      <c r="D232" s="225"/>
      <c r="E232" s="62"/>
      <c r="F232" s="225"/>
      <c r="G232" s="225"/>
    </row>
    <row r="233" spans="1:7" s="70" customFormat="1" ht="12">
      <c r="A233" s="2071" t="s">
        <v>209</v>
      </c>
      <c r="B233" s="2071"/>
      <c r="C233" s="2071"/>
      <c r="D233" s="2071"/>
      <c r="E233" s="2071"/>
      <c r="F233" s="2071"/>
      <c r="G233" s="2071"/>
    </row>
    <row r="234" spans="1:7" s="70" customFormat="1" ht="5.25" customHeight="1">
      <c r="A234" s="162"/>
      <c r="B234" s="226"/>
      <c r="C234" s="225"/>
      <c r="D234" s="225"/>
      <c r="E234" s="225"/>
      <c r="F234" s="225"/>
      <c r="G234" s="225"/>
    </row>
    <row r="235" spans="1:7" s="70" customFormat="1" ht="12">
      <c r="A235" s="2081" t="s">
        <v>114</v>
      </c>
      <c r="B235" s="2081"/>
      <c r="C235" s="2081"/>
      <c r="D235" s="2081"/>
      <c r="E235" s="2081"/>
      <c r="F235" s="2081"/>
      <c r="G235" s="2081"/>
    </row>
    <row r="236" spans="1:7" s="70" customFormat="1" ht="3.6" customHeight="1" thickBot="1">
      <c r="A236" s="322"/>
      <c r="B236" s="323"/>
      <c r="C236" s="324"/>
      <c r="D236" s="324"/>
      <c r="E236" s="324"/>
      <c r="F236" s="324"/>
      <c r="G236" s="324"/>
    </row>
    <row r="237" spans="1:7" s="70" customFormat="1" ht="13.5" customHeight="1">
      <c r="A237" s="2072" t="s">
        <v>72</v>
      </c>
      <c r="B237" s="2074" t="s">
        <v>120</v>
      </c>
      <c r="C237" s="2076" t="s">
        <v>221</v>
      </c>
      <c r="D237" s="2077"/>
      <c r="E237" s="2078"/>
      <c r="F237" s="703" t="s">
        <v>222</v>
      </c>
      <c r="G237" s="291"/>
    </row>
    <row r="238" spans="1:7" s="70" customFormat="1" ht="11.25">
      <c r="A238" s="2072"/>
      <c r="B238" s="2074"/>
      <c r="C238" s="292" t="s">
        <v>124</v>
      </c>
      <c r="D238" s="293"/>
      <c r="E238" s="264" t="s">
        <v>121</v>
      </c>
      <c r="F238" s="2068" t="s">
        <v>325</v>
      </c>
      <c r="G238" s="2065" t="s">
        <v>326</v>
      </c>
    </row>
    <row r="239" spans="1:7" s="70" customFormat="1" ht="13.5" customHeight="1">
      <c r="A239" s="2072"/>
      <c r="B239" s="2074"/>
      <c r="C239" s="2079" t="s">
        <v>94</v>
      </c>
      <c r="D239" s="294" t="s">
        <v>5</v>
      </c>
      <c r="E239" s="213" t="s">
        <v>122</v>
      </c>
      <c r="F239" s="2069"/>
      <c r="G239" s="2066"/>
    </row>
    <row r="240" spans="1:7" s="70" customFormat="1" ht="11.25">
      <c r="A240" s="2073"/>
      <c r="B240" s="2075"/>
      <c r="C240" s="2080"/>
      <c r="D240" s="295" t="s">
        <v>93</v>
      </c>
      <c r="E240" s="214" t="s">
        <v>123</v>
      </c>
      <c r="F240" s="2070"/>
      <c r="G240" s="2067"/>
    </row>
    <row r="241" spans="1:7" s="70" customFormat="1" ht="3.6" customHeight="1">
      <c r="A241" s="296"/>
      <c r="B241" s="278"/>
      <c r="C241" s="298"/>
      <c r="D241" s="62"/>
      <c r="E241" s="299"/>
      <c r="F241" s="62"/>
      <c r="G241" s="279"/>
    </row>
    <row r="242" spans="1:7" s="70" customFormat="1" ht="11.45" customHeight="1">
      <c r="A242" s="1148" t="s">
        <v>130</v>
      </c>
      <c r="B242" s="278">
        <v>2001</v>
      </c>
      <c r="C242" s="205">
        <v>40</v>
      </c>
      <c r="D242" s="62">
        <v>26</v>
      </c>
      <c r="E242" s="258">
        <v>12</v>
      </c>
      <c r="F242" s="62">
        <v>10</v>
      </c>
      <c r="G242" s="279">
        <v>0</v>
      </c>
    </row>
    <row r="243" spans="1:7" s="70" customFormat="1" ht="11.45" customHeight="1">
      <c r="A243" s="1148" t="s">
        <v>131</v>
      </c>
      <c r="B243" s="278">
        <v>2002</v>
      </c>
      <c r="C243" s="205">
        <v>34</v>
      </c>
      <c r="D243" s="62">
        <v>20</v>
      </c>
      <c r="E243" s="258">
        <v>14</v>
      </c>
      <c r="F243" s="62">
        <v>13</v>
      </c>
      <c r="G243" s="279">
        <v>0</v>
      </c>
    </row>
    <row r="244" spans="1:7" s="70" customFormat="1" ht="11.45" customHeight="1">
      <c r="A244" s="1148" t="s">
        <v>86</v>
      </c>
      <c r="B244" s="278">
        <v>2003</v>
      </c>
      <c r="C244" s="205">
        <v>33</v>
      </c>
      <c r="D244" s="62">
        <v>22</v>
      </c>
      <c r="E244" s="258">
        <v>12</v>
      </c>
      <c r="F244" s="62">
        <v>4</v>
      </c>
      <c r="G244" s="279">
        <v>0</v>
      </c>
    </row>
    <row r="245" spans="1:7" s="70" customFormat="1" ht="11.45" customHeight="1">
      <c r="A245" s="259"/>
      <c r="B245" s="278">
        <v>2004</v>
      </c>
      <c r="C245" s="205">
        <v>34</v>
      </c>
      <c r="D245" s="62">
        <v>23</v>
      </c>
      <c r="E245" s="258">
        <v>11</v>
      </c>
      <c r="F245" s="62">
        <v>10</v>
      </c>
      <c r="G245" s="279">
        <v>0</v>
      </c>
    </row>
    <row r="246" spans="1:7" s="70" customFormat="1" ht="11.45" customHeight="1">
      <c r="A246" s="259"/>
      <c r="B246" s="278">
        <v>2005</v>
      </c>
      <c r="C246" s="205">
        <v>26</v>
      </c>
      <c r="D246" s="62">
        <v>17</v>
      </c>
      <c r="E246" s="258">
        <v>9</v>
      </c>
      <c r="F246" s="62">
        <v>8</v>
      </c>
      <c r="G246" s="279">
        <v>0</v>
      </c>
    </row>
    <row r="247" spans="1:7" s="70" customFormat="1" ht="11.45" customHeight="1">
      <c r="A247" s="259"/>
      <c r="B247" s="278">
        <v>2006</v>
      </c>
      <c r="C247" s="205">
        <v>28</v>
      </c>
      <c r="D247" s="62">
        <v>17</v>
      </c>
      <c r="E247" s="258">
        <v>8</v>
      </c>
      <c r="F247" s="62">
        <v>11</v>
      </c>
      <c r="G247" s="279">
        <v>0</v>
      </c>
    </row>
    <row r="248" spans="1:7" s="70" customFormat="1" ht="11.45" customHeight="1">
      <c r="A248" s="259"/>
      <c r="B248" s="278">
        <v>2007</v>
      </c>
      <c r="C248" s="205">
        <v>25</v>
      </c>
      <c r="D248" s="62">
        <v>15</v>
      </c>
      <c r="E248" s="258">
        <v>8</v>
      </c>
      <c r="F248" s="1150" t="s">
        <v>195</v>
      </c>
      <c r="G248" s="279">
        <v>0</v>
      </c>
    </row>
    <row r="249" spans="1:7" s="70" customFormat="1" ht="11.45" customHeight="1">
      <c r="A249" s="262"/>
      <c r="B249" s="278">
        <v>2008</v>
      </c>
      <c r="C249" s="205">
        <v>26</v>
      </c>
      <c r="D249" s="62">
        <v>14</v>
      </c>
      <c r="E249" s="258">
        <v>10</v>
      </c>
      <c r="F249" s="62">
        <v>0</v>
      </c>
      <c r="G249" s="279">
        <v>0</v>
      </c>
    </row>
    <row r="250" spans="1:7" s="70" customFormat="1" ht="11.45" customHeight="1">
      <c r="A250" s="262"/>
      <c r="B250" s="278">
        <v>2009</v>
      </c>
      <c r="C250" s="205">
        <v>27</v>
      </c>
      <c r="D250" s="62">
        <v>13</v>
      </c>
      <c r="E250" s="258">
        <v>9</v>
      </c>
      <c r="F250" s="62">
        <v>0</v>
      </c>
      <c r="G250" s="279">
        <v>0</v>
      </c>
    </row>
    <row r="251" spans="1:7" s="70" customFormat="1" ht="11.45" customHeight="1">
      <c r="A251" s="262"/>
      <c r="B251" s="278">
        <v>2010</v>
      </c>
      <c r="C251" s="205">
        <v>27</v>
      </c>
      <c r="D251" s="62">
        <v>15</v>
      </c>
      <c r="E251" s="258">
        <v>9</v>
      </c>
      <c r="F251" s="62">
        <v>6</v>
      </c>
      <c r="G251" s="279">
        <v>0</v>
      </c>
    </row>
    <row r="252" spans="1:7" s="70" customFormat="1" ht="11.45" customHeight="1">
      <c r="A252" s="262"/>
      <c r="B252" s="278">
        <v>2011</v>
      </c>
      <c r="C252" s="205">
        <v>27</v>
      </c>
      <c r="D252" s="62">
        <v>15</v>
      </c>
      <c r="E252" s="258">
        <v>12</v>
      </c>
      <c r="F252" s="62">
        <v>9</v>
      </c>
      <c r="G252" s="279">
        <v>0</v>
      </c>
    </row>
    <row r="253" spans="1:7" s="70" customFormat="1" ht="11.45" customHeight="1">
      <c r="A253" s="262"/>
      <c r="B253" s="278">
        <v>2012</v>
      </c>
      <c r="C253" s="205">
        <v>27</v>
      </c>
      <c r="D253" s="62">
        <v>15</v>
      </c>
      <c r="E253" s="258">
        <v>12</v>
      </c>
      <c r="F253" s="62">
        <v>9</v>
      </c>
      <c r="G253" s="279">
        <v>0</v>
      </c>
    </row>
    <row r="254" spans="1:7" s="70" customFormat="1" ht="11.45" customHeight="1">
      <c r="A254" s="1020"/>
      <c r="B254" s="278">
        <v>2013</v>
      </c>
      <c r="C254" s="205">
        <v>21</v>
      </c>
      <c r="D254" s="62">
        <v>9</v>
      </c>
      <c r="E254" s="258">
        <v>3</v>
      </c>
      <c r="F254" s="62">
        <v>12</v>
      </c>
      <c r="G254" s="279">
        <v>0</v>
      </c>
    </row>
    <row r="255" spans="1:7" s="70" customFormat="1" ht="11.45" customHeight="1">
      <c r="A255" s="262"/>
      <c r="B255" s="278">
        <v>2014</v>
      </c>
      <c r="C255" s="205">
        <v>9</v>
      </c>
      <c r="D255" s="62">
        <v>3</v>
      </c>
      <c r="E255" s="258">
        <v>0</v>
      </c>
      <c r="F255" s="62">
        <v>6</v>
      </c>
      <c r="G255" s="279">
        <v>0</v>
      </c>
    </row>
    <row r="256" spans="1:7" s="70" customFormat="1" ht="11.45" customHeight="1">
      <c r="A256" s="1340"/>
      <c r="B256" s="1290">
        <v>2015</v>
      </c>
      <c r="C256" s="1352" t="s">
        <v>195</v>
      </c>
      <c r="D256" s="1150" t="s">
        <v>195</v>
      </c>
      <c r="E256" s="1351" t="s">
        <v>195</v>
      </c>
      <c r="F256" s="1287">
        <v>12</v>
      </c>
      <c r="G256" s="1289">
        <v>0</v>
      </c>
    </row>
    <row r="257" spans="1:7" s="70" customFormat="1" ht="3.6" customHeight="1">
      <c r="A257" s="1354"/>
      <c r="B257" s="297"/>
      <c r="C257" s="205"/>
      <c r="D257" s="62"/>
      <c r="E257" s="258"/>
      <c r="F257" s="62"/>
      <c r="G257" s="279"/>
    </row>
    <row r="258" spans="1:7" s="70" customFormat="1" ht="3.6" customHeight="1">
      <c r="A258" s="1379"/>
      <c r="B258" s="1380"/>
      <c r="C258" s="1381"/>
      <c r="D258" s="1382"/>
      <c r="E258" s="1383"/>
      <c r="F258" s="1382"/>
      <c r="G258" s="1384"/>
    </row>
    <row r="259" spans="1:7" s="70" customFormat="1" ht="11.25" customHeight="1">
      <c r="A259" s="1148" t="s">
        <v>199</v>
      </c>
      <c r="B259" s="278">
        <v>2011</v>
      </c>
      <c r="C259" s="205">
        <v>462</v>
      </c>
      <c r="D259" s="62">
        <v>105</v>
      </c>
      <c r="E259" s="258">
        <v>252</v>
      </c>
      <c r="F259" s="62">
        <v>0</v>
      </c>
      <c r="G259" s="279">
        <v>0</v>
      </c>
    </row>
    <row r="260" spans="1:7" s="70" customFormat="1" ht="11.25" customHeight="1">
      <c r="A260" s="1148" t="s">
        <v>200</v>
      </c>
      <c r="B260" s="278">
        <v>2012</v>
      </c>
      <c r="C260" s="205">
        <v>681</v>
      </c>
      <c r="D260" s="62">
        <v>153</v>
      </c>
      <c r="E260" s="258">
        <v>246</v>
      </c>
      <c r="F260" s="62">
        <v>27</v>
      </c>
      <c r="G260" s="279">
        <v>0</v>
      </c>
    </row>
    <row r="261" spans="1:7" s="70" customFormat="1" ht="11.25" customHeight="1">
      <c r="A261" s="259"/>
      <c r="B261" s="278">
        <v>2013</v>
      </c>
      <c r="C261" s="205">
        <v>663</v>
      </c>
      <c r="D261" s="62">
        <v>162</v>
      </c>
      <c r="E261" s="258">
        <v>237</v>
      </c>
      <c r="F261" s="62">
        <v>195</v>
      </c>
      <c r="G261" s="279">
        <v>0</v>
      </c>
    </row>
    <row r="262" spans="1:7" s="70" customFormat="1" ht="11.25" customHeight="1">
      <c r="A262" s="259"/>
      <c r="B262" s="278">
        <v>2014</v>
      </c>
      <c r="C262" s="205">
        <v>711</v>
      </c>
      <c r="D262" s="62">
        <v>174</v>
      </c>
      <c r="E262" s="258">
        <v>282</v>
      </c>
      <c r="F262" s="62">
        <v>213</v>
      </c>
      <c r="G262" s="279">
        <v>0</v>
      </c>
    </row>
    <row r="263" spans="1:7" s="70" customFormat="1" ht="11.25" customHeight="1">
      <c r="A263" s="259"/>
      <c r="B263" s="1290">
        <v>2015</v>
      </c>
      <c r="C263" s="1286">
        <v>747</v>
      </c>
      <c r="D263" s="1287">
        <v>174</v>
      </c>
      <c r="E263" s="1288">
        <v>285</v>
      </c>
      <c r="F263" s="1287">
        <v>216</v>
      </c>
      <c r="G263" s="1289">
        <v>0</v>
      </c>
    </row>
    <row r="264" spans="1:7" s="70" customFormat="1" ht="3.6" customHeight="1">
      <c r="A264" s="1354"/>
      <c r="B264" s="297"/>
      <c r="C264" s="205"/>
      <c r="D264" s="62"/>
      <c r="E264" s="258"/>
      <c r="F264" s="62"/>
      <c r="G264" s="279"/>
    </row>
    <row r="265" spans="1:7" s="70" customFormat="1" ht="3.6" customHeight="1">
      <c r="A265" s="1379"/>
      <c r="B265" s="1380"/>
      <c r="C265" s="1381"/>
      <c r="D265" s="1382"/>
      <c r="E265" s="1383"/>
      <c r="F265" s="1382"/>
      <c r="G265" s="1384"/>
    </row>
    <row r="266" spans="1:7" s="70" customFormat="1" ht="11.45" customHeight="1">
      <c r="A266" s="1148" t="s">
        <v>87</v>
      </c>
      <c r="B266" s="278">
        <v>2001</v>
      </c>
      <c r="C266" s="205">
        <v>490</v>
      </c>
      <c r="D266" s="62">
        <v>431</v>
      </c>
      <c r="E266" s="258">
        <v>173</v>
      </c>
      <c r="F266" s="62">
        <v>187</v>
      </c>
      <c r="G266" s="279">
        <v>10</v>
      </c>
    </row>
    <row r="267" spans="1:7" s="70" customFormat="1" ht="11.45" customHeight="1">
      <c r="A267" s="1148" t="s">
        <v>86</v>
      </c>
      <c r="B267" s="278">
        <v>2002</v>
      </c>
      <c r="C267" s="205">
        <v>505</v>
      </c>
      <c r="D267" s="62">
        <v>419</v>
      </c>
      <c r="E267" s="258">
        <v>179</v>
      </c>
      <c r="F267" s="62">
        <v>159</v>
      </c>
      <c r="G267" s="279">
        <v>15</v>
      </c>
    </row>
    <row r="268" spans="1:7" s="70" customFormat="1" ht="11.45" customHeight="1">
      <c r="A268" s="259"/>
      <c r="B268" s="278">
        <v>2003</v>
      </c>
      <c r="C268" s="205">
        <v>517</v>
      </c>
      <c r="D268" s="62">
        <v>440</v>
      </c>
      <c r="E268" s="258">
        <v>180</v>
      </c>
      <c r="F268" s="62">
        <v>153</v>
      </c>
      <c r="G268" s="279">
        <v>18</v>
      </c>
    </row>
    <row r="269" spans="1:7" s="70" customFormat="1" ht="11.45" customHeight="1">
      <c r="A269" s="259"/>
      <c r="B269" s="278">
        <v>2004</v>
      </c>
      <c r="C269" s="205">
        <v>508</v>
      </c>
      <c r="D269" s="62">
        <v>425</v>
      </c>
      <c r="E269" s="258">
        <v>177</v>
      </c>
      <c r="F269" s="62">
        <v>159</v>
      </c>
      <c r="G269" s="279">
        <v>21</v>
      </c>
    </row>
    <row r="270" spans="1:7" s="70" customFormat="1" ht="11.45" customHeight="1">
      <c r="A270" s="259"/>
      <c r="B270" s="278">
        <v>2005</v>
      </c>
      <c r="C270" s="205">
        <v>492</v>
      </c>
      <c r="D270" s="62">
        <v>426</v>
      </c>
      <c r="E270" s="258">
        <v>158</v>
      </c>
      <c r="F270" s="62">
        <v>172</v>
      </c>
      <c r="G270" s="279">
        <v>12</v>
      </c>
    </row>
    <row r="271" spans="1:7" s="70" customFormat="1" ht="11.45" customHeight="1">
      <c r="A271" s="259"/>
      <c r="B271" s="278">
        <v>2006</v>
      </c>
      <c r="C271" s="205">
        <v>496</v>
      </c>
      <c r="D271" s="62">
        <v>419</v>
      </c>
      <c r="E271" s="258">
        <v>171</v>
      </c>
      <c r="F271" s="62">
        <v>161</v>
      </c>
      <c r="G271" s="279">
        <v>14</v>
      </c>
    </row>
    <row r="272" spans="1:7" s="70" customFormat="1" ht="11.45" customHeight="1">
      <c r="A272" s="259"/>
      <c r="B272" s="278">
        <v>2007</v>
      </c>
      <c r="C272" s="205">
        <v>419</v>
      </c>
      <c r="D272" s="62">
        <v>356</v>
      </c>
      <c r="E272" s="258">
        <v>146</v>
      </c>
      <c r="F272" s="1150" t="s">
        <v>195</v>
      </c>
      <c r="G272" s="527" t="s">
        <v>195</v>
      </c>
    </row>
    <row r="273" spans="1:7" s="70" customFormat="1" ht="11.45" customHeight="1">
      <c r="A273" s="238"/>
      <c r="B273" s="228">
        <v>2008</v>
      </c>
      <c r="C273" s="205">
        <v>506</v>
      </c>
      <c r="D273" s="62">
        <v>411</v>
      </c>
      <c r="E273" s="258">
        <v>176</v>
      </c>
      <c r="F273" s="62">
        <v>120</v>
      </c>
      <c r="G273" s="527" t="s">
        <v>195</v>
      </c>
    </row>
    <row r="274" spans="1:7" s="70" customFormat="1" ht="11.45" customHeight="1">
      <c r="A274" s="238"/>
      <c r="B274" s="228">
        <v>2009</v>
      </c>
      <c r="C274" s="205">
        <v>527</v>
      </c>
      <c r="D274" s="62">
        <v>429</v>
      </c>
      <c r="E274" s="258">
        <v>177</v>
      </c>
      <c r="F274" s="62">
        <v>65</v>
      </c>
      <c r="G274" s="527" t="s">
        <v>195</v>
      </c>
    </row>
    <row r="275" spans="1:7" s="70" customFormat="1" ht="11.45" customHeight="1">
      <c r="A275" s="238"/>
      <c r="B275" s="228">
        <v>2010</v>
      </c>
      <c r="C275" s="205">
        <v>465</v>
      </c>
      <c r="D275" s="62">
        <v>390</v>
      </c>
      <c r="E275" s="258">
        <v>156</v>
      </c>
      <c r="F275" s="62">
        <v>147</v>
      </c>
      <c r="G275" s="279">
        <v>18</v>
      </c>
    </row>
    <row r="276" spans="1:7" s="70" customFormat="1" ht="11.45" customHeight="1">
      <c r="A276" s="238"/>
      <c r="B276" s="228">
        <v>2011</v>
      </c>
      <c r="C276" s="205">
        <v>471</v>
      </c>
      <c r="D276" s="62">
        <v>384</v>
      </c>
      <c r="E276" s="258">
        <v>156</v>
      </c>
      <c r="F276" s="62">
        <v>141</v>
      </c>
      <c r="G276" s="279">
        <v>24</v>
      </c>
    </row>
    <row r="277" spans="1:7" s="70" customFormat="1" ht="11.45" customHeight="1">
      <c r="A277" s="238"/>
      <c r="B277" s="228">
        <v>2012</v>
      </c>
      <c r="C277" s="205">
        <v>483</v>
      </c>
      <c r="D277" s="62">
        <v>387</v>
      </c>
      <c r="E277" s="258">
        <v>177</v>
      </c>
      <c r="F277" s="62">
        <v>156</v>
      </c>
      <c r="G277" s="279">
        <v>24</v>
      </c>
    </row>
    <row r="278" spans="1:7" s="70" customFormat="1" ht="11.45" customHeight="1">
      <c r="A278" s="238"/>
      <c r="B278" s="228">
        <v>2013</v>
      </c>
      <c r="C278" s="205">
        <v>489</v>
      </c>
      <c r="D278" s="62">
        <v>384</v>
      </c>
      <c r="E278" s="258">
        <v>171</v>
      </c>
      <c r="F278" s="62">
        <v>159</v>
      </c>
      <c r="G278" s="279">
        <v>21</v>
      </c>
    </row>
    <row r="279" spans="1:7" s="70" customFormat="1" ht="11.45" customHeight="1">
      <c r="A279" s="238"/>
      <c r="B279" s="228">
        <v>2014</v>
      </c>
      <c r="C279" s="205">
        <v>504</v>
      </c>
      <c r="D279" s="62">
        <v>396</v>
      </c>
      <c r="E279" s="258">
        <v>171</v>
      </c>
      <c r="F279" s="62">
        <v>123</v>
      </c>
      <c r="G279" s="279">
        <v>15</v>
      </c>
    </row>
    <row r="280" spans="1:7" s="70" customFormat="1" ht="11.45" customHeight="1">
      <c r="A280" s="238"/>
      <c r="B280" s="1324">
        <v>2015</v>
      </c>
      <c r="C280" s="1286">
        <v>492</v>
      </c>
      <c r="D280" s="1287">
        <v>384</v>
      </c>
      <c r="E280" s="1288">
        <v>162</v>
      </c>
      <c r="F280" s="1287">
        <v>159</v>
      </c>
      <c r="G280" s="1289">
        <v>24</v>
      </c>
    </row>
    <row r="281" spans="1:7" s="70" customFormat="1" ht="3.6" customHeight="1">
      <c r="A281" s="1373"/>
      <c r="B281" s="1374"/>
      <c r="C281" s="1375"/>
      <c r="D281" s="1376"/>
      <c r="E281" s="1377"/>
      <c r="F281" s="1376"/>
      <c r="G281" s="1378"/>
    </row>
    <row r="282" spans="1:7" s="70" customFormat="1" ht="3.6" customHeight="1">
      <c r="A282" s="238"/>
      <c r="B282" s="8"/>
      <c r="C282" s="302"/>
      <c r="D282" s="303"/>
      <c r="E282" s="732"/>
      <c r="F282" s="303"/>
      <c r="G282" s="304"/>
    </row>
    <row r="283" spans="1:7" s="70" customFormat="1" ht="11.45" customHeight="1">
      <c r="A283" s="1148" t="s">
        <v>74</v>
      </c>
      <c r="B283" s="278">
        <v>2001</v>
      </c>
      <c r="C283" s="205">
        <v>361</v>
      </c>
      <c r="D283" s="62">
        <v>360</v>
      </c>
      <c r="E283" s="258">
        <v>186</v>
      </c>
      <c r="F283" s="62">
        <v>563</v>
      </c>
      <c r="G283" s="279">
        <v>112</v>
      </c>
    </row>
    <row r="284" spans="1:7" s="70" customFormat="1" ht="11.45" customHeight="1">
      <c r="A284" s="1148" t="s">
        <v>75</v>
      </c>
      <c r="B284" s="278">
        <v>2002</v>
      </c>
      <c r="C284" s="205">
        <v>281</v>
      </c>
      <c r="D284" s="62">
        <v>277</v>
      </c>
      <c r="E284" s="258">
        <v>173</v>
      </c>
      <c r="F284" s="62">
        <v>476</v>
      </c>
      <c r="G284" s="279">
        <v>117</v>
      </c>
    </row>
    <row r="285" spans="1:7" s="70" customFormat="1" ht="11.45" customHeight="1">
      <c r="A285" s="259"/>
      <c r="B285" s="278">
        <v>2003</v>
      </c>
      <c r="C285" s="205">
        <v>340</v>
      </c>
      <c r="D285" s="62">
        <v>340</v>
      </c>
      <c r="E285" s="258">
        <v>183</v>
      </c>
      <c r="F285" s="62">
        <v>395</v>
      </c>
      <c r="G285" s="279">
        <v>79</v>
      </c>
    </row>
    <row r="286" spans="1:7" s="70" customFormat="1" ht="11.45" customHeight="1">
      <c r="A286" s="259"/>
      <c r="B286" s="278">
        <v>2004</v>
      </c>
      <c r="C286" s="205">
        <v>336</v>
      </c>
      <c r="D286" s="62">
        <v>336</v>
      </c>
      <c r="E286" s="258">
        <v>175</v>
      </c>
      <c r="F286" s="62">
        <v>541</v>
      </c>
      <c r="G286" s="279">
        <v>90</v>
      </c>
    </row>
    <row r="287" spans="1:7" s="70" customFormat="1" ht="11.45" customHeight="1">
      <c r="A287" s="259"/>
      <c r="B287" s="278">
        <v>2005</v>
      </c>
      <c r="C287" s="205">
        <v>342</v>
      </c>
      <c r="D287" s="62">
        <v>341</v>
      </c>
      <c r="E287" s="258">
        <v>190</v>
      </c>
      <c r="F287" s="62">
        <v>520</v>
      </c>
      <c r="G287" s="279">
        <v>83</v>
      </c>
    </row>
    <row r="288" spans="1:7" s="70" customFormat="1" ht="11.45" customHeight="1">
      <c r="A288" s="259"/>
      <c r="B288" s="278">
        <v>2006</v>
      </c>
      <c r="C288" s="205">
        <v>302</v>
      </c>
      <c r="D288" s="62">
        <v>302</v>
      </c>
      <c r="E288" s="258">
        <v>148</v>
      </c>
      <c r="F288" s="62">
        <v>437</v>
      </c>
      <c r="G288" s="279">
        <v>82</v>
      </c>
    </row>
    <row r="289" spans="1:7" s="70" customFormat="1" ht="11.45" customHeight="1">
      <c r="A289" s="259"/>
      <c r="B289" s="278">
        <v>2007</v>
      </c>
      <c r="C289" s="205">
        <v>265</v>
      </c>
      <c r="D289" s="62">
        <v>263</v>
      </c>
      <c r="E289" s="258">
        <v>148</v>
      </c>
      <c r="F289" s="1150" t="s">
        <v>195</v>
      </c>
      <c r="G289" s="527" t="s">
        <v>195</v>
      </c>
    </row>
    <row r="290" spans="1:7" s="70" customFormat="1" ht="11.45" customHeight="1">
      <c r="A290" s="259"/>
      <c r="B290" s="278">
        <v>2008</v>
      </c>
      <c r="C290" s="205">
        <v>305</v>
      </c>
      <c r="D290" s="62">
        <v>302</v>
      </c>
      <c r="E290" s="258">
        <v>182</v>
      </c>
      <c r="F290" s="62">
        <v>59</v>
      </c>
      <c r="G290" s="527" t="s">
        <v>195</v>
      </c>
    </row>
    <row r="291" spans="1:7" s="70" customFormat="1" ht="11.45" customHeight="1">
      <c r="A291" s="259"/>
      <c r="B291" s="278">
        <v>2009</v>
      </c>
      <c r="C291" s="205">
        <v>259</v>
      </c>
      <c r="D291" s="62">
        <v>256</v>
      </c>
      <c r="E291" s="258">
        <v>113</v>
      </c>
      <c r="F291" s="62">
        <v>36</v>
      </c>
      <c r="G291" s="279">
        <v>96</v>
      </c>
    </row>
    <row r="292" spans="1:7" s="70" customFormat="1" ht="11.45" customHeight="1">
      <c r="A292" s="259"/>
      <c r="B292" s="278">
        <v>2010</v>
      </c>
      <c r="C292" s="205">
        <v>228</v>
      </c>
      <c r="D292" s="62">
        <v>225</v>
      </c>
      <c r="E292" s="258">
        <v>123</v>
      </c>
      <c r="F292" s="62">
        <v>117</v>
      </c>
      <c r="G292" s="279">
        <v>45</v>
      </c>
    </row>
    <row r="293" spans="1:7" s="70" customFormat="1" ht="11.45" customHeight="1">
      <c r="A293" s="259"/>
      <c r="B293" s="278">
        <v>2011</v>
      </c>
      <c r="C293" s="205">
        <v>213</v>
      </c>
      <c r="D293" s="62">
        <v>213</v>
      </c>
      <c r="E293" s="258">
        <v>108</v>
      </c>
      <c r="F293" s="62">
        <v>93</v>
      </c>
      <c r="G293" s="279">
        <v>30</v>
      </c>
    </row>
    <row r="294" spans="1:7" s="70" customFormat="1" ht="11.45" customHeight="1">
      <c r="A294" s="259"/>
      <c r="B294" s="278">
        <v>2012</v>
      </c>
      <c r="C294" s="205">
        <v>183</v>
      </c>
      <c r="D294" s="62">
        <v>183</v>
      </c>
      <c r="E294" s="258">
        <v>96</v>
      </c>
      <c r="F294" s="62">
        <v>102</v>
      </c>
      <c r="G294" s="279">
        <v>105</v>
      </c>
    </row>
    <row r="295" spans="1:7" s="70" customFormat="1" ht="11.45" customHeight="1">
      <c r="A295" s="259"/>
      <c r="B295" s="278">
        <v>2013</v>
      </c>
      <c r="C295" s="205">
        <v>159</v>
      </c>
      <c r="D295" s="62">
        <v>159</v>
      </c>
      <c r="E295" s="258">
        <v>87</v>
      </c>
      <c r="F295" s="62">
        <v>84</v>
      </c>
      <c r="G295" s="279">
        <v>60</v>
      </c>
    </row>
    <row r="296" spans="1:7" s="70" customFormat="1" ht="11.45" customHeight="1">
      <c r="A296" s="259"/>
      <c r="B296" s="278">
        <v>2014</v>
      </c>
      <c r="C296" s="205">
        <v>144</v>
      </c>
      <c r="D296" s="62">
        <v>144</v>
      </c>
      <c r="E296" s="258">
        <v>84</v>
      </c>
      <c r="F296" s="62">
        <v>78</v>
      </c>
      <c r="G296" s="279">
        <v>66</v>
      </c>
    </row>
    <row r="297" spans="1:7" s="70" customFormat="1" ht="11.45" customHeight="1">
      <c r="A297" s="259"/>
      <c r="B297" s="1324">
        <v>2015</v>
      </c>
      <c r="C297" s="1286">
        <v>141</v>
      </c>
      <c r="D297" s="1287">
        <v>138</v>
      </c>
      <c r="E297" s="1288">
        <v>72</v>
      </c>
      <c r="F297" s="1287">
        <v>57</v>
      </c>
      <c r="G297" s="1289">
        <v>54</v>
      </c>
    </row>
    <row r="298" spans="1:7" s="7" customFormat="1" ht="3.6" customHeight="1">
      <c r="A298" s="1367"/>
      <c r="B298" s="1368"/>
      <c r="C298" s="1369"/>
      <c r="D298" s="1370"/>
      <c r="E298" s="1371"/>
      <c r="F298" s="1370"/>
      <c r="G298" s="1372"/>
    </row>
    <row r="299" spans="1:7" s="7" customFormat="1" ht="3.6" customHeight="1">
      <c r="A299" s="1354"/>
      <c r="B299" s="260"/>
      <c r="C299" s="205"/>
      <c r="D299" s="62"/>
      <c r="E299" s="258"/>
      <c r="F299" s="62"/>
      <c r="G299" s="279"/>
    </row>
    <row r="300" spans="1:7" s="70" customFormat="1" ht="11.45" customHeight="1">
      <c r="A300" s="1148" t="s">
        <v>110</v>
      </c>
      <c r="B300" s="288">
        <v>2001</v>
      </c>
      <c r="C300" s="205">
        <v>37530</v>
      </c>
      <c r="D300" s="86">
        <v>10223</v>
      </c>
      <c r="E300" s="258">
        <v>14039</v>
      </c>
      <c r="F300" s="62">
        <v>13116</v>
      </c>
      <c r="G300" s="279">
        <v>1658</v>
      </c>
    </row>
    <row r="301" spans="1:7" s="70" customFormat="1" ht="11.45" customHeight="1">
      <c r="A301" s="1148" t="s">
        <v>115</v>
      </c>
      <c r="B301" s="288">
        <v>2002</v>
      </c>
      <c r="C301" s="205">
        <v>36914</v>
      </c>
      <c r="D301" s="86">
        <v>9762</v>
      </c>
      <c r="E301" s="258">
        <v>14612</v>
      </c>
      <c r="F301" s="62">
        <v>12586</v>
      </c>
      <c r="G301" s="279">
        <v>1782</v>
      </c>
    </row>
    <row r="302" spans="1:7" s="70" customFormat="1" ht="11.45" customHeight="1">
      <c r="A302" s="1148" t="s">
        <v>125</v>
      </c>
      <c r="B302" s="288">
        <v>2003</v>
      </c>
      <c r="C302" s="205">
        <v>37986</v>
      </c>
      <c r="D302" s="86">
        <v>9649</v>
      </c>
      <c r="E302" s="258">
        <v>14951</v>
      </c>
      <c r="F302" s="62">
        <v>11761</v>
      </c>
      <c r="G302" s="279">
        <v>1672</v>
      </c>
    </row>
    <row r="303" spans="1:7" s="70" customFormat="1" ht="11.45" customHeight="1">
      <c r="A303" s="1148" t="s">
        <v>126</v>
      </c>
      <c r="B303" s="288">
        <v>2004</v>
      </c>
      <c r="C303" s="205">
        <v>40360</v>
      </c>
      <c r="D303" s="86">
        <v>9763</v>
      </c>
      <c r="E303" s="258">
        <v>15660</v>
      </c>
      <c r="F303" s="62">
        <v>11782</v>
      </c>
      <c r="G303" s="279">
        <v>1717</v>
      </c>
    </row>
    <row r="304" spans="1:7" s="70" customFormat="1" ht="13.5" customHeight="1">
      <c r="A304" s="1148" t="s">
        <v>336</v>
      </c>
      <c r="B304" s="288">
        <v>2005</v>
      </c>
      <c r="C304" s="205">
        <v>41095</v>
      </c>
      <c r="D304" s="86">
        <v>9569</v>
      </c>
      <c r="E304" s="258">
        <v>15274</v>
      </c>
      <c r="F304" s="62">
        <v>12581</v>
      </c>
      <c r="G304" s="279">
        <v>1440</v>
      </c>
    </row>
    <row r="305" spans="1:7" s="70" customFormat="1" ht="11.45" customHeight="1">
      <c r="A305" s="259"/>
      <c r="B305" s="288">
        <v>2006</v>
      </c>
      <c r="C305" s="205">
        <v>42025</v>
      </c>
      <c r="D305" s="86">
        <v>9412</v>
      </c>
      <c r="E305" s="258">
        <v>15814</v>
      </c>
      <c r="F305" s="62">
        <v>13080</v>
      </c>
      <c r="G305" s="279">
        <v>1452</v>
      </c>
    </row>
    <row r="306" spans="1:7" s="70" customFormat="1" ht="11.45" customHeight="1">
      <c r="A306" s="259"/>
      <c r="B306" s="288">
        <v>2007</v>
      </c>
      <c r="C306" s="205">
        <v>42887</v>
      </c>
      <c r="D306" s="86">
        <v>9623</v>
      </c>
      <c r="E306" s="258">
        <v>17616</v>
      </c>
      <c r="F306" s="1150" t="s">
        <v>195</v>
      </c>
      <c r="G306" s="527" t="s">
        <v>195</v>
      </c>
    </row>
    <row r="307" spans="1:7" s="70" customFormat="1" ht="11.45" customHeight="1">
      <c r="A307" s="307"/>
      <c r="B307" s="288">
        <v>2008</v>
      </c>
      <c r="C307" s="205">
        <v>42205</v>
      </c>
      <c r="D307" s="86">
        <v>9727</v>
      </c>
      <c r="E307" s="258">
        <v>16131</v>
      </c>
      <c r="F307" s="1154">
        <v>11892</v>
      </c>
      <c r="G307" s="527" t="s">
        <v>195</v>
      </c>
    </row>
    <row r="308" spans="1:7" s="70" customFormat="1" ht="11.45" customHeight="1">
      <c r="A308" s="307"/>
      <c r="B308" s="288">
        <v>2009</v>
      </c>
      <c r="C308" s="205">
        <v>41029</v>
      </c>
      <c r="D308" s="86">
        <v>9415</v>
      </c>
      <c r="E308" s="258">
        <v>15006</v>
      </c>
      <c r="F308" s="62">
        <v>12111</v>
      </c>
      <c r="G308" s="279">
        <v>1362</v>
      </c>
    </row>
    <row r="309" spans="1:7" s="70" customFormat="1" ht="11.45" customHeight="1">
      <c r="A309" s="307"/>
      <c r="B309" s="288">
        <v>2010</v>
      </c>
      <c r="C309" s="205">
        <v>38460</v>
      </c>
      <c r="D309" s="86">
        <v>8721</v>
      </c>
      <c r="E309" s="258">
        <v>14253</v>
      </c>
      <c r="F309" s="62">
        <v>12684</v>
      </c>
      <c r="G309" s="279">
        <v>1542</v>
      </c>
    </row>
    <row r="310" spans="1:7" s="70" customFormat="1" ht="11.45" customHeight="1">
      <c r="A310" s="307"/>
      <c r="B310" s="288">
        <v>2011</v>
      </c>
      <c r="C310" s="205">
        <v>36624</v>
      </c>
      <c r="D310" s="86">
        <v>8142</v>
      </c>
      <c r="E310" s="258">
        <v>13602</v>
      </c>
      <c r="F310" s="62">
        <v>11844</v>
      </c>
      <c r="G310" s="279">
        <v>1662</v>
      </c>
    </row>
    <row r="311" spans="1:7" s="70" customFormat="1" ht="11.45" customHeight="1">
      <c r="A311" s="307"/>
      <c r="B311" s="288">
        <v>2012</v>
      </c>
      <c r="C311" s="205">
        <v>34764</v>
      </c>
      <c r="D311" s="86">
        <v>7602</v>
      </c>
      <c r="E311" s="258">
        <v>13275</v>
      </c>
      <c r="F311" s="62">
        <v>11184</v>
      </c>
      <c r="G311" s="279">
        <v>1917</v>
      </c>
    </row>
    <row r="312" spans="1:7" s="70" customFormat="1" ht="11.45" customHeight="1">
      <c r="A312" s="307"/>
      <c r="B312" s="288">
        <v>2013</v>
      </c>
      <c r="C312" s="205">
        <v>36825</v>
      </c>
      <c r="D312" s="86">
        <v>10665</v>
      </c>
      <c r="E312" s="258">
        <v>14529</v>
      </c>
      <c r="F312" s="62">
        <v>12000</v>
      </c>
      <c r="G312" s="279">
        <v>1797</v>
      </c>
    </row>
    <row r="313" spans="1:7" s="70" customFormat="1" ht="11.45" customHeight="1">
      <c r="A313" s="307"/>
      <c r="B313" s="288">
        <v>2014</v>
      </c>
      <c r="C313" s="205">
        <v>33441</v>
      </c>
      <c r="D313" s="86">
        <v>7371</v>
      </c>
      <c r="E313" s="258">
        <v>13404</v>
      </c>
      <c r="F313" s="62">
        <v>10443</v>
      </c>
      <c r="G313" s="279">
        <v>1923</v>
      </c>
    </row>
    <row r="314" spans="1:7" s="70" customFormat="1" ht="11.45" customHeight="1">
      <c r="A314" s="307"/>
      <c r="B314" s="1333">
        <v>2015</v>
      </c>
      <c r="C314" s="1286">
        <v>33510</v>
      </c>
      <c r="D314" s="1287">
        <v>7413</v>
      </c>
      <c r="E314" s="1288">
        <v>13455</v>
      </c>
      <c r="F314" s="1287">
        <v>11958</v>
      </c>
      <c r="G314" s="1289">
        <v>2325</v>
      </c>
    </row>
    <row r="315" spans="1:7" s="70" customFormat="1" ht="6" customHeight="1" thickBot="1">
      <c r="A315" s="229"/>
      <c r="B315" s="230"/>
      <c r="C315" s="231"/>
      <c r="D315" s="232"/>
      <c r="E315" s="1153"/>
      <c r="F315" s="232"/>
      <c r="G315" s="233"/>
    </row>
    <row r="316" spans="1:7" s="70" customFormat="1" ht="3.6" customHeight="1">
      <c r="A316" s="52"/>
      <c r="B316" s="476"/>
      <c r="C316" s="62"/>
      <c r="D316" s="62"/>
      <c r="E316" s="578"/>
      <c r="F316" s="62"/>
      <c r="G316" s="62"/>
    </row>
    <row r="317" spans="1:7" s="70" customFormat="1" ht="12" customHeight="1">
      <c r="A317" s="924" t="s">
        <v>337</v>
      </c>
      <c r="B317" s="925"/>
      <c r="C317" s="926"/>
      <c r="D317" s="926"/>
      <c r="E317" s="927"/>
      <c r="F317" s="926"/>
      <c r="G317" s="926"/>
    </row>
    <row r="318" spans="1:7" s="70" customFormat="1" ht="12" customHeight="1">
      <c r="A318" s="924" t="s">
        <v>223</v>
      </c>
      <c r="B318" s="924"/>
      <c r="E318" s="928"/>
      <c r="F318" s="928"/>
      <c r="G318" s="928"/>
    </row>
    <row r="319" spans="1:7" s="70" customFormat="1" ht="12" customHeight="1">
      <c r="A319" s="924" t="s">
        <v>347</v>
      </c>
      <c r="B319" s="924"/>
      <c r="C319" s="928"/>
      <c r="F319" s="928"/>
      <c r="G319" s="928"/>
    </row>
    <row r="320" spans="1:7" ht="12" customHeight="1">
      <c r="A320" s="929" t="s">
        <v>348</v>
      </c>
      <c r="B320" s="924"/>
      <c r="C320" s="928"/>
      <c r="E320" s="928"/>
      <c r="F320" s="928"/>
      <c r="G320" s="928"/>
    </row>
    <row r="321" spans="1:7" s="70" customFormat="1" ht="12" customHeight="1">
      <c r="A321" s="929" t="s">
        <v>350</v>
      </c>
      <c r="B321" s="929"/>
      <c r="C321" s="929"/>
      <c r="D321" s="929"/>
      <c r="E321" s="929"/>
      <c r="F321" s="928"/>
      <c r="G321" s="928"/>
    </row>
    <row r="322" spans="1:7" s="70" customFormat="1" ht="12" customHeight="1">
      <c r="A322" s="924" t="s">
        <v>349</v>
      </c>
      <c r="B322" s="924"/>
      <c r="C322" s="924"/>
      <c r="D322" s="924"/>
      <c r="E322" s="924"/>
      <c r="F322" s="928"/>
      <c r="G322" s="924"/>
    </row>
    <row r="323" spans="1:7" s="70" customFormat="1" ht="11.25">
      <c r="A323" s="925"/>
      <c r="B323" s="924"/>
      <c r="C323" s="928"/>
      <c r="D323" s="928"/>
      <c r="E323" s="928"/>
      <c r="F323" s="928"/>
      <c r="G323" s="928"/>
    </row>
    <row r="324" spans="1:7" s="70" customFormat="1">
      <c r="A324" s="227"/>
      <c r="C324" s="83"/>
      <c r="D324" s="83"/>
      <c r="E324" s="83"/>
      <c r="F324" s="83"/>
      <c r="G324" s="83"/>
    </row>
    <row r="325" spans="1:7" s="70" customFormat="1">
      <c r="A325" s="227"/>
      <c r="C325" s="83"/>
      <c r="D325" s="83"/>
      <c r="E325" s="83"/>
      <c r="F325" s="83"/>
      <c r="G325" s="83"/>
    </row>
    <row r="326" spans="1:7" s="70" customFormat="1">
      <c r="A326" s="227"/>
      <c r="C326" s="83"/>
      <c r="D326" s="83"/>
      <c r="E326" s="83"/>
      <c r="F326" s="83"/>
      <c r="G326" s="83"/>
    </row>
    <row r="327" spans="1:7" s="70" customFormat="1">
      <c r="A327" s="227"/>
      <c r="C327" s="83"/>
      <c r="D327" s="83"/>
      <c r="E327" s="83"/>
      <c r="F327" s="83"/>
      <c r="G327" s="83"/>
    </row>
    <row r="328" spans="1:7" s="70" customFormat="1">
      <c r="A328" s="227"/>
      <c r="C328" s="83"/>
      <c r="D328" s="83"/>
      <c r="E328" s="83"/>
      <c r="F328" s="83"/>
      <c r="G328" s="83"/>
    </row>
    <row r="329" spans="1:7" s="70" customFormat="1">
      <c r="A329" s="227"/>
      <c r="C329" s="83"/>
      <c r="D329" s="83"/>
      <c r="E329" s="83"/>
      <c r="F329" s="83"/>
      <c r="G329" s="83"/>
    </row>
    <row r="330" spans="1:7" s="70" customFormat="1">
      <c r="A330" s="227"/>
      <c r="C330" s="83"/>
      <c r="D330" s="83"/>
      <c r="E330" s="83"/>
      <c r="F330" s="83"/>
      <c r="G330" s="83"/>
    </row>
    <row r="331" spans="1:7" s="70" customFormat="1">
      <c r="A331" s="227"/>
      <c r="C331" s="83"/>
      <c r="D331" s="83"/>
      <c r="E331" s="83"/>
      <c r="F331" s="83"/>
      <c r="G331" s="83"/>
    </row>
    <row r="332" spans="1:7" s="70" customFormat="1">
      <c r="A332" s="227"/>
      <c r="C332" s="83"/>
      <c r="D332" s="83"/>
      <c r="E332" s="83"/>
      <c r="F332" s="83"/>
      <c r="G332" s="83"/>
    </row>
    <row r="333" spans="1:7" s="70" customFormat="1">
      <c r="A333" s="227"/>
      <c r="C333" s="83"/>
      <c r="D333" s="83"/>
      <c r="E333" s="83"/>
      <c r="F333" s="83"/>
      <c r="G333" s="83"/>
    </row>
    <row r="334" spans="1:7" s="70" customFormat="1">
      <c r="A334" s="227"/>
      <c r="C334" s="83"/>
      <c r="D334" s="83"/>
      <c r="E334" s="83"/>
      <c r="F334" s="83"/>
      <c r="G334" s="83"/>
    </row>
    <row r="335" spans="1:7" s="70" customFormat="1">
      <c r="A335" s="227"/>
      <c r="C335" s="83"/>
      <c r="D335" s="83"/>
      <c r="E335" s="83"/>
      <c r="F335" s="83"/>
      <c r="G335" s="83"/>
    </row>
    <row r="336" spans="1:7" s="70" customFormat="1">
      <c r="A336" s="227"/>
      <c r="C336" s="83"/>
      <c r="D336" s="83"/>
      <c r="E336" s="83"/>
      <c r="F336" s="83"/>
      <c r="G336" s="83"/>
    </row>
    <row r="337" spans="1:7" s="70" customFormat="1">
      <c r="A337" s="227"/>
      <c r="C337" s="83"/>
      <c r="D337" s="83"/>
      <c r="E337" s="83"/>
      <c r="F337" s="83"/>
      <c r="G337" s="83"/>
    </row>
    <row r="338" spans="1:7" s="70" customFormat="1">
      <c r="A338" s="227"/>
      <c r="C338" s="83"/>
      <c r="D338" s="83"/>
      <c r="E338" s="83"/>
      <c r="F338" s="83"/>
      <c r="G338" s="83"/>
    </row>
    <row r="339" spans="1:7" s="70" customFormat="1">
      <c r="A339" s="227"/>
      <c r="C339" s="83"/>
      <c r="D339" s="83"/>
      <c r="E339" s="83"/>
      <c r="F339" s="83"/>
      <c r="G339" s="83"/>
    </row>
    <row r="340" spans="1:7" s="70" customFormat="1">
      <c r="A340" s="227"/>
      <c r="C340" s="83"/>
      <c r="D340" s="83"/>
      <c r="E340" s="83"/>
      <c r="F340" s="83"/>
      <c r="G340" s="83"/>
    </row>
    <row r="341" spans="1:7" s="70" customFormat="1">
      <c r="A341" s="227"/>
      <c r="C341" s="83"/>
      <c r="D341" s="83"/>
      <c r="E341" s="83"/>
      <c r="F341" s="83"/>
      <c r="G341" s="83"/>
    </row>
    <row r="342" spans="1:7" s="70" customFormat="1">
      <c r="A342" s="227"/>
      <c r="C342" s="83"/>
      <c r="D342" s="83"/>
      <c r="E342" s="83"/>
      <c r="F342" s="83"/>
      <c r="G342" s="83"/>
    </row>
    <row r="343" spans="1:7" s="70" customFormat="1">
      <c r="A343" s="227"/>
      <c r="C343" s="83"/>
      <c r="D343" s="83"/>
      <c r="E343" s="83"/>
      <c r="F343" s="83"/>
      <c r="G343" s="83"/>
    </row>
    <row r="344" spans="1:7" s="70" customFormat="1">
      <c r="A344" s="227"/>
      <c r="C344" s="83"/>
      <c r="D344" s="83"/>
      <c r="E344" s="83"/>
      <c r="F344" s="83"/>
      <c r="G344" s="83"/>
    </row>
    <row r="345" spans="1:7" s="70" customFormat="1">
      <c r="A345" s="227"/>
      <c r="C345" s="234"/>
      <c r="D345" s="234"/>
      <c r="E345" s="234"/>
      <c r="F345" s="234"/>
      <c r="G345" s="234"/>
    </row>
    <row r="346" spans="1:7" s="70" customFormat="1">
      <c r="A346" s="227"/>
      <c r="C346" s="234"/>
      <c r="D346" s="234"/>
      <c r="E346" s="234"/>
      <c r="F346" s="234"/>
      <c r="G346" s="234"/>
    </row>
    <row r="347" spans="1:7" s="70" customFormat="1">
      <c r="A347" s="227"/>
      <c r="C347" s="234"/>
      <c r="D347" s="234"/>
      <c r="E347" s="234"/>
      <c r="F347" s="234"/>
      <c r="G347" s="234"/>
    </row>
    <row r="348" spans="1:7" s="70" customFormat="1">
      <c r="A348" s="227"/>
      <c r="C348" s="234"/>
      <c r="D348" s="234"/>
      <c r="E348" s="234"/>
      <c r="F348" s="234"/>
      <c r="G348" s="234"/>
    </row>
    <row r="349" spans="1:7" s="70" customFormat="1">
      <c r="A349" s="227"/>
      <c r="C349" s="234"/>
      <c r="D349" s="234"/>
      <c r="E349" s="234"/>
      <c r="F349" s="234"/>
      <c r="G349" s="234"/>
    </row>
    <row r="350" spans="1:7" s="70" customFormat="1">
      <c r="A350" s="227"/>
    </row>
    <row r="351" spans="1:7" s="70" customFormat="1">
      <c r="A351" s="227"/>
      <c r="C351" s="83"/>
      <c r="D351" s="83"/>
      <c r="E351" s="83"/>
      <c r="F351" s="83"/>
      <c r="G351" s="83"/>
    </row>
    <row r="352" spans="1:7" s="70" customFormat="1">
      <c r="A352" s="227"/>
      <c r="C352" s="83"/>
      <c r="D352" s="83"/>
      <c r="E352" s="83"/>
      <c r="F352" s="83"/>
      <c r="G352" s="83"/>
    </row>
    <row r="353" spans="1:7" s="70" customFormat="1">
      <c r="A353" s="227"/>
      <c r="C353" s="83"/>
      <c r="D353" s="83"/>
      <c r="E353" s="83"/>
      <c r="F353" s="83"/>
      <c r="G353" s="83"/>
    </row>
    <row r="354" spans="1:7" s="70" customFormat="1">
      <c r="A354" s="227"/>
      <c r="C354" s="83"/>
      <c r="D354" s="83"/>
      <c r="E354" s="83"/>
      <c r="F354" s="83"/>
      <c r="G354" s="83"/>
    </row>
    <row r="355" spans="1:7" s="70" customFormat="1">
      <c r="A355" s="227"/>
      <c r="C355" s="83"/>
      <c r="D355" s="83"/>
      <c r="E355" s="83"/>
      <c r="F355" s="83"/>
      <c r="G355" s="83"/>
    </row>
    <row r="356" spans="1:7" s="70" customFormat="1">
      <c r="A356" s="227"/>
      <c r="C356" s="83"/>
      <c r="D356" s="83"/>
      <c r="E356" s="83"/>
      <c r="F356" s="83"/>
      <c r="G356" s="83"/>
    </row>
    <row r="357" spans="1:7" s="70" customFormat="1">
      <c r="A357" s="227"/>
      <c r="C357" s="83"/>
      <c r="D357" s="83"/>
      <c r="E357" s="83"/>
      <c r="F357" s="83"/>
      <c r="G357" s="83"/>
    </row>
    <row r="358" spans="1:7" s="70" customFormat="1">
      <c r="A358" s="227"/>
      <c r="C358" s="83"/>
      <c r="D358" s="83"/>
      <c r="E358" s="83"/>
      <c r="F358" s="83"/>
      <c r="G358" s="83"/>
    </row>
    <row r="359" spans="1:7" s="70" customFormat="1">
      <c r="A359" s="227"/>
      <c r="C359" s="83"/>
      <c r="D359" s="83"/>
      <c r="E359" s="83"/>
      <c r="F359" s="83"/>
      <c r="G359" s="83"/>
    </row>
    <row r="360" spans="1:7" s="70" customFormat="1">
      <c r="A360" s="227"/>
      <c r="C360" s="83"/>
      <c r="D360" s="83"/>
      <c r="E360" s="83"/>
      <c r="F360" s="83"/>
      <c r="G360" s="83"/>
    </row>
    <row r="361" spans="1:7" s="70" customFormat="1">
      <c r="A361" s="227"/>
      <c r="C361" s="83"/>
      <c r="D361" s="83"/>
      <c r="E361" s="83"/>
      <c r="F361" s="83"/>
      <c r="G361" s="83"/>
    </row>
    <row r="362" spans="1:7" s="70" customFormat="1">
      <c r="A362" s="227"/>
      <c r="C362" s="83"/>
      <c r="D362" s="83"/>
      <c r="E362" s="83"/>
      <c r="F362" s="83"/>
      <c r="G362" s="83"/>
    </row>
    <row r="363" spans="1:7" s="70" customFormat="1">
      <c r="A363" s="227"/>
      <c r="C363" s="83"/>
      <c r="D363" s="83"/>
      <c r="E363" s="83"/>
      <c r="F363" s="83"/>
      <c r="G363" s="83"/>
    </row>
    <row r="364" spans="1:7" s="70" customFormat="1">
      <c r="A364" s="227"/>
      <c r="C364" s="83"/>
      <c r="D364" s="83"/>
      <c r="E364" s="83"/>
      <c r="F364" s="83"/>
      <c r="G364" s="83"/>
    </row>
    <row r="365" spans="1:7" s="70" customFormat="1">
      <c r="A365" s="227"/>
      <c r="C365" s="83"/>
      <c r="D365" s="83"/>
      <c r="E365" s="83"/>
      <c r="F365" s="83"/>
      <c r="G365" s="83"/>
    </row>
    <row r="366" spans="1:7" s="70" customFormat="1">
      <c r="A366" s="227"/>
      <c r="C366" s="83"/>
      <c r="D366" s="83"/>
      <c r="E366" s="83"/>
      <c r="F366" s="83"/>
      <c r="G366" s="83"/>
    </row>
    <row r="367" spans="1:7" s="70" customFormat="1">
      <c r="A367" s="227"/>
      <c r="C367" s="83"/>
      <c r="D367" s="83"/>
      <c r="E367" s="83"/>
      <c r="F367" s="83"/>
      <c r="G367" s="83"/>
    </row>
    <row r="368" spans="1:7" s="70" customFormat="1">
      <c r="A368" s="227"/>
      <c r="C368" s="83"/>
      <c r="D368" s="83"/>
      <c r="E368" s="83"/>
      <c r="F368" s="83"/>
      <c r="G368" s="83"/>
    </row>
    <row r="369" spans="1:7" s="70" customFormat="1">
      <c r="A369" s="227"/>
      <c r="C369" s="83"/>
      <c r="D369" s="83"/>
      <c r="E369" s="83"/>
      <c r="F369" s="83"/>
      <c r="G369" s="83"/>
    </row>
    <row r="370" spans="1:7" s="70" customFormat="1">
      <c r="A370" s="227"/>
      <c r="C370" s="83"/>
      <c r="D370" s="83"/>
      <c r="E370" s="83"/>
      <c r="F370" s="83"/>
      <c r="G370" s="83"/>
    </row>
    <row r="371" spans="1:7" s="70" customFormat="1">
      <c r="A371" s="227"/>
      <c r="C371" s="83"/>
      <c r="D371" s="83"/>
      <c r="E371" s="83"/>
      <c r="F371" s="83"/>
      <c r="G371" s="83"/>
    </row>
    <row r="372" spans="1:7" s="70" customFormat="1">
      <c r="A372" s="227"/>
      <c r="C372" s="83"/>
      <c r="D372" s="83"/>
      <c r="E372" s="83"/>
      <c r="F372" s="83"/>
      <c r="G372" s="83"/>
    </row>
    <row r="373" spans="1:7" s="70" customFormat="1">
      <c r="A373" s="227"/>
      <c r="C373" s="83"/>
      <c r="D373" s="83"/>
      <c r="E373" s="83"/>
      <c r="F373" s="83"/>
      <c r="G373" s="83"/>
    </row>
    <row r="374" spans="1:7" s="70" customFormat="1">
      <c r="A374" s="227"/>
      <c r="C374" s="83"/>
      <c r="D374" s="83"/>
      <c r="E374" s="83"/>
      <c r="F374" s="83"/>
      <c r="G374" s="83"/>
    </row>
    <row r="375" spans="1:7" s="70" customFormat="1">
      <c r="A375" s="227"/>
      <c r="C375" s="83"/>
      <c r="D375" s="83"/>
      <c r="E375" s="83"/>
      <c r="F375" s="83"/>
      <c r="G375" s="83"/>
    </row>
    <row r="376" spans="1:7" s="70" customFormat="1">
      <c r="A376" s="227"/>
      <c r="C376" s="83"/>
      <c r="D376" s="83"/>
      <c r="E376" s="83"/>
      <c r="F376" s="83"/>
      <c r="G376" s="83"/>
    </row>
    <row r="377" spans="1:7" s="70" customFormat="1">
      <c r="A377" s="227"/>
      <c r="C377" s="83"/>
      <c r="D377" s="83"/>
      <c r="E377" s="83"/>
      <c r="F377" s="83"/>
      <c r="G377" s="83"/>
    </row>
    <row r="378" spans="1:7" s="70" customFormat="1">
      <c r="A378" s="227"/>
      <c r="C378" s="83"/>
      <c r="D378" s="83"/>
      <c r="E378" s="83"/>
      <c r="F378" s="83"/>
      <c r="G378" s="83"/>
    </row>
    <row r="379" spans="1:7" s="70" customFormat="1">
      <c r="A379" s="227"/>
      <c r="C379" s="83"/>
      <c r="D379" s="83"/>
      <c r="E379" s="83"/>
      <c r="F379" s="83"/>
      <c r="G379" s="83"/>
    </row>
    <row r="380" spans="1:7" s="70" customFormat="1">
      <c r="A380" s="227"/>
      <c r="C380" s="83"/>
      <c r="D380" s="83"/>
      <c r="E380" s="83"/>
      <c r="F380" s="83"/>
      <c r="G380" s="83"/>
    </row>
    <row r="381" spans="1:7" s="70" customFormat="1">
      <c r="A381" s="227"/>
      <c r="C381" s="83"/>
      <c r="D381" s="83"/>
      <c r="E381" s="83"/>
      <c r="F381" s="83"/>
      <c r="G381" s="83"/>
    </row>
    <row r="382" spans="1:7" s="70" customFormat="1">
      <c r="A382" s="227"/>
      <c r="C382" s="83"/>
      <c r="D382" s="83"/>
      <c r="E382" s="83"/>
      <c r="F382" s="83"/>
      <c r="G382" s="83"/>
    </row>
    <row r="383" spans="1:7" s="70" customFormat="1">
      <c r="A383" s="227"/>
      <c r="C383" s="83"/>
      <c r="D383" s="83"/>
      <c r="E383" s="83"/>
      <c r="F383" s="83"/>
      <c r="G383" s="83"/>
    </row>
    <row r="384" spans="1:7" s="70" customFormat="1">
      <c r="A384" s="227"/>
      <c r="C384" s="83"/>
      <c r="D384" s="83"/>
      <c r="E384" s="83"/>
      <c r="F384" s="83"/>
      <c r="G384" s="83"/>
    </row>
    <row r="385" spans="1:7" s="70" customFormat="1">
      <c r="A385" s="227"/>
      <c r="C385" s="83"/>
      <c r="D385" s="83"/>
      <c r="E385" s="83"/>
      <c r="F385" s="83"/>
      <c r="G385" s="83"/>
    </row>
    <row r="386" spans="1:7" s="70" customFormat="1">
      <c r="A386" s="227"/>
      <c r="C386" s="83"/>
      <c r="D386" s="83"/>
      <c r="E386" s="83"/>
      <c r="F386" s="83"/>
      <c r="G386" s="83"/>
    </row>
    <row r="387" spans="1:7" s="70" customFormat="1">
      <c r="A387" s="227"/>
      <c r="C387" s="83"/>
      <c r="D387" s="83"/>
      <c r="E387" s="83"/>
      <c r="F387" s="83"/>
      <c r="G387" s="83"/>
    </row>
    <row r="388" spans="1:7" s="70" customFormat="1">
      <c r="A388" s="227"/>
      <c r="C388" s="83"/>
      <c r="D388" s="83"/>
      <c r="E388" s="83"/>
      <c r="F388" s="83"/>
      <c r="G388" s="83"/>
    </row>
    <row r="389" spans="1:7" s="70" customFormat="1">
      <c r="A389" s="227"/>
      <c r="C389" s="83"/>
      <c r="D389" s="83"/>
      <c r="E389" s="83"/>
      <c r="F389" s="83"/>
      <c r="G389" s="83"/>
    </row>
    <row r="390" spans="1:7" s="70" customFormat="1">
      <c r="A390" s="227"/>
      <c r="C390" s="83"/>
      <c r="D390" s="83"/>
      <c r="E390" s="83"/>
      <c r="F390" s="83"/>
      <c r="G390" s="83"/>
    </row>
    <row r="391" spans="1:7" s="70" customFormat="1">
      <c r="A391" s="227"/>
      <c r="C391" s="83"/>
      <c r="D391" s="83"/>
      <c r="E391" s="83"/>
      <c r="F391" s="83"/>
      <c r="G391" s="83"/>
    </row>
    <row r="392" spans="1:7" s="70" customFormat="1">
      <c r="A392" s="227"/>
      <c r="C392" s="83"/>
      <c r="D392" s="83"/>
      <c r="E392" s="83"/>
      <c r="F392" s="83"/>
      <c r="G392" s="83"/>
    </row>
    <row r="393" spans="1:7" s="70" customFormat="1">
      <c r="A393" s="227"/>
      <c r="C393" s="83"/>
      <c r="D393" s="83"/>
      <c r="E393" s="83"/>
      <c r="F393" s="83"/>
      <c r="G393" s="83"/>
    </row>
    <row r="394" spans="1:7" s="70" customFormat="1">
      <c r="A394" s="227"/>
      <c r="C394" s="83"/>
      <c r="D394" s="83"/>
      <c r="E394" s="83"/>
      <c r="F394" s="83"/>
      <c r="G394" s="83"/>
    </row>
    <row r="395" spans="1:7" s="70" customFormat="1">
      <c r="A395" s="227"/>
      <c r="C395" s="83"/>
      <c r="D395" s="83"/>
      <c r="E395" s="83"/>
      <c r="F395" s="83"/>
      <c r="G395" s="83"/>
    </row>
    <row r="396" spans="1:7" s="70" customFormat="1">
      <c r="A396" s="227"/>
      <c r="C396" s="83"/>
      <c r="D396" s="83"/>
      <c r="E396" s="83"/>
      <c r="F396" s="83"/>
      <c r="G396" s="83"/>
    </row>
    <row r="397" spans="1:7" s="70" customFormat="1">
      <c r="A397" s="227"/>
      <c r="C397" s="83"/>
      <c r="D397" s="83"/>
      <c r="E397" s="83"/>
      <c r="F397" s="83"/>
      <c r="G397" s="83"/>
    </row>
    <row r="398" spans="1:7" s="70" customFormat="1">
      <c r="A398" s="227"/>
      <c r="C398" s="83"/>
      <c r="D398" s="83"/>
      <c r="E398" s="83"/>
      <c r="F398" s="83"/>
      <c r="G398" s="83"/>
    </row>
    <row r="399" spans="1:7" s="70" customFormat="1">
      <c r="A399" s="227"/>
      <c r="C399" s="83"/>
      <c r="D399" s="83"/>
      <c r="E399" s="83"/>
      <c r="F399" s="83"/>
      <c r="G399" s="83"/>
    </row>
    <row r="400" spans="1:7" s="70" customFormat="1">
      <c r="A400" s="227"/>
      <c r="C400" s="83"/>
      <c r="D400" s="83"/>
      <c r="E400" s="83"/>
      <c r="F400" s="83"/>
      <c r="G400" s="83"/>
    </row>
    <row r="401" spans="1:7" s="70" customFormat="1">
      <c r="A401" s="227"/>
      <c r="C401" s="83"/>
      <c r="D401" s="83"/>
      <c r="E401" s="83"/>
      <c r="F401" s="83"/>
      <c r="G401" s="83"/>
    </row>
    <row r="402" spans="1:7" s="70" customFormat="1">
      <c r="A402" s="227"/>
      <c r="C402" s="83"/>
      <c r="D402" s="83"/>
      <c r="E402" s="83"/>
      <c r="F402" s="83"/>
      <c r="G402" s="83"/>
    </row>
    <row r="403" spans="1:7" s="70" customFormat="1">
      <c r="A403" s="227"/>
      <c r="C403" s="83"/>
      <c r="D403" s="83"/>
      <c r="E403" s="83"/>
      <c r="F403" s="83"/>
      <c r="G403" s="83"/>
    </row>
    <row r="404" spans="1:7" s="70" customFormat="1">
      <c r="A404" s="227"/>
      <c r="C404" s="83"/>
      <c r="D404" s="83"/>
      <c r="E404" s="83"/>
      <c r="F404" s="83"/>
      <c r="G404" s="83"/>
    </row>
    <row r="405" spans="1:7" s="70" customFormat="1">
      <c r="A405" s="227"/>
      <c r="C405" s="83"/>
      <c r="D405" s="83"/>
      <c r="E405" s="83"/>
      <c r="F405" s="83"/>
      <c r="G405" s="83"/>
    </row>
    <row r="406" spans="1:7" s="70" customFormat="1">
      <c r="A406" s="227"/>
      <c r="C406" s="83"/>
      <c r="D406" s="83"/>
      <c r="E406" s="83"/>
      <c r="F406" s="83"/>
      <c r="G406" s="83"/>
    </row>
    <row r="407" spans="1:7" s="70" customFormat="1">
      <c r="A407" s="227"/>
      <c r="C407" s="83"/>
      <c r="D407" s="83"/>
      <c r="E407" s="83"/>
      <c r="F407" s="83"/>
      <c r="G407" s="83"/>
    </row>
    <row r="408" spans="1:7" s="70" customFormat="1">
      <c r="A408" s="227"/>
      <c r="C408" s="83"/>
      <c r="D408" s="83"/>
      <c r="E408" s="83"/>
      <c r="F408" s="83"/>
      <c r="G408" s="83"/>
    </row>
    <row r="409" spans="1:7" s="70" customFormat="1">
      <c r="A409" s="227"/>
      <c r="C409" s="83"/>
      <c r="D409" s="83"/>
      <c r="E409" s="83"/>
      <c r="F409" s="83"/>
      <c r="G409" s="83"/>
    </row>
    <row r="410" spans="1:7" s="70" customFormat="1">
      <c r="A410" s="227"/>
      <c r="C410" s="83"/>
      <c r="D410" s="83"/>
      <c r="E410" s="83"/>
      <c r="F410" s="83"/>
      <c r="G410" s="83"/>
    </row>
    <row r="411" spans="1:7" s="70" customFormat="1">
      <c r="A411" s="227"/>
      <c r="C411" s="83"/>
      <c r="D411" s="83"/>
      <c r="E411" s="83"/>
      <c r="F411" s="83"/>
      <c r="G411" s="83"/>
    </row>
    <row r="412" spans="1:7" s="70" customFormat="1">
      <c r="A412" s="227"/>
      <c r="C412" s="83"/>
      <c r="D412" s="83"/>
      <c r="E412" s="83"/>
      <c r="F412" s="83"/>
      <c r="G412" s="83"/>
    </row>
    <row r="413" spans="1:7" s="70" customFormat="1">
      <c r="A413" s="227"/>
      <c r="C413" s="83"/>
      <c r="D413" s="83"/>
      <c r="E413" s="83"/>
      <c r="F413" s="83"/>
      <c r="G413" s="83"/>
    </row>
    <row r="414" spans="1:7" s="70" customFormat="1">
      <c r="A414" s="227"/>
      <c r="C414" s="83"/>
      <c r="D414" s="83"/>
      <c r="E414" s="83"/>
      <c r="F414" s="83"/>
      <c r="G414" s="83"/>
    </row>
    <row r="415" spans="1:7" s="70" customFormat="1">
      <c r="A415" s="227"/>
      <c r="C415" s="83"/>
      <c r="D415" s="83"/>
      <c r="E415" s="83"/>
      <c r="F415" s="83"/>
      <c r="G415" s="83"/>
    </row>
    <row r="416" spans="1:7" s="70" customFormat="1">
      <c r="A416" s="227"/>
      <c r="C416" s="83"/>
      <c r="D416" s="83"/>
      <c r="E416" s="83"/>
      <c r="F416" s="83"/>
      <c r="G416" s="83"/>
    </row>
    <row r="417" spans="1:7" s="70" customFormat="1">
      <c r="A417" s="227"/>
      <c r="C417" s="83"/>
      <c r="D417" s="83"/>
      <c r="E417" s="83"/>
      <c r="F417" s="83"/>
      <c r="G417" s="83"/>
    </row>
    <row r="418" spans="1:7" s="70" customFormat="1">
      <c r="A418" s="227"/>
      <c r="C418" s="83"/>
      <c r="D418" s="83"/>
      <c r="E418" s="83"/>
      <c r="F418" s="83"/>
      <c r="G418" s="83"/>
    </row>
    <row r="419" spans="1:7" s="70" customFormat="1">
      <c r="A419" s="227"/>
      <c r="C419" s="83"/>
      <c r="D419" s="83"/>
      <c r="E419" s="83"/>
      <c r="F419" s="83"/>
      <c r="G419" s="83"/>
    </row>
    <row r="420" spans="1:7" s="70" customFormat="1">
      <c r="A420" s="227"/>
      <c r="C420" s="83"/>
      <c r="D420" s="83"/>
      <c r="E420" s="83"/>
      <c r="F420" s="83"/>
      <c r="G420" s="83"/>
    </row>
    <row r="421" spans="1:7" s="70" customFormat="1">
      <c r="A421" s="227"/>
      <c r="C421" s="83"/>
      <c r="D421" s="83"/>
      <c r="E421" s="83"/>
      <c r="F421" s="83"/>
      <c r="G421" s="83"/>
    </row>
    <row r="422" spans="1:7" s="70" customFormat="1">
      <c r="A422" s="227"/>
      <c r="C422" s="83"/>
      <c r="D422" s="83"/>
      <c r="E422" s="83"/>
      <c r="F422" s="83"/>
      <c r="G422" s="83"/>
    </row>
    <row r="423" spans="1:7" s="70" customFormat="1">
      <c r="A423" s="227"/>
      <c r="C423" s="83"/>
      <c r="D423" s="83"/>
      <c r="E423" s="83"/>
      <c r="F423" s="83"/>
      <c r="G423" s="83"/>
    </row>
    <row r="424" spans="1:7" s="70" customFormat="1">
      <c r="A424" s="227"/>
      <c r="C424" s="83"/>
      <c r="D424" s="83"/>
      <c r="E424" s="83"/>
      <c r="F424" s="83"/>
      <c r="G424" s="83"/>
    </row>
    <row r="425" spans="1:7" s="70" customFormat="1">
      <c r="A425" s="227"/>
      <c r="C425" s="83"/>
      <c r="D425" s="83"/>
      <c r="E425" s="83"/>
      <c r="F425" s="83"/>
      <c r="G425" s="83"/>
    </row>
    <row r="426" spans="1:7" s="70" customFormat="1">
      <c r="A426" s="227"/>
      <c r="C426" s="83"/>
      <c r="D426" s="83"/>
      <c r="E426" s="83"/>
      <c r="F426" s="83"/>
      <c r="G426" s="83"/>
    </row>
    <row r="427" spans="1:7" s="70" customFormat="1">
      <c r="A427" s="227"/>
      <c r="C427" s="83"/>
      <c r="D427" s="83"/>
      <c r="E427" s="83"/>
      <c r="F427" s="83"/>
      <c r="G427" s="83"/>
    </row>
    <row r="428" spans="1:7" s="70" customFormat="1">
      <c r="A428" s="227"/>
      <c r="C428" s="83"/>
      <c r="D428" s="83"/>
      <c r="E428" s="83"/>
      <c r="F428" s="83"/>
      <c r="G428" s="83"/>
    </row>
    <row r="429" spans="1:7" s="70" customFormat="1">
      <c r="A429" s="227"/>
      <c r="C429" s="83"/>
      <c r="D429" s="83"/>
      <c r="E429" s="83"/>
      <c r="F429" s="83"/>
      <c r="G429" s="83"/>
    </row>
    <row r="430" spans="1:7" s="70" customFormat="1">
      <c r="A430" s="227"/>
      <c r="C430" s="83"/>
      <c r="D430" s="83"/>
      <c r="E430" s="83"/>
      <c r="F430" s="83"/>
      <c r="G430" s="83"/>
    </row>
    <row r="431" spans="1:7" s="70" customFormat="1">
      <c r="A431" s="227"/>
      <c r="C431" s="83"/>
      <c r="D431" s="83"/>
      <c r="E431" s="83"/>
      <c r="F431" s="83"/>
      <c r="G431" s="83"/>
    </row>
    <row r="432" spans="1:7" s="70" customFormat="1">
      <c r="A432" s="227"/>
      <c r="C432" s="83"/>
      <c r="D432" s="83"/>
      <c r="E432" s="83"/>
      <c r="F432" s="83"/>
      <c r="G432" s="83"/>
    </row>
    <row r="433" spans="1:7" s="70" customFormat="1">
      <c r="A433" s="227"/>
      <c r="C433" s="83"/>
      <c r="D433" s="83"/>
      <c r="E433" s="83"/>
      <c r="F433" s="83"/>
      <c r="G433" s="83"/>
    </row>
    <row r="434" spans="1:7" s="70" customFormat="1">
      <c r="A434" s="227"/>
      <c r="C434" s="83"/>
      <c r="D434" s="83"/>
      <c r="E434" s="83"/>
      <c r="F434" s="83"/>
      <c r="G434" s="83"/>
    </row>
    <row r="435" spans="1:7" s="70" customFormat="1">
      <c r="A435" s="227"/>
      <c r="C435" s="83"/>
      <c r="D435" s="83"/>
      <c r="E435" s="83"/>
      <c r="F435" s="83"/>
      <c r="G435" s="83"/>
    </row>
    <row r="436" spans="1:7" s="70" customFormat="1">
      <c r="A436" s="227"/>
      <c r="C436" s="83"/>
      <c r="D436" s="83"/>
      <c r="E436" s="83"/>
      <c r="F436" s="83"/>
      <c r="G436" s="83"/>
    </row>
    <row r="437" spans="1:7" s="70" customFormat="1">
      <c r="A437" s="227"/>
      <c r="C437" s="83"/>
      <c r="D437" s="83"/>
      <c r="E437" s="83"/>
      <c r="F437" s="83"/>
      <c r="G437" s="83"/>
    </row>
    <row r="438" spans="1:7" s="70" customFormat="1">
      <c r="A438" s="227"/>
      <c r="C438" s="83"/>
      <c r="D438" s="83"/>
      <c r="E438" s="83"/>
      <c r="F438" s="83"/>
      <c r="G438" s="83"/>
    </row>
    <row r="439" spans="1:7" s="70" customFormat="1">
      <c r="A439" s="227"/>
      <c r="C439" s="83"/>
      <c r="D439" s="83"/>
      <c r="E439" s="83"/>
      <c r="F439" s="83"/>
      <c r="G439" s="83"/>
    </row>
    <row r="440" spans="1:7" s="70" customFormat="1">
      <c r="A440" s="227"/>
      <c r="C440" s="83"/>
      <c r="D440" s="83"/>
      <c r="E440" s="83"/>
      <c r="F440" s="83"/>
      <c r="G440" s="83"/>
    </row>
    <row r="441" spans="1:7" s="70" customFormat="1">
      <c r="A441" s="227"/>
      <c r="C441" s="83"/>
      <c r="D441" s="83"/>
      <c r="E441" s="83"/>
      <c r="F441" s="83"/>
      <c r="G441" s="83"/>
    </row>
    <row r="442" spans="1:7" s="70" customFormat="1">
      <c r="A442" s="227"/>
      <c r="C442" s="83"/>
      <c r="D442" s="83"/>
      <c r="E442" s="83"/>
      <c r="F442" s="83"/>
      <c r="G442" s="83"/>
    </row>
    <row r="443" spans="1:7" s="70" customFormat="1">
      <c r="A443" s="227"/>
      <c r="C443" s="83"/>
      <c r="D443" s="83"/>
      <c r="E443" s="83"/>
      <c r="F443" s="83"/>
      <c r="G443" s="83"/>
    </row>
    <row r="444" spans="1:7" s="70" customFormat="1">
      <c r="A444" s="227"/>
      <c r="C444" s="83"/>
      <c r="D444" s="83"/>
      <c r="E444" s="83"/>
      <c r="F444" s="83"/>
      <c r="G444" s="83"/>
    </row>
    <row r="445" spans="1:7" s="70" customFormat="1">
      <c r="A445" s="227"/>
      <c r="C445" s="83"/>
      <c r="D445" s="83"/>
      <c r="E445" s="83"/>
      <c r="F445" s="83"/>
      <c r="G445" s="83"/>
    </row>
    <row r="446" spans="1:7" s="70" customFormat="1">
      <c r="A446" s="227"/>
      <c r="C446" s="83"/>
      <c r="D446" s="83"/>
      <c r="E446" s="83"/>
      <c r="F446" s="83"/>
      <c r="G446" s="83"/>
    </row>
    <row r="447" spans="1:7" s="70" customFormat="1">
      <c r="A447" s="227"/>
      <c r="C447" s="83"/>
      <c r="D447" s="83"/>
      <c r="E447" s="83"/>
      <c r="F447" s="83"/>
      <c r="G447" s="83"/>
    </row>
    <row r="448" spans="1:7" s="70" customFormat="1">
      <c r="A448" s="227"/>
      <c r="C448" s="83"/>
      <c r="D448" s="83"/>
      <c r="E448" s="83"/>
      <c r="F448" s="83"/>
      <c r="G448" s="83"/>
    </row>
    <row r="449" spans="1:7" s="70" customFormat="1">
      <c r="A449" s="227"/>
      <c r="C449" s="83"/>
      <c r="D449" s="83"/>
      <c r="E449" s="83"/>
      <c r="F449" s="83"/>
      <c r="G449" s="83"/>
    </row>
    <row r="450" spans="1:7" s="70" customFormat="1">
      <c r="A450" s="227"/>
      <c r="C450" s="83"/>
      <c r="D450" s="83"/>
      <c r="E450" s="83"/>
      <c r="F450" s="83"/>
      <c r="G450" s="83"/>
    </row>
    <row r="451" spans="1:7" s="70" customFormat="1">
      <c r="A451" s="227"/>
      <c r="C451" s="83"/>
      <c r="D451" s="83"/>
      <c r="E451" s="83"/>
      <c r="F451" s="83"/>
      <c r="G451" s="83"/>
    </row>
    <row r="452" spans="1:7" s="70" customFormat="1">
      <c r="A452" s="227"/>
      <c r="C452" s="83"/>
      <c r="D452" s="83"/>
      <c r="E452" s="83"/>
      <c r="F452" s="83"/>
      <c r="G452" s="83"/>
    </row>
    <row r="453" spans="1:7" s="70" customFormat="1">
      <c r="A453" s="227"/>
      <c r="C453" s="83"/>
      <c r="D453" s="83"/>
      <c r="E453" s="83"/>
      <c r="F453" s="83"/>
      <c r="G453" s="83"/>
    </row>
    <row r="454" spans="1:7" s="70" customFormat="1">
      <c r="A454" s="227"/>
      <c r="C454" s="83"/>
      <c r="D454" s="83"/>
      <c r="E454" s="83"/>
      <c r="F454" s="83"/>
      <c r="G454" s="83"/>
    </row>
    <row r="455" spans="1:7" s="70" customFormat="1">
      <c r="A455" s="227"/>
      <c r="C455" s="83"/>
      <c r="D455" s="83"/>
      <c r="E455" s="83"/>
      <c r="F455" s="83"/>
      <c r="G455" s="83"/>
    </row>
    <row r="456" spans="1:7" s="70" customFormat="1">
      <c r="A456" s="227"/>
      <c r="C456" s="83"/>
      <c r="D456" s="83"/>
      <c r="E456" s="83"/>
      <c r="F456" s="83"/>
      <c r="G456" s="83"/>
    </row>
    <row r="457" spans="1:7" s="70" customFormat="1">
      <c r="A457" s="227"/>
      <c r="C457" s="83"/>
      <c r="D457" s="83"/>
      <c r="E457" s="83"/>
      <c r="F457" s="83"/>
      <c r="G457" s="83"/>
    </row>
    <row r="458" spans="1:7" s="70" customFormat="1">
      <c r="A458" s="227"/>
      <c r="C458" s="83"/>
      <c r="D458" s="83"/>
      <c r="E458" s="83"/>
      <c r="F458" s="83"/>
      <c r="G458" s="83"/>
    </row>
    <row r="459" spans="1:7" s="70" customFormat="1">
      <c r="A459" s="227"/>
      <c r="C459" s="83"/>
      <c r="D459" s="83"/>
      <c r="E459" s="83"/>
      <c r="F459" s="83"/>
      <c r="G459" s="83"/>
    </row>
    <row r="460" spans="1:7" s="70" customFormat="1">
      <c r="A460" s="227"/>
      <c r="C460" s="83"/>
      <c r="D460" s="83"/>
      <c r="E460" s="83"/>
      <c r="F460" s="83"/>
      <c r="G460" s="83"/>
    </row>
    <row r="461" spans="1:7" s="70" customFormat="1">
      <c r="A461" s="227"/>
      <c r="C461" s="83"/>
      <c r="D461" s="83"/>
      <c r="E461" s="83"/>
      <c r="F461" s="83"/>
      <c r="G461" s="83"/>
    </row>
    <row r="462" spans="1:7" s="70" customFormat="1">
      <c r="A462" s="227"/>
      <c r="C462" s="83"/>
      <c r="D462" s="83"/>
      <c r="E462" s="83"/>
      <c r="F462" s="83"/>
      <c r="G462" s="83"/>
    </row>
    <row r="463" spans="1:7" s="70" customFormat="1">
      <c r="A463" s="227"/>
      <c r="C463" s="83"/>
      <c r="D463" s="83"/>
      <c r="E463" s="83"/>
      <c r="F463" s="83"/>
      <c r="G463" s="83"/>
    </row>
    <row r="464" spans="1:7" s="70" customFormat="1">
      <c r="A464" s="227"/>
      <c r="C464" s="83"/>
      <c r="D464" s="83"/>
      <c r="E464" s="83"/>
      <c r="F464" s="83"/>
      <c r="G464" s="83"/>
    </row>
    <row r="465" spans="1:7" s="70" customFormat="1">
      <c r="A465" s="227"/>
      <c r="C465" s="83"/>
      <c r="D465" s="83"/>
      <c r="E465" s="83"/>
      <c r="F465" s="83"/>
      <c r="G465" s="83"/>
    </row>
    <row r="466" spans="1:7" s="70" customFormat="1">
      <c r="A466" s="227"/>
      <c r="C466" s="83"/>
      <c r="D466" s="83"/>
      <c r="E466" s="83"/>
      <c r="F466" s="83"/>
      <c r="G466" s="83"/>
    </row>
    <row r="467" spans="1:7" s="70" customFormat="1">
      <c r="A467" s="227"/>
      <c r="C467" s="83"/>
      <c r="D467" s="83"/>
      <c r="E467" s="83"/>
      <c r="F467" s="83"/>
      <c r="G467" s="83"/>
    </row>
    <row r="468" spans="1:7" s="70" customFormat="1">
      <c r="A468" s="227"/>
      <c r="C468" s="83"/>
      <c r="D468" s="83"/>
      <c r="E468" s="83"/>
      <c r="F468" s="83"/>
      <c r="G468" s="83"/>
    </row>
    <row r="469" spans="1:7" s="70" customFormat="1">
      <c r="A469" s="227"/>
      <c r="C469" s="83"/>
      <c r="D469" s="83"/>
      <c r="E469" s="83"/>
      <c r="F469" s="83"/>
      <c r="G469" s="83"/>
    </row>
    <row r="470" spans="1:7" s="70" customFormat="1">
      <c r="A470" s="227"/>
      <c r="C470" s="83"/>
      <c r="D470" s="83"/>
      <c r="E470" s="83"/>
      <c r="F470" s="83"/>
      <c r="G470" s="83"/>
    </row>
    <row r="471" spans="1:7" s="70" customFormat="1">
      <c r="A471" s="227"/>
      <c r="C471" s="83"/>
      <c r="D471" s="83"/>
      <c r="E471" s="83"/>
      <c r="F471" s="83"/>
      <c r="G471" s="83"/>
    </row>
    <row r="472" spans="1:7" s="70" customFormat="1">
      <c r="A472" s="227"/>
      <c r="C472" s="83"/>
      <c r="D472" s="83"/>
      <c r="E472" s="83"/>
      <c r="F472" s="83"/>
      <c r="G472" s="83"/>
    </row>
    <row r="473" spans="1:7" s="70" customFormat="1">
      <c r="A473" s="227"/>
      <c r="C473" s="83"/>
      <c r="D473" s="83"/>
      <c r="E473" s="83"/>
      <c r="F473" s="83"/>
      <c r="G473" s="83"/>
    </row>
    <row r="474" spans="1:7" s="70" customFormat="1">
      <c r="A474" s="227"/>
      <c r="C474" s="83"/>
      <c r="D474" s="83"/>
      <c r="E474" s="83"/>
      <c r="F474" s="83"/>
      <c r="G474" s="83"/>
    </row>
    <row r="475" spans="1:7" s="70" customFormat="1">
      <c r="A475" s="227"/>
      <c r="C475" s="83"/>
      <c r="D475" s="83"/>
      <c r="E475" s="83"/>
      <c r="F475" s="83"/>
      <c r="G475" s="83"/>
    </row>
    <row r="476" spans="1:7" s="70" customFormat="1">
      <c r="A476" s="227"/>
      <c r="C476" s="83"/>
      <c r="D476" s="83"/>
      <c r="E476" s="83"/>
      <c r="F476" s="83"/>
      <c r="G476" s="83"/>
    </row>
    <row r="477" spans="1:7" s="70" customFormat="1">
      <c r="A477" s="227"/>
      <c r="C477" s="83"/>
      <c r="D477" s="83"/>
      <c r="E477" s="83"/>
      <c r="F477" s="83"/>
      <c r="G477" s="83"/>
    </row>
    <row r="478" spans="1:7" s="70" customFormat="1">
      <c r="A478" s="227"/>
      <c r="C478" s="83"/>
      <c r="D478" s="83"/>
      <c r="E478" s="83"/>
      <c r="F478" s="83"/>
      <c r="G478" s="83"/>
    </row>
    <row r="479" spans="1:7" s="70" customFormat="1">
      <c r="A479" s="227"/>
      <c r="C479" s="83"/>
      <c r="D479" s="83"/>
      <c r="E479" s="83"/>
      <c r="F479" s="83"/>
      <c r="G479" s="83"/>
    </row>
    <row r="480" spans="1:7" s="70" customFormat="1">
      <c r="A480" s="227"/>
      <c r="C480" s="83"/>
      <c r="D480" s="83"/>
      <c r="E480" s="83"/>
      <c r="F480" s="83"/>
      <c r="G480" s="83"/>
    </row>
    <row r="481" spans="1:7" s="70" customFormat="1">
      <c r="A481" s="227"/>
      <c r="C481" s="83"/>
      <c r="D481" s="83"/>
      <c r="E481" s="83"/>
      <c r="F481" s="83"/>
      <c r="G481" s="83"/>
    </row>
    <row r="482" spans="1:7" s="70" customFormat="1">
      <c r="A482" s="227"/>
      <c r="C482" s="83"/>
      <c r="D482" s="83"/>
      <c r="E482" s="83"/>
      <c r="F482" s="83"/>
      <c r="G482" s="83"/>
    </row>
    <row r="483" spans="1:7" s="70" customFormat="1">
      <c r="A483" s="227"/>
      <c r="C483" s="83"/>
      <c r="D483" s="83"/>
      <c r="E483" s="83"/>
      <c r="F483" s="83"/>
      <c r="G483" s="83"/>
    </row>
    <row r="484" spans="1:7" s="70" customFormat="1">
      <c r="A484" s="227"/>
      <c r="C484" s="83"/>
      <c r="D484" s="83"/>
      <c r="E484" s="83"/>
      <c r="F484" s="83"/>
      <c r="G484" s="83"/>
    </row>
    <row r="485" spans="1:7" s="70" customFormat="1">
      <c r="A485" s="227"/>
      <c r="C485" s="83"/>
      <c r="D485" s="83"/>
      <c r="E485" s="83"/>
      <c r="F485" s="83"/>
      <c r="G485" s="83"/>
    </row>
    <row r="486" spans="1:7" s="70" customFormat="1">
      <c r="A486" s="227"/>
      <c r="C486" s="83"/>
      <c r="D486" s="83"/>
      <c r="E486" s="83"/>
      <c r="F486" s="83"/>
      <c r="G486" s="83"/>
    </row>
    <row r="487" spans="1:7" s="70" customFormat="1">
      <c r="A487" s="227"/>
      <c r="C487" s="83"/>
      <c r="D487" s="83"/>
      <c r="E487" s="83"/>
      <c r="F487" s="83"/>
      <c r="G487" s="83"/>
    </row>
    <row r="488" spans="1:7" s="70" customFormat="1">
      <c r="A488" s="227"/>
      <c r="C488" s="83"/>
      <c r="D488" s="83"/>
      <c r="E488" s="83"/>
      <c r="F488" s="83"/>
      <c r="G488" s="83"/>
    </row>
    <row r="489" spans="1:7" s="70" customFormat="1">
      <c r="A489" s="227"/>
      <c r="C489" s="83"/>
      <c r="D489" s="83"/>
      <c r="E489" s="83"/>
      <c r="F489" s="83"/>
      <c r="G489" s="83"/>
    </row>
    <row r="490" spans="1:7" s="70" customFormat="1">
      <c r="A490" s="227"/>
      <c r="C490" s="83"/>
      <c r="D490" s="83"/>
      <c r="E490" s="83"/>
      <c r="F490" s="83"/>
      <c r="G490" s="83"/>
    </row>
    <row r="491" spans="1:7" s="70" customFormat="1">
      <c r="A491" s="227"/>
      <c r="C491" s="83"/>
      <c r="D491" s="83"/>
      <c r="E491" s="83"/>
      <c r="F491" s="83"/>
      <c r="G491" s="83"/>
    </row>
    <row r="492" spans="1:7" s="70" customFormat="1">
      <c r="A492" s="227"/>
      <c r="C492" s="83"/>
      <c r="D492" s="83"/>
      <c r="E492" s="83"/>
      <c r="F492" s="83"/>
      <c r="G492" s="83"/>
    </row>
    <row r="493" spans="1:7" s="70" customFormat="1">
      <c r="A493" s="227"/>
      <c r="C493" s="83"/>
      <c r="D493" s="83"/>
      <c r="E493" s="83"/>
      <c r="F493" s="83"/>
      <c r="G493" s="83"/>
    </row>
    <row r="494" spans="1:7" s="70" customFormat="1">
      <c r="A494" s="227"/>
      <c r="C494" s="83"/>
      <c r="D494" s="83"/>
      <c r="E494" s="83"/>
      <c r="F494" s="83"/>
      <c r="G494" s="83"/>
    </row>
    <row r="495" spans="1:7" s="70" customFormat="1">
      <c r="A495" s="227"/>
      <c r="C495" s="83"/>
      <c r="D495" s="83"/>
      <c r="E495" s="83"/>
      <c r="F495" s="83"/>
      <c r="G495" s="83"/>
    </row>
    <row r="496" spans="1:7" s="70" customFormat="1">
      <c r="A496" s="227"/>
      <c r="C496" s="83"/>
      <c r="D496" s="83"/>
      <c r="E496" s="83"/>
      <c r="F496" s="83"/>
      <c r="G496" s="83"/>
    </row>
    <row r="497" spans="1:7" s="70" customFormat="1">
      <c r="A497" s="227"/>
      <c r="C497" s="83"/>
      <c r="D497" s="83"/>
      <c r="E497" s="83"/>
      <c r="F497" s="83"/>
      <c r="G497" s="83"/>
    </row>
    <row r="498" spans="1:7" s="70" customFormat="1">
      <c r="A498" s="227"/>
      <c r="C498" s="83"/>
      <c r="D498" s="83"/>
      <c r="E498" s="83"/>
      <c r="F498" s="83"/>
      <c r="G498" s="83"/>
    </row>
    <row r="499" spans="1:7" s="70" customFormat="1">
      <c r="A499" s="227"/>
      <c r="C499" s="83"/>
      <c r="D499" s="83"/>
      <c r="E499" s="83"/>
      <c r="F499" s="83"/>
      <c r="G499" s="83"/>
    </row>
    <row r="500" spans="1:7" s="70" customFormat="1">
      <c r="A500" s="227"/>
      <c r="C500" s="83"/>
      <c r="D500" s="83"/>
      <c r="E500" s="83"/>
      <c r="F500" s="83"/>
      <c r="G500" s="83"/>
    </row>
    <row r="501" spans="1:7" s="70" customFormat="1">
      <c r="A501" s="227"/>
      <c r="C501" s="83"/>
      <c r="D501" s="83"/>
      <c r="E501" s="83"/>
      <c r="F501" s="83"/>
      <c r="G501" s="83"/>
    </row>
    <row r="502" spans="1:7" s="70" customFormat="1">
      <c r="A502" s="227"/>
      <c r="C502" s="83"/>
      <c r="D502" s="83"/>
      <c r="E502" s="83"/>
      <c r="F502" s="83"/>
      <c r="G502" s="83"/>
    </row>
    <row r="503" spans="1:7" s="70" customFormat="1">
      <c r="A503" s="227"/>
      <c r="C503" s="83"/>
      <c r="D503" s="83"/>
      <c r="E503" s="83"/>
      <c r="F503" s="83"/>
      <c r="G503" s="83"/>
    </row>
    <row r="504" spans="1:7" s="70" customFormat="1">
      <c r="A504" s="227"/>
      <c r="C504" s="83"/>
      <c r="D504" s="83"/>
      <c r="E504" s="83"/>
      <c r="F504" s="83"/>
      <c r="G504" s="83"/>
    </row>
    <row r="505" spans="1:7" s="70" customFormat="1">
      <c r="A505" s="227"/>
      <c r="C505" s="83"/>
      <c r="D505" s="83"/>
      <c r="E505" s="83"/>
      <c r="F505" s="83"/>
      <c r="G505" s="83"/>
    </row>
    <row r="506" spans="1:7" s="70" customFormat="1">
      <c r="A506" s="227"/>
      <c r="C506" s="83"/>
      <c r="D506" s="83"/>
      <c r="E506" s="83"/>
      <c r="F506" s="83"/>
      <c r="G506" s="83"/>
    </row>
    <row r="507" spans="1:7" s="70" customFormat="1">
      <c r="A507" s="227"/>
      <c r="C507" s="83"/>
      <c r="D507" s="83"/>
      <c r="E507" s="83"/>
      <c r="F507" s="83"/>
      <c r="G507" s="83"/>
    </row>
    <row r="508" spans="1:7" s="70" customFormat="1">
      <c r="A508" s="227"/>
      <c r="C508" s="83"/>
      <c r="D508" s="83"/>
      <c r="E508" s="83"/>
      <c r="F508" s="83"/>
      <c r="G508" s="83"/>
    </row>
    <row r="509" spans="1:7" s="70" customFormat="1">
      <c r="A509" s="227"/>
      <c r="C509" s="83"/>
      <c r="D509" s="83"/>
      <c r="E509" s="83"/>
      <c r="F509" s="83"/>
      <c r="G509" s="83"/>
    </row>
    <row r="510" spans="1:7" s="70" customFormat="1">
      <c r="A510" s="227"/>
      <c r="C510" s="83"/>
      <c r="D510" s="83"/>
      <c r="E510" s="83"/>
      <c r="F510" s="83"/>
      <c r="G510" s="83"/>
    </row>
    <row r="511" spans="1:7" s="70" customFormat="1">
      <c r="A511" s="227"/>
      <c r="C511" s="83"/>
      <c r="D511" s="83"/>
      <c r="E511" s="83"/>
      <c r="F511" s="83"/>
      <c r="G511" s="83"/>
    </row>
    <row r="512" spans="1:7" s="70" customFormat="1">
      <c r="A512" s="227"/>
      <c r="C512" s="83"/>
      <c r="D512" s="83"/>
      <c r="E512" s="83"/>
      <c r="F512" s="83"/>
      <c r="G512" s="83"/>
    </row>
    <row r="513" spans="1:7" s="70" customFormat="1">
      <c r="A513" s="227"/>
      <c r="C513" s="83"/>
      <c r="D513" s="83"/>
      <c r="E513" s="83"/>
      <c r="F513" s="83"/>
      <c r="G513" s="83"/>
    </row>
    <row r="514" spans="1:7" s="70" customFormat="1">
      <c r="A514" s="227"/>
      <c r="C514" s="83"/>
      <c r="D514" s="83"/>
      <c r="E514" s="83"/>
      <c r="F514" s="83"/>
      <c r="G514" s="83"/>
    </row>
    <row r="515" spans="1:7" s="70" customFormat="1">
      <c r="A515" s="227"/>
      <c r="C515" s="83"/>
      <c r="D515" s="83"/>
      <c r="E515" s="83"/>
      <c r="F515" s="83"/>
      <c r="G515" s="83"/>
    </row>
    <row r="516" spans="1:7" s="70" customFormat="1">
      <c r="A516" s="227"/>
      <c r="C516" s="83"/>
      <c r="D516" s="83"/>
      <c r="E516" s="83"/>
      <c r="F516" s="83"/>
      <c r="G516" s="83"/>
    </row>
    <row r="517" spans="1:7" s="70" customFormat="1">
      <c r="A517" s="227"/>
      <c r="C517" s="83"/>
      <c r="D517" s="83"/>
      <c r="E517" s="83"/>
      <c r="F517" s="83"/>
      <c r="G517" s="83"/>
    </row>
    <row r="518" spans="1:7" s="70" customFormat="1">
      <c r="A518" s="227"/>
      <c r="C518" s="83"/>
      <c r="D518" s="83"/>
      <c r="E518" s="83"/>
      <c r="F518" s="83"/>
      <c r="G518" s="83"/>
    </row>
    <row r="519" spans="1:7" s="70" customFormat="1">
      <c r="A519" s="227"/>
      <c r="C519" s="83"/>
      <c r="D519" s="83"/>
      <c r="E519" s="83"/>
      <c r="F519" s="83"/>
      <c r="G519" s="83"/>
    </row>
    <row r="520" spans="1:7" s="70" customFormat="1">
      <c r="A520" s="227"/>
      <c r="C520" s="83"/>
      <c r="D520" s="83"/>
      <c r="E520" s="83"/>
      <c r="F520" s="83"/>
      <c r="G520" s="83"/>
    </row>
    <row r="521" spans="1:7" s="70" customFormat="1">
      <c r="A521" s="227"/>
      <c r="C521" s="83"/>
      <c r="D521" s="83"/>
      <c r="E521" s="83"/>
      <c r="F521" s="83"/>
      <c r="G521" s="83"/>
    </row>
    <row r="522" spans="1:7" s="70" customFormat="1">
      <c r="A522" s="227"/>
      <c r="C522" s="83"/>
      <c r="D522" s="83"/>
      <c r="E522" s="83"/>
      <c r="F522" s="83"/>
      <c r="G522" s="83"/>
    </row>
    <row r="523" spans="1:7" s="70" customFormat="1">
      <c r="A523" s="227"/>
      <c r="C523" s="83"/>
      <c r="D523" s="83"/>
      <c r="E523" s="83"/>
      <c r="F523" s="83"/>
      <c r="G523" s="83"/>
    </row>
    <row r="524" spans="1:7" s="70" customFormat="1">
      <c r="A524" s="227"/>
      <c r="C524" s="83"/>
      <c r="D524" s="83"/>
      <c r="E524" s="83"/>
      <c r="F524" s="83"/>
      <c r="G524" s="83"/>
    </row>
    <row r="525" spans="1:7" s="70" customFormat="1">
      <c r="A525" s="227"/>
      <c r="C525" s="83"/>
      <c r="D525" s="83"/>
      <c r="E525" s="83"/>
      <c r="F525" s="83"/>
      <c r="G525" s="83"/>
    </row>
    <row r="526" spans="1:7" s="70" customFormat="1">
      <c r="A526" s="227"/>
      <c r="C526" s="83"/>
      <c r="D526" s="83"/>
      <c r="E526" s="83"/>
      <c r="F526" s="83"/>
      <c r="G526" s="83"/>
    </row>
    <row r="527" spans="1:7" s="70" customFormat="1">
      <c r="A527" s="227"/>
      <c r="C527" s="83"/>
      <c r="D527" s="83"/>
      <c r="E527" s="83"/>
      <c r="F527" s="83"/>
      <c r="G527" s="83"/>
    </row>
    <row r="528" spans="1:7" s="70" customFormat="1">
      <c r="A528" s="227"/>
      <c r="C528" s="83"/>
      <c r="D528" s="83"/>
      <c r="E528" s="83"/>
      <c r="F528" s="83"/>
      <c r="G528" s="83"/>
    </row>
    <row r="529" spans="1:7" s="70" customFormat="1">
      <c r="A529" s="227"/>
      <c r="C529" s="83"/>
      <c r="D529" s="83"/>
      <c r="E529" s="83"/>
      <c r="F529" s="83"/>
      <c r="G529" s="83"/>
    </row>
    <row r="530" spans="1:7" s="70" customFormat="1">
      <c r="A530" s="227"/>
      <c r="C530" s="83"/>
      <c r="D530" s="83"/>
      <c r="E530" s="83"/>
      <c r="F530" s="83"/>
      <c r="G530" s="83"/>
    </row>
    <row r="531" spans="1:7" s="70" customFormat="1">
      <c r="A531" s="227"/>
      <c r="C531" s="83"/>
      <c r="D531" s="83"/>
      <c r="E531" s="83"/>
      <c r="F531" s="83"/>
      <c r="G531" s="83"/>
    </row>
    <row r="532" spans="1:7" s="70" customFormat="1">
      <c r="A532" s="227"/>
      <c r="C532" s="83"/>
      <c r="D532" s="83"/>
      <c r="E532" s="83"/>
      <c r="F532" s="83"/>
      <c r="G532" s="83"/>
    </row>
    <row r="533" spans="1:7" s="70" customFormat="1">
      <c r="A533" s="227"/>
      <c r="C533" s="83"/>
      <c r="D533" s="83"/>
      <c r="E533" s="83"/>
      <c r="F533" s="83"/>
      <c r="G533" s="83"/>
    </row>
    <row r="534" spans="1:7" s="70" customFormat="1">
      <c r="A534" s="227"/>
      <c r="C534" s="83"/>
      <c r="D534" s="83"/>
      <c r="E534" s="83"/>
      <c r="F534" s="83"/>
      <c r="G534" s="83"/>
    </row>
    <row r="535" spans="1:7" s="70" customFormat="1">
      <c r="A535" s="227"/>
      <c r="C535" s="83"/>
      <c r="D535" s="83"/>
      <c r="E535" s="83"/>
      <c r="F535" s="83"/>
      <c r="G535" s="83"/>
    </row>
    <row r="536" spans="1:7" s="70" customFormat="1">
      <c r="A536" s="227"/>
      <c r="C536" s="83"/>
      <c r="D536" s="83"/>
      <c r="E536" s="83"/>
      <c r="F536" s="83"/>
      <c r="G536" s="83"/>
    </row>
    <row r="537" spans="1:7" s="70" customFormat="1">
      <c r="A537" s="227"/>
      <c r="C537" s="83"/>
      <c r="D537" s="83"/>
      <c r="E537" s="83"/>
      <c r="F537" s="83"/>
      <c r="G537" s="83"/>
    </row>
    <row r="538" spans="1:7" s="70" customFormat="1">
      <c r="A538" s="227"/>
      <c r="C538" s="83"/>
      <c r="D538" s="83"/>
      <c r="E538" s="83"/>
      <c r="F538" s="83"/>
      <c r="G538" s="83"/>
    </row>
    <row r="539" spans="1:7" s="70" customFormat="1">
      <c r="A539" s="227"/>
      <c r="C539" s="83"/>
      <c r="D539" s="83"/>
      <c r="E539" s="83"/>
      <c r="F539" s="83"/>
      <c r="G539" s="83"/>
    </row>
    <row r="540" spans="1:7" s="70" customFormat="1">
      <c r="A540" s="227"/>
      <c r="C540" s="83"/>
      <c r="D540" s="83"/>
      <c r="E540" s="83"/>
      <c r="F540" s="83"/>
      <c r="G540" s="83"/>
    </row>
    <row r="541" spans="1:7" s="70" customFormat="1">
      <c r="A541" s="227"/>
      <c r="C541" s="83"/>
      <c r="D541" s="83"/>
      <c r="E541" s="83"/>
      <c r="F541" s="83"/>
      <c r="G541" s="83"/>
    </row>
    <row r="542" spans="1:7" s="70" customFormat="1">
      <c r="A542" s="227"/>
      <c r="C542" s="83"/>
      <c r="D542" s="83"/>
      <c r="E542" s="83"/>
      <c r="F542" s="83"/>
      <c r="G542" s="83"/>
    </row>
    <row r="543" spans="1:7" s="70" customFormat="1">
      <c r="A543" s="227"/>
      <c r="C543" s="83"/>
      <c r="D543" s="83"/>
      <c r="E543" s="83"/>
      <c r="F543" s="83"/>
      <c r="G543" s="83"/>
    </row>
    <row r="544" spans="1:7" s="70" customFormat="1">
      <c r="A544" s="227"/>
      <c r="C544" s="83"/>
      <c r="D544" s="83"/>
      <c r="E544" s="83"/>
      <c r="F544" s="83"/>
      <c r="G544" s="83"/>
    </row>
    <row r="545" spans="1:7" s="70" customFormat="1">
      <c r="A545" s="227"/>
      <c r="C545" s="83"/>
      <c r="D545" s="83"/>
      <c r="E545" s="83"/>
      <c r="F545" s="83"/>
      <c r="G545" s="83"/>
    </row>
    <row r="546" spans="1:7" s="70" customFormat="1">
      <c r="A546" s="227"/>
      <c r="C546" s="83"/>
      <c r="D546" s="83"/>
      <c r="E546" s="83"/>
      <c r="F546" s="83"/>
      <c r="G546" s="83"/>
    </row>
    <row r="547" spans="1:7" s="70" customFormat="1">
      <c r="A547" s="227"/>
      <c r="C547" s="83"/>
      <c r="D547" s="83"/>
      <c r="E547" s="83"/>
      <c r="F547" s="83"/>
      <c r="G547" s="83"/>
    </row>
    <row r="548" spans="1:7" s="70" customFormat="1">
      <c r="A548" s="227"/>
      <c r="C548" s="83"/>
      <c r="D548" s="83"/>
      <c r="E548" s="83"/>
      <c r="F548" s="83"/>
      <c r="G548" s="83"/>
    </row>
    <row r="549" spans="1:7" s="70" customFormat="1">
      <c r="A549" s="227"/>
      <c r="C549" s="83"/>
      <c r="D549" s="83"/>
      <c r="E549" s="83"/>
      <c r="F549" s="83"/>
      <c r="G549" s="83"/>
    </row>
    <row r="550" spans="1:7" s="70" customFormat="1">
      <c r="A550" s="227"/>
      <c r="C550" s="83"/>
      <c r="D550" s="83"/>
      <c r="E550" s="83"/>
      <c r="F550" s="83"/>
      <c r="G550" s="83"/>
    </row>
    <row r="551" spans="1:7" s="70" customFormat="1">
      <c r="A551" s="227"/>
      <c r="C551" s="83"/>
      <c r="D551" s="83"/>
      <c r="E551" s="83"/>
      <c r="F551" s="83"/>
      <c r="G551" s="83"/>
    </row>
    <row r="552" spans="1:7" s="70" customFormat="1">
      <c r="A552" s="227"/>
      <c r="C552" s="83"/>
      <c r="D552" s="83"/>
      <c r="E552" s="83"/>
      <c r="F552" s="83"/>
      <c r="G552" s="83"/>
    </row>
    <row r="553" spans="1:7" s="70" customFormat="1">
      <c r="A553" s="227"/>
      <c r="C553" s="83"/>
      <c r="D553" s="83"/>
      <c r="E553" s="83"/>
      <c r="F553" s="83"/>
      <c r="G553" s="83"/>
    </row>
    <row r="554" spans="1:7" s="70" customFormat="1">
      <c r="A554" s="227"/>
      <c r="C554" s="83"/>
      <c r="D554" s="83"/>
      <c r="E554" s="83"/>
      <c r="F554" s="83"/>
      <c r="G554" s="83"/>
    </row>
    <row r="555" spans="1:7" s="70" customFormat="1">
      <c r="A555" s="227"/>
      <c r="C555" s="83"/>
      <c r="D555" s="83"/>
      <c r="E555" s="83"/>
      <c r="F555" s="83"/>
      <c r="G555" s="83"/>
    </row>
    <row r="556" spans="1:7" s="70" customFormat="1">
      <c r="A556" s="227"/>
      <c r="C556" s="83"/>
      <c r="D556" s="83"/>
      <c r="E556" s="83"/>
      <c r="F556" s="83"/>
      <c r="G556" s="83"/>
    </row>
    <row r="557" spans="1:7" s="70" customFormat="1">
      <c r="A557" s="227"/>
      <c r="C557" s="83"/>
      <c r="D557" s="83"/>
      <c r="E557" s="83"/>
      <c r="F557" s="83"/>
      <c r="G557" s="83"/>
    </row>
    <row r="558" spans="1:7" s="70" customFormat="1">
      <c r="A558" s="227"/>
      <c r="C558" s="83"/>
      <c r="D558" s="83"/>
      <c r="E558" s="83"/>
      <c r="F558" s="83"/>
      <c r="G558" s="83"/>
    </row>
    <row r="559" spans="1:7" s="70" customFormat="1">
      <c r="A559" s="227"/>
      <c r="C559" s="83"/>
      <c r="D559" s="83"/>
      <c r="E559" s="83"/>
      <c r="F559" s="83"/>
      <c r="G559" s="83"/>
    </row>
    <row r="560" spans="1:7" s="70" customFormat="1">
      <c r="A560" s="227"/>
      <c r="C560" s="83"/>
      <c r="D560" s="83"/>
      <c r="E560" s="83"/>
      <c r="F560" s="83"/>
      <c r="G560" s="83"/>
    </row>
    <row r="561" spans="1:7" s="70" customFormat="1">
      <c r="A561" s="227"/>
      <c r="C561" s="83"/>
      <c r="D561" s="83"/>
      <c r="E561" s="83"/>
      <c r="F561" s="83"/>
      <c r="G561" s="83"/>
    </row>
    <row r="562" spans="1:7" s="70" customFormat="1">
      <c r="A562" s="227"/>
      <c r="C562" s="83"/>
      <c r="D562" s="83"/>
      <c r="E562" s="83"/>
      <c r="F562" s="83"/>
      <c r="G562" s="83"/>
    </row>
    <row r="563" spans="1:7" s="70" customFormat="1">
      <c r="A563" s="227"/>
      <c r="C563" s="83"/>
      <c r="D563" s="83"/>
      <c r="E563" s="83"/>
      <c r="F563" s="83"/>
      <c r="G563" s="83"/>
    </row>
    <row r="564" spans="1:7" s="70" customFormat="1">
      <c r="A564" s="227"/>
      <c r="C564" s="83"/>
      <c r="D564" s="83"/>
      <c r="E564" s="83"/>
      <c r="F564" s="83"/>
      <c r="G564" s="83"/>
    </row>
    <row r="565" spans="1:7" s="70" customFormat="1">
      <c r="A565" s="227"/>
      <c r="C565" s="83"/>
      <c r="D565" s="83"/>
      <c r="E565" s="83"/>
      <c r="F565" s="83"/>
      <c r="G565" s="83"/>
    </row>
    <row r="566" spans="1:7" s="70" customFormat="1">
      <c r="A566" s="227"/>
      <c r="C566" s="83"/>
      <c r="D566" s="83"/>
      <c r="E566" s="83"/>
      <c r="F566" s="83"/>
      <c r="G566" s="83"/>
    </row>
    <row r="567" spans="1:7" s="70" customFormat="1">
      <c r="A567" s="227"/>
      <c r="C567" s="83"/>
      <c r="D567" s="83"/>
      <c r="E567" s="83"/>
      <c r="F567" s="83"/>
      <c r="G567" s="83"/>
    </row>
    <row r="568" spans="1:7" s="70" customFormat="1">
      <c r="A568" s="227"/>
      <c r="C568" s="83"/>
      <c r="D568" s="83"/>
      <c r="E568" s="83"/>
      <c r="F568" s="83"/>
      <c r="G568" s="83"/>
    </row>
    <row r="569" spans="1:7" s="70" customFormat="1">
      <c r="A569" s="227"/>
      <c r="C569" s="83"/>
      <c r="D569" s="83"/>
      <c r="E569" s="83"/>
      <c r="F569" s="83"/>
      <c r="G569" s="83"/>
    </row>
    <row r="570" spans="1:7" s="70" customFormat="1">
      <c r="A570" s="227"/>
      <c r="C570" s="83"/>
      <c r="D570" s="83"/>
      <c r="E570" s="83"/>
      <c r="F570" s="83"/>
      <c r="G570" s="83"/>
    </row>
    <row r="571" spans="1:7" s="70" customFormat="1">
      <c r="A571" s="227"/>
      <c r="C571" s="83"/>
      <c r="D571" s="83"/>
      <c r="E571" s="83"/>
      <c r="F571" s="83"/>
      <c r="G571" s="83"/>
    </row>
    <row r="572" spans="1:7" s="70" customFormat="1">
      <c r="A572" s="227"/>
      <c r="C572" s="83"/>
      <c r="D572" s="83"/>
      <c r="E572" s="83"/>
      <c r="F572" s="83"/>
      <c r="G572" s="83"/>
    </row>
    <row r="573" spans="1:7" s="70" customFormat="1">
      <c r="A573" s="227"/>
      <c r="C573" s="83"/>
      <c r="D573" s="83"/>
      <c r="E573" s="83"/>
      <c r="F573" s="83"/>
      <c r="G573" s="83"/>
    </row>
    <row r="574" spans="1:7" s="70" customFormat="1">
      <c r="A574" s="227"/>
      <c r="C574" s="83"/>
      <c r="D574" s="83"/>
      <c r="E574" s="83"/>
      <c r="F574" s="83"/>
      <c r="G574" s="83"/>
    </row>
    <row r="575" spans="1:7" s="70" customFormat="1">
      <c r="A575" s="227"/>
      <c r="C575" s="83"/>
      <c r="D575" s="83"/>
      <c r="E575" s="83"/>
      <c r="F575" s="83"/>
      <c r="G575" s="83"/>
    </row>
    <row r="576" spans="1:7" s="70" customFormat="1">
      <c r="A576" s="227"/>
      <c r="C576" s="83"/>
      <c r="D576" s="83"/>
      <c r="E576" s="83"/>
      <c r="F576" s="83"/>
      <c r="G576" s="83"/>
    </row>
    <row r="577" spans="1:7" s="70" customFormat="1">
      <c r="A577" s="227"/>
      <c r="C577" s="83"/>
      <c r="D577" s="83"/>
      <c r="E577" s="83"/>
      <c r="F577" s="83"/>
      <c r="G577" s="83"/>
    </row>
    <row r="578" spans="1:7" s="70" customFormat="1">
      <c r="A578" s="227"/>
      <c r="C578" s="83"/>
      <c r="D578" s="83"/>
      <c r="E578" s="83"/>
      <c r="F578" s="83"/>
      <c r="G578" s="83"/>
    </row>
    <row r="579" spans="1:7" s="70" customFormat="1">
      <c r="A579" s="227"/>
      <c r="C579" s="83"/>
      <c r="D579" s="83"/>
      <c r="E579" s="83"/>
      <c r="F579" s="83"/>
      <c r="G579" s="83"/>
    </row>
    <row r="580" spans="1:7" s="70" customFormat="1">
      <c r="A580" s="227"/>
      <c r="C580" s="83"/>
      <c r="D580" s="83"/>
      <c r="E580" s="83"/>
      <c r="F580" s="83"/>
      <c r="G580" s="83"/>
    </row>
    <row r="581" spans="1:7" s="70" customFormat="1">
      <c r="A581" s="227"/>
      <c r="C581" s="83"/>
      <c r="D581" s="83"/>
      <c r="E581" s="83"/>
      <c r="F581" s="83"/>
      <c r="G581" s="83"/>
    </row>
    <row r="582" spans="1:7" s="70" customFormat="1">
      <c r="A582" s="227"/>
      <c r="C582" s="83"/>
      <c r="D582" s="83"/>
      <c r="E582" s="83"/>
      <c r="F582" s="83"/>
      <c r="G582" s="83"/>
    </row>
    <row r="583" spans="1:7" s="70" customFormat="1">
      <c r="A583" s="227"/>
      <c r="C583" s="83"/>
      <c r="D583" s="83"/>
      <c r="E583" s="83"/>
      <c r="F583" s="83"/>
      <c r="G583" s="83"/>
    </row>
    <row r="584" spans="1:7" s="70" customFormat="1">
      <c r="A584" s="227"/>
      <c r="C584" s="83"/>
      <c r="D584" s="83"/>
      <c r="E584" s="83"/>
      <c r="F584" s="83"/>
      <c r="G584" s="83"/>
    </row>
    <row r="585" spans="1:7" s="70" customFormat="1">
      <c r="A585" s="227"/>
      <c r="C585" s="83"/>
      <c r="D585" s="83"/>
      <c r="E585" s="83"/>
      <c r="F585" s="83"/>
      <c r="G585" s="83"/>
    </row>
    <row r="586" spans="1:7" s="70" customFormat="1">
      <c r="A586" s="227"/>
      <c r="C586" s="83"/>
      <c r="D586" s="83"/>
      <c r="E586" s="83"/>
      <c r="F586" s="83"/>
      <c r="G586" s="83"/>
    </row>
    <row r="587" spans="1:7" s="70" customFormat="1">
      <c r="A587" s="227"/>
      <c r="C587" s="83"/>
      <c r="D587" s="83"/>
      <c r="E587" s="83"/>
      <c r="F587" s="83"/>
      <c r="G587" s="83"/>
    </row>
    <row r="588" spans="1:7" s="70" customFormat="1">
      <c r="A588" s="227"/>
      <c r="C588" s="83"/>
      <c r="D588" s="83"/>
      <c r="E588" s="83"/>
      <c r="F588" s="83"/>
      <c r="G588" s="83"/>
    </row>
    <row r="589" spans="1:7" s="70" customFormat="1">
      <c r="A589" s="227"/>
      <c r="C589" s="83"/>
      <c r="D589" s="83"/>
      <c r="E589" s="83"/>
      <c r="F589" s="83"/>
      <c r="G589" s="83"/>
    </row>
    <row r="590" spans="1:7" s="70" customFormat="1">
      <c r="A590" s="227"/>
      <c r="C590" s="83"/>
      <c r="D590" s="83"/>
      <c r="E590" s="83"/>
      <c r="F590" s="83"/>
      <c r="G590" s="83"/>
    </row>
    <row r="591" spans="1:7" s="70" customFormat="1">
      <c r="A591" s="227"/>
      <c r="C591" s="83"/>
      <c r="D591" s="83"/>
      <c r="E591" s="83"/>
      <c r="F591" s="83"/>
      <c r="G591" s="83"/>
    </row>
    <row r="592" spans="1:7" s="70" customFormat="1">
      <c r="A592" s="227"/>
      <c r="C592" s="83"/>
      <c r="D592" s="83"/>
      <c r="E592" s="83"/>
      <c r="F592" s="83"/>
      <c r="G592" s="83"/>
    </row>
    <row r="593" spans="1:7" s="70" customFormat="1">
      <c r="A593" s="227"/>
      <c r="C593" s="83"/>
      <c r="D593" s="83"/>
      <c r="E593" s="83"/>
      <c r="F593" s="83"/>
      <c r="G593" s="83"/>
    </row>
    <row r="594" spans="1:7" s="70" customFormat="1">
      <c r="A594" s="227"/>
      <c r="C594" s="83"/>
      <c r="D594" s="83"/>
      <c r="E594" s="83"/>
      <c r="F594" s="83"/>
      <c r="G594" s="83"/>
    </row>
    <row r="595" spans="1:7" s="70" customFormat="1">
      <c r="A595" s="227"/>
      <c r="C595" s="83"/>
      <c r="D595" s="83"/>
      <c r="E595" s="83"/>
      <c r="F595" s="83"/>
      <c r="G595" s="83"/>
    </row>
    <row r="596" spans="1:7" s="70" customFormat="1">
      <c r="A596" s="227"/>
      <c r="C596" s="83"/>
      <c r="D596" s="83"/>
      <c r="E596" s="83"/>
      <c r="F596" s="83"/>
      <c r="G596" s="83"/>
    </row>
    <row r="597" spans="1:7" s="70" customFormat="1">
      <c r="A597" s="227"/>
      <c r="C597" s="83"/>
      <c r="D597" s="83"/>
      <c r="E597" s="83"/>
      <c r="F597" s="83"/>
      <c r="G597" s="83"/>
    </row>
    <row r="598" spans="1:7" s="70" customFormat="1">
      <c r="A598" s="227"/>
      <c r="C598" s="83"/>
      <c r="D598" s="83"/>
      <c r="E598" s="83"/>
      <c r="F598" s="83"/>
      <c r="G598" s="83"/>
    </row>
    <row r="599" spans="1:7" s="70" customFormat="1">
      <c r="A599" s="227"/>
      <c r="C599" s="83"/>
      <c r="D599" s="83"/>
      <c r="E599" s="83"/>
      <c r="F599" s="83"/>
      <c r="G599" s="83"/>
    </row>
    <row r="600" spans="1:7" s="70" customFormat="1">
      <c r="A600" s="227"/>
      <c r="C600" s="83"/>
      <c r="D600" s="83"/>
      <c r="E600" s="83"/>
      <c r="F600" s="83"/>
      <c r="G600" s="83"/>
    </row>
    <row r="601" spans="1:7" s="70" customFormat="1">
      <c r="A601" s="227"/>
      <c r="C601" s="83"/>
      <c r="D601" s="83"/>
      <c r="E601" s="83"/>
      <c r="F601" s="83"/>
      <c r="G601" s="83"/>
    </row>
    <row r="602" spans="1:7" s="70" customFormat="1">
      <c r="A602" s="227"/>
      <c r="C602" s="83"/>
      <c r="D602" s="83"/>
      <c r="E602" s="83"/>
      <c r="F602" s="83"/>
      <c r="G602" s="83"/>
    </row>
    <row r="603" spans="1:7" s="70" customFormat="1">
      <c r="A603" s="227"/>
      <c r="C603" s="83"/>
      <c r="D603" s="83"/>
      <c r="E603" s="83"/>
      <c r="F603" s="83"/>
      <c r="G603" s="83"/>
    </row>
    <row r="604" spans="1:7" s="70" customFormat="1">
      <c r="A604" s="227"/>
      <c r="C604" s="83"/>
      <c r="D604" s="83"/>
      <c r="E604" s="83"/>
      <c r="F604" s="83"/>
      <c r="G604" s="83"/>
    </row>
    <row r="605" spans="1:7" s="70" customFormat="1">
      <c r="A605" s="227"/>
      <c r="C605" s="83"/>
      <c r="D605" s="83"/>
      <c r="E605" s="83"/>
      <c r="F605" s="83"/>
      <c r="G605" s="83"/>
    </row>
    <row r="606" spans="1:7" s="70" customFormat="1">
      <c r="A606" s="227"/>
      <c r="C606" s="83"/>
      <c r="D606" s="83"/>
      <c r="E606" s="83"/>
      <c r="F606" s="83"/>
      <c r="G606" s="83"/>
    </row>
    <row r="607" spans="1:7" s="70" customFormat="1">
      <c r="A607" s="227"/>
      <c r="C607" s="83"/>
      <c r="D607" s="83"/>
      <c r="E607" s="83"/>
      <c r="F607" s="83"/>
      <c r="G607" s="83"/>
    </row>
    <row r="608" spans="1:7" s="70" customFormat="1">
      <c r="A608" s="227"/>
      <c r="C608" s="83"/>
      <c r="D608" s="83"/>
      <c r="E608" s="83"/>
      <c r="F608" s="83"/>
      <c r="G608" s="83"/>
    </row>
    <row r="609" spans="1:7" s="70" customFormat="1">
      <c r="A609" s="227"/>
      <c r="C609" s="83"/>
      <c r="D609" s="83"/>
      <c r="E609" s="83"/>
      <c r="F609" s="83"/>
      <c r="G609" s="83"/>
    </row>
    <row r="610" spans="1:7" s="70" customFormat="1">
      <c r="A610" s="227"/>
      <c r="C610" s="83"/>
      <c r="D610" s="83"/>
      <c r="E610" s="83"/>
      <c r="F610" s="83"/>
      <c r="G610" s="83"/>
    </row>
    <row r="611" spans="1:7" s="70" customFormat="1">
      <c r="A611" s="227"/>
      <c r="C611" s="83"/>
      <c r="D611" s="83"/>
      <c r="E611" s="83"/>
      <c r="F611" s="83"/>
      <c r="G611" s="83"/>
    </row>
    <row r="612" spans="1:7" s="70" customFormat="1">
      <c r="A612" s="227"/>
      <c r="C612" s="83"/>
      <c r="D612" s="83"/>
      <c r="E612" s="83"/>
      <c r="F612" s="83"/>
      <c r="G612" s="83"/>
    </row>
    <row r="613" spans="1:7" s="70" customFormat="1">
      <c r="A613" s="227"/>
      <c r="C613" s="83"/>
      <c r="D613" s="83"/>
      <c r="E613" s="83"/>
      <c r="F613" s="83"/>
      <c r="G613" s="83"/>
    </row>
    <row r="614" spans="1:7" s="70" customFormat="1">
      <c r="A614" s="227"/>
      <c r="C614" s="83"/>
      <c r="D614" s="83"/>
      <c r="E614" s="83"/>
      <c r="F614" s="83"/>
      <c r="G614" s="83"/>
    </row>
    <row r="615" spans="1:7" s="70" customFormat="1">
      <c r="A615" s="227"/>
      <c r="C615" s="83"/>
      <c r="D615" s="83"/>
      <c r="E615" s="83"/>
      <c r="F615" s="83"/>
      <c r="G615" s="83"/>
    </row>
    <row r="616" spans="1:7" s="70" customFormat="1">
      <c r="A616" s="227"/>
      <c r="C616" s="83"/>
      <c r="D616" s="83"/>
      <c r="E616" s="83"/>
      <c r="F616" s="83"/>
      <c r="G616" s="83"/>
    </row>
    <row r="617" spans="1:7" s="70" customFormat="1">
      <c r="A617" s="227"/>
      <c r="C617" s="83"/>
      <c r="D617" s="83"/>
      <c r="E617" s="83"/>
      <c r="F617" s="83"/>
      <c r="G617" s="83"/>
    </row>
    <row r="618" spans="1:7" s="70" customFormat="1">
      <c r="A618" s="227"/>
      <c r="C618" s="83"/>
      <c r="D618" s="83"/>
      <c r="E618" s="83"/>
      <c r="F618" s="83"/>
      <c r="G618" s="83"/>
    </row>
    <row r="619" spans="1:7" s="70" customFormat="1">
      <c r="A619" s="227"/>
      <c r="C619" s="83"/>
      <c r="D619" s="83"/>
      <c r="E619" s="83"/>
      <c r="F619" s="83"/>
      <c r="G619" s="83"/>
    </row>
    <row r="620" spans="1:7" s="70" customFormat="1">
      <c r="A620" s="227"/>
      <c r="C620" s="83"/>
      <c r="D620" s="83"/>
      <c r="E620" s="83"/>
      <c r="F620" s="83"/>
      <c r="G620" s="83"/>
    </row>
    <row r="621" spans="1:7" s="70" customFormat="1">
      <c r="A621" s="227"/>
      <c r="C621" s="83"/>
      <c r="D621" s="83"/>
      <c r="E621" s="83"/>
      <c r="F621" s="83"/>
      <c r="G621" s="83"/>
    </row>
    <row r="622" spans="1:7" s="70" customFormat="1">
      <c r="A622" s="227"/>
      <c r="C622" s="83"/>
      <c r="D622" s="83"/>
      <c r="E622" s="83"/>
      <c r="F622" s="83"/>
      <c r="G622" s="83"/>
    </row>
    <row r="623" spans="1:7" s="70" customFormat="1">
      <c r="A623" s="227"/>
      <c r="C623" s="83"/>
      <c r="D623" s="83"/>
      <c r="E623" s="83"/>
      <c r="F623" s="83"/>
      <c r="G623" s="83"/>
    </row>
    <row r="624" spans="1:7" s="70" customFormat="1">
      <c r="A624" s="227"/>
      <c r="C624" s="83"/>
      <c r="D624" s="83"/>
      <c r="E624" s="83"/>
      <c r="F624" s="83"/>
      <c r="G624" s="83"/>
    </row>
    <row r="625" spans="1:7" s="70" customFormat="1">
      <c r="A625" s="227"/>
      <c r="C625" s="83"/>
      <c r="D625" s="83"/>
      <c r="E625" s="83"/>
      <c r="F625" s="83"/>
      <c r="G625" s="83"/>
    </row>
    <row r="626" spans="1:7" s="70" customFormat="1">
      <c r="A626" s="227"/>
      <c r="C626" s="83"/>
      <c r="D626" s="83"/>
      <c r="E626" s="83"/>
      <c r="F626" s="83"/>
      <c r="G626" s="83"/>
    </row>
    <row r="627" spans="1:7" s="70" customFormat="1">
      <c r="A627" s="227"/>
      <c r="C627" s="83"/>
      <c r="D627" s="83"/>
      <c r="E627" s="83"/>
      <c r="F627" s="83"/>
      <c r="G627" s="83"/>
    </row>
    <row r="628" spans="1:7" s="70" customFormat="1">
      <c r="A628" s="227"/>
      <c r="C628" s="83"/>
      <c r="D628" s="83"/>
      <c r="E628" s="83"/>
      <c r="F628" s="83"/>
      <c r="G628" s="83"/>
    </row>
    <row r="629" spans="1:7" s="70" customFormat="1">
      <c r="A629" s="227"/>
      <c r="C629" s="83"/>
      <c r="D629" s="83"/>
      <c r="E629" s="83"/>
      <c r="F629" s="83"/>
      <c r="G629" s="83"/>
    </row>
    <row r="630" spans="1:7" s="70" customFormat="1">
      <c r="A630" s="227"/>
      <c r="C630" s="83"/>
      <c r="D630" s="83"/>
      <c r="E630" s="83"/>
      <c r="F630" s="83"/>
      <c r="G630" s="83"/>
    </row>
    <row r="631" spans="1:7" s="70" customFormat="1">
      <c r="A631" s="227"/>
      <c r="C631" s="83"/>
      <c r="D631" s="83"/>
      <c r="E631" s="83"/>
      <c r="F631" s="83"/>
      <c r="G631" s="83"/>
    </row>
    <row r="632" spans="1:7" s="70" customFormat="1">
      <c r="A632" s="227"/>
      <c r="C632" s="83"/>
      <c r="D632" s="83"/>
      <c r="E632" s="83"/>
      <c r="F632" s="83"/>
      <c r="G632" s="83"/>
    </row>
    <row r="633" spans="1:7" s="70" customFormat="1">
      <c r="A633" s="227"/>
      <c r="C633" s="83"/>
      <c r="D633" s="83"/>
      <c r="E633" s="83"/>
      <c r="F633" s="83"/>
      <c r="G633" s="83"/>
    </row>
    <row r="634" spans="1:7" s="70" customFormat="1">
      <c r="A634" s="227"/>
      <c r="C634" s="83"/>
      <c r="D634" s="83"/>
      <c r="E634" s="83"/>
      <c r="F634" s="83"/>
      <c r="G634" s="83"/>
    </row>
    <row r="635" spans="1:7" s="70" customFormat="1">
      <c r="A635" s="227"/>
      <c r="C635" s="83"/>
      <c r="D635" s="83"/>
      <c r="E635" s="83"/>
      <c r="F635" s="83"/>
      <c r="G635" s="83"/>
    </row>
    <row r="636" spans="1:7" s="70" customFormat="1">
      <c r="A636" s="227"/>
      <c r="C636" s="83"/>
      <c r="D636" s="83"/>
      <c r="E636" s="83"/>
      <c r="F636" s="83"/>
      <c r="G636" s="83"/>
    </row>
    <row r="637" spans="1:7" s="70" customFormat="1">
      <c r="A637" s="227"/>
      <c r="C637" s="83"/>
      <c r="D637" s="83"/>
      <c r="E637" s="83"/>
      <c r="F637" s="83"/>
      <c r="G637" s="83"/>
    </row>
    <row r="638" spans="1:7" s="70" customFormat="1">
      <c r="A638" s="227"/>
      <c r="C638" s="83"/>
      <c r="D638" s="83"/>
      <c r="E638" s="83"/>
      <c r="F638" s="83"/>
      <c r="G638" s="83"/>
    </row>
    <row r="639" spans="1:7" s="70" customFormat="1">
      <c r="A639" s="227"/>
      <c r="C639" s="83"/>
      <c r="D639" s="83"/>
      <c r="E639" s="83"/>
      <c r="F639" s="83"/>
      <c r="G639" s="83"/>
    </row>
    <row r="640" spans="1:7" s="70" customFormat="1">
      <c r="A640" s="227"/>
      <c r="C640" s="83"/>
      <c r="D640" s="83"/>
      <c r="E640" s="83"/>
      <c r="F640" s="83"/>
      <c r="G640" s="83"/>
    </row>
    <row r="641" spans="1:7" s="70" customFormat="1">
      <c r="A641" s="227"/>
      <c r="C641" s="83"/>
      <c r="D641" s="83"/>
      <c r="E641" s="83"/>
      <c r="F641" s="83"/>
      <c r="G641" s="83"/>
    </row>
    <row r="642" spans="1:7" s="70" customFormat="1">
      <c r="A642" s="227"/>
      <c r="C642" s="83"/>
      <c r="D642" s="83"/>
      <c r="E642" s="83"/>
      <c r="F642" s="83"/>
      <c r="G642" s="83"/>
    </row>
    <row r="643" spans="1:7" s="70" customFormat="1">
      <c r="A643" s="227"/>
      <c r="C643" s="83"/>
      <c r="D643" s="83"/>
      <c r="E643" s="83"/>
      <c r="F643" s="83"/>
      <c r="G643" s="83"/>
    </row>
    <row r="644" spans="1:7" s="70" customFormat="1">
      <c r="A644" s="227"/>
      <c r="C644" s="83"/>
      <c r="D644" s="83"/>
      <c r="E644" s="83"/>
      <c r="F644" s="83"/>
      <c r="G644" s="83"/>
    </row>
    <row r="645" spans="1:7" s="70" customFormat="1">
      <c r="A645" s="227"/>
      <c r="C645" s="83"/>
      <c r="D645" s="83"/>
      <c r="E645" s="83"/>
      <c r="F645" s="83"/>
      <c r="G645" s="83"/>
    </row>
    <row r="646" spans="1:7" s="70" customFormat="1">
      <c r="A646" s="227"/>
      <c r="C646" s="83"/>
      <c r="D646" s="83"/>
      <c r="E646" s="83"/>
      <c r="F646" s="83"/>
      <c r="G646" s="83"/>
    </row>
    <row r="647" spans="1:7" s="70" customFormat="1">
      <c r="A647" s="227"/>
      <c r="C647" s="83"/>
      <c r="D647" s="83"/>
      <c r="E647" s="83"/>
      <c r="F647" s="83"/>
      <c r="G647" s="83"/>
    </row>
    <row r="648" spans="1:7" s="70" customFormat="1">
      <c r="A648" s="227"/>
      <c r="C648" s="83"/>
      <c r="D648" s="83"/>
      <c r="E648" s="83"/>
      <c r="F648" s="83"/>
      <c r="G648" s="83"/>
    </row>
    <row r="649" spans="1:7" s="70" customFormat="1">
      <c r="A649" s="227"/>
      <c r="C649" s="83"/>
      <c r="D649" s="83"/>
      <c r="E649" s="83"/>
      <c r="F649" s="83"/>
      <c r="G649" s="83"/>
    </row>
    <row r="650" spans="1:7" s="70" customFormat="1">
      <c r="A650" s="227"/>
      <c r="C650" s="83"/>
      <c r="D650" s="83"/>
      <c r="E650" s="83"/>
      <c r="F650" s="83"/>
      <c r="G650" s="83"/>
    </row>
    <row r="651" spans="1:7" s="70" customFormat="1">
      <c r="A651" s="227"/>
      <c r="C651" s="83"/>
      <c r="D651" s="83"/>
      <c r="E651" s="83"/>
      <c r="F651" s="83"/>
      <c r="G651" s="83"/>
    </row>
    <row r="652" spans="1:7" s="70" customFormat="1">
      <c r="A652" s="227"/>
      <c r="C652" s="83"/>
      <c r="D652" s="83"/>
      <c r="E652" s="83"/>
      <c r="F652" s="83"/>
      <c r="G652" s="83"/>
    </row>
    <row r="653" spans="1:7" s="70" customFormat="1">
      <c r="A653" s="227"/>
      <c r="C653" s="83"/>
      <c r="D653" s="83"/>
      <c r="E653" s="83"/>
      <c r="F653" s="83"/>
      <c r="G653" s="83"/>
    </row>
    <row r="654" spans="1:7" s="70" customFormat="1">
      <c r="A654" s="227"/>
      <c r="C654" s="83"/>
      <c r="D654" s="83"/>
      <c r="E654" s="83"/>
      <c r="F654" s="83"/>
      <c r="G654" s="83"/>
    </row>
    <row r="655" spans="1:7" s="70" customFormat="1">
      <c r="A655" s="227"/>
      <c r="C655" s="83"/>
      <c r="D655" s="83"/>
      <c r="E655" s="83"/>
      <c r="F655" s="83"/>
      <c r="G655" s="83"/>
    </row>
    <row r="656" spans="1:7" s="70" customFormat="1">
      <c r="A656" s="227"/>
      <c r="C656" s="83"/>
      <c r="D656" s="83"/>
      <c r="E656" s="83"/>
      <c r="F656" s="83"/>
      <c r="G656" s="83"/>
    </row>
    <row r="657" spans="1:7" s="70" customFormat="1">
      <c r="A657" s="227"/>
      <c r="C657" s="83"/>
      <c r="D657" s="83"/>
      <c r="E657" s="83"/>
      <c r="F657" s="83"/>
      <c r="G657" s="83"/>
    </row>
    <row r="658" spans="1:7" s="70" customFormat="1">
      <c r="A658" s="227"/>
      <c r="C658" s="83"/>
      <c r="D658" s="83"/>
      <c r="E658" s="83"/>
      <c r="F658" s="83"/>
      <c r="G658" s="83"/>
    </row>
    <row r="659" spans="1:7" s="70" customFormat="1">
      <c r="A659" s="227"/>
      <c r="C659" s="83"/>
      <c r="D659" s="83"/>
      <c r="E659" s="83"/>
      <c r="F659" s="83"/>
      <c r="G659" s="83"/>
    </row>
    <row r="660" spans="1:7" s="70" customFormat="1">
      <c r="A660" s="227"/>
      <c r="C660" s="83"/>
      <c r="D660" s="83"/>
      <c r="E660" s="83"/>
      <c r="F660" s="83"/>
      <c r="G660" s="83"/>
    </row>
    <row r="661" spans="1:7" s="70" customFormat="1">
      <c r="A661" s="227"/>
      <c r="C661" s="83"/>
      <c r="D661" s="83"/>
      <c r="E661" s="83"/>
      <c r="F661" s="83"/>
      <c r="G661" s="83"/>
    </row>
    <row r="662" spans="1:7" s="70" customFormat="1">
      <c r="A662" s="227"/>
      <c r="C662" s="83"/>
      <c r="D662" s="83"/>
      <c r="E662" s="83"/>
      <c r="F662" s="83"/>
      <c r="G662" s="83"/>
    </row>
    <row r="663" spans="1:7" s="70" customFormat="1">
      <c r="A663" s="227"/>
      <c r="C663" s="83"/>
      <c r="D663" s="83"/>
      <c r="E663" s="83"/>
      <c r="F663" s="83"/>
      <c r="G663" s="83"/>
    </row>
    <row r="664" spans="1:7" s="70" customFormat="1">
      <c r="A664" s="227"/>
      <c r="C664" s="83"/>
      <c r="D664" s="83"/>
      <c r="E664" s="83"/>
      <c r="F664" s="83"/>
      <c r="G664" s="83"/>
    </row>
    <row r="665" spans="1:7" s="70" customFormat="1">
      <c r="A665" s="227"/>
      <c r="C665" s="83"/>
      <c r="D665" s="83"/>
      <c r="E665" s="83"/>
      <c r="F665" s="83"/>
      <c r="G665" s="83"/>
    </row>
    <row r="666" spans="1:7" s="70" customFormat="1">
      <c r="A666" s="227"/>
      <c r="C666" s="83"/>
      <c r="D666" s="83"/>
      <c r="E666" s="83"/>
      <c r="F666" s="83"/>
      <c r="G666" s="83"/>
    </row>
    <row r="667" spans="1:7" s="70" customFormat="1">
      <c r="A667" s="227"/>
      <c r="C667" s="83"/>
      <c r="D667" s="83"/>
      <c r="E667" s="83"/>
      <c r="F667" s="83"/>
      <c r="G667" s="83"/>
    </row>
    <row r="668" spans="1:7" s="70" customFormat="1">
      <c r="A668" s="227"/>
      <c r="C668" s="83"/>
      <c r="D668" s="83"/>
      <c r="E668" s="83"/>
      <c r="F668" s="83"/>
      <c r="G668" s="83"/>
    </row>
    <row r="669" spans="1:7" s="70" customFormat="1">
      <c r="A669" s="227"/>
      <c r="C669" s="83"/>
      <c r="D669" s="83"/>
      <c r="E669" s="83"/>
      <c r="F669" s="83"/>
      <c r="G669" s="83"/>
    </row>
    <row r="670" spans="1:7" s="70" customFormat="1">
      <c r="A670" s="227"/>
      <c r="C670" s="83"/>
      <c r="D670" s="83"/>
      <c r="E670" s="83"/>
      <c r="F670" s="83"/>
      <c r="G670" s="83"/>
    </row>
    <row r="671" spans="1:7" s="70" customFormat="1">
      <c r="A671" s="227"/>
      <c r="C671" s="83"/>
      <c r="D671" s="83"/>
      <c r="E671" s="83"/>
      <c r="F671" s="83"/>
      <c r="G671" s="83"/>
    </row>
    <row r="672" spans="1:7" s="70" customFormat="1">
      <c r="A672" s="227"/>
      <c r="C672" s="83"/>
      <c r="D672" s="83"/>
      <c r="E672" s="83"/>
      <c r="F672" s="83"/>
      <c r="G672" s="83"/>
    </row>
    <row r="673" spans="1:7" s="70" customFormat="1">
      <c r="A673" s="227"/>
      <c r="C673" s="83"/>
      <c r="D673" s="83"/>
      <c r="E673" s="83"/>
      <c r="F673" s="83"/>
      <c r="G673" s="83"/>
    </row>
    <row r="674" spans="1:7" s="70" customFormat="1">
      <c r="A674" s="227"/>
      <c r="C674" s="83"/>
      <c r="D674" s="83"/>
      <c r="E674" s="83"/>
      <c r="F674" s="83"/>
      <c r="G674" s="83"/>
    </row>
    <row r="675" spans="1:7" s="70" customFormat="1">
      <c r="A675" s="227"/>
      <c r="C675" s="83"/>
      <c r="D675" s="83"/>
      <c r="E675" s="83"/>
      <c r="F675" s="83"/>
      <c r="G675" s="83"/>
    </row>
    <row r="676" spans="1:7" s="70" customFormat="1">
      <c r="A676" s="227"/>
      <c r="C676" s="83"/>
      <c r="D676" s="83"/>
      <c r="E676" s="83"/>
      <c r="F676" s="83"/>
      <c r="G676" s="83"/>
    </row>
    <row r="677" spans="1:7" s="70" customFormat="1">
      <c r="A677" s="227"/>
      <c r="C677" s="83"/>
      <c r="D677" s="83"/>
      <c r="E677" s="83"/>
      <c r="F677" s="83"/>
      <c r="G677" s="83"/>
    </row>
    <row r="678" spans="1:7" s="70" customFormat="1">
      <c r="A678" s="227"/>
      <c r="C678" s="83"/>
      <c r="D678" s="83"/>
      <c r="E678" s="83"/>
      <c r="F678" s="83"/>
      <c r="G678" s="83"/>
    </row>
    <row r="679" spans="1:7" s="70" customFormat="1">
      <c r="A679" s="227"/>
      <c r="C679" s="83"/>
      <c r="D679" s="83"/>
      <c r="E679" s="83"/>
      <c r="F679" s="83"/>
      <c r="G679" s="83"/>
    </row>
    <row r="680" spans="1:7" s="70" customFormat="1">
      <c r="A680" s="227"/>
      <c r="C680" s="83"/>
      <c r="D680" s="83"/>
      <c r="E680" s="83"/>
      <c r="F680" s="83"/>
      <c r="G680" s="83"/>
    </row>
    <row r="681" spans="1:7" s="70" customFormat="1">
      <c r="A681" s="227"/>
      <c r="C681" s="83"/>
      <c r="D681" s="83"/>
      <c r="E681" s="83"/>
      <c r="F681" s="83"/>
      <c r="G681" s="83"/>
    </row>
    <row r="682" spans="1:7" s="70" customFormat="1">
      <c r="A682" s="227"/>
      <c r="C682" s="83"/>
      <c r="D682" s="83"/>
      <c r="E682" s="83"/>
      <c r="F682" s="83"/>
      <c r="G682" s="83"/>
    </row>
    <row r="683" spans="1:7" s="70" customFormat="1">
      <c r="A683" s="227"/>
      <c r="C683" s="83"/>
      <c r="D683" s="83"/>
      <c r="E683" s="83"/>
      <c r="F683" s="83"/>
      <c r="G683" s="83"/>
    </row>
    <row r="684" spans="1:7" s="70" customFormat="1">
      <c r="A684" s="227"/>
      <c r="C684" s="83"/>
      <c r="D684" s="83"/>
      <c r="E684" s="83"/>
      <c r="F684" s="83"/>
      <c r="G684" s="83"/>
    </row>
    <row r="685" spans="1:7" s="70" customFormat="1">
      <c r="A685" s="227"/>
      <c r="C685" s="83"/>
      <c r="D685" s="83"/>
      <c r="E685" s="83"/>
      <c r="F685" s="83"/>
      <c r="G685" s="83"/>
    </row>
    <row r="686" spans="1:7" s="70" customFormat="1">
      <c r="A686" s="227"/>
      <c r="C686" s="83"/>
      <c r="D686" s="83"/>
      <c r="E686" s="83"/>
      <c r="F686" s="83"/>
      <c r="G686" s="83"/>
    </row>
    <row r="687" spans="1:7" s="70" customFormat="1">
      <c r="A687" s="227"/>
      <c r="C687" s="83"/>
      <c r="D687" s="83"/>
      <c r="E687" s="83"/>
      <c r="F687" s="83"/>
      <c r="G687" s="83"/>
    </row>
    <row r="688" spans="1:7" s="70" customFormat="1">
      <c r="A688" s="227"/>
      <c r="C688" s="83"/>
      <c r="D688" s="83"/>
      <c r="E688" s="83"/>
      <c r="F688" s="83"/>
      <c r="G688" s="83"/>
    </row>
    <row r="689" spans="1:7" s="70" customFormat="1">
      <c r="A689" s="227"/>
      <c r="C689" s="83"/>
      <c r="D689" s="83"/>
      <c r="E689" s="83"/>
      <c r="F689" s="83"/>
      <c r="G689" s="83"/>
    </row>
    <row r="690" spans="1:7" s="70" customFormat="1">
      <c r="A690" s="227"/>
      <c r="C690" s="83"/>
      <c r="D690" s="83"/>
      <c r="E690" s="83"/>
      <c r="F690" s="83"/>
      <c r="G690" s="83"/>
    </row>
    <row r="691" spans="1:7" s="70" customFormat="1">
      <c r="A691" s="227"/>
      <c r="C691" s="83"/>
      <c r="D691" s="83"/>
      <c r="E691" s="83"/>
      <c r="F691" s="83"/>
      <c r="G691" s="83"/>
    </row>
    <row r="692" spans="1:7" s="70" customFormat="1">
      <c r="A692" s="227"/>
      <c r="C692" s="83"/>
      <c r="D692" s="83"/>
      <c r="E692" s="83"/>
      <c r="F692" s="83"/>
      <c r="G692" s="83"/>
    </row>
    <row r="693" spans="1:7" s="70" customFormat="1">
      <c r="A693" s="227"/>
      <c r="C693" s="83"/>
      <c r="D693" s="83"/>
      <c r="E693" s="83"/>
      <c r="F693" s="83"/>
      <c r="G693" s="83"/>
    </row>
    <row r="694" spans="1:7" s="70" customFormat="1">
      <c r="A694" s="227"/>
      <c r="C694" s="83"/>
      <c r="D694" s="83"/>
      <c r="E694" s="83"/>
      <c r="F694" s="83"/>
      <c r="G694" s="83"/>
    </row>
    <row r="695" spans="1:7" s="70" customFormat="1">
      <c r="A695" s="227"/>
      <c r="C695" s="83"/>
      <c r="D695" s="83"/>
      <c r="E695" s="83"/>
      <c r="F695" s="83"/>
      <c r="G695" s="83"/>
    </row>
    <row r="696" spans="1:7" s="70" customFormat="1">
      <c r="A696" s="227"/>
      <c r="C696" s="83"/>
      <c r="D696" s="83"/>
      <c r="E696" s="83"/>
      <c r="F696" s="83"/>
      <c r="G696" s="83"/>
    </row>
    <row r="697" spans="1:7" s="70" customFormat="1">
      <c r="A697" s="227"/>
      <c r="C697" s="83"/>
      <c r="D697" s="83"/>
      <c r="E697" s="83"/>
      <c r="F697" s="83"/>
      <c r="G697" s="83"/>
    </row>
    <row r="698" spans="1:7" s="70" customFormat="1">
      <c r="A698" s="227"/>
      <c r="C698" s="83"/>
      <c r="D698" s="83"/>
      <c r="E698" s="83"/>
      <c r="F698" s="83"/>
      <c r="G698" s="83"/>
    </row>
    <row r="699" spans="1:7" s="70" customFormat="1">
      <c r="A699" s="227"/>
      <c r="C699" s="83"/>
      <c r="D699" s="83"/>
      <c r="E699" s="83"/>
      <c r="F699" s="83"/>
      <c r="G699" s="83"/>
    </row>
    <row r="700" spans="1:7" s="70" customFormat="1">
      <c r="A700" s="227"/>
      <c r="C700" s="83"/>
      <c r="D700" s="83"/>
      <c r="E700" s="83"/>
      <c r="F700" s="83"/>
      <c r="G700" s="83"/>
    </row>
    <row r="701" spans="1:7" s="70" customFormat="1">
      <c r="A701" s="227"/>
      <c r="C701" s="83"/>
      <c r="D701" s="83"/>
      <c r="E701" s="83"/>
      <c r="F701" s="83"/>
      <c r="G701" s="83"/>
    </row>
    <row r="702" spans="1:7" s="70" customFormat="1">
      <c r="A702" s="227"/>
      <c r="C702" s="83"/>
      <c r="D702" s="83"/>
      <c r="E702" s="83"/>
      <c r="F702" s="83"/>
      <c r="G702" s="83"/>
    </row>
    <row r="703" spans="1:7" s="70" customFormat="1">
      <c r="A703" s="227"/>
      <c r="C703" s="83"/>
      <c r="D703" s="83"/>
      <c r="E703" s="83"/>
      <c r="F703" s="83"/>
      <c r="G703" s="83"/>
    </row>
    <row r="704" spans="1:7" s="70" customFormat="1">
      <c r="A704" s="227"/>
      <c r="C704" s="83"/>
      <c r="D704" s="83"/>
      <c r="E704" s="83"/>
      <c r="F704" s="83"/>
      <c r="G704" s="83"/>
    </row>
    <row r="705" spans="1:7" s="70" customFormat="1">
      <c r="A705" s="227"/>
      <c r="C705" s="83"/>
      <c r="D705" s="83"/>
      <c r="E705" s="83"/>
      <c r="F705" s="83"/>
      <c r="G705" s="83"/>
    </row>
    <row r="706" spans="1:7" s="70" customFormat="1">
      <c r="A706" s="227"/>
      <c r="C706" s="83"/>
      <c r="D706" s="83"/>
      <c r="E706" s="83"/>
      <c r="F706" s="83"/>
      <c r="G706" s="83"/>
    </row>
    <row r="707" spans="1:7" s="70" customFormat="1">
      <c r="A707" s="227"/>
      <c r="C707" s="83"/>
      <c r="D707" s="83"/>
      <c r="E707" s="83"/>
      <c r="F707" s="83"/>
      <c r="G707" s="83"/>
    </row>
    <row r="708" spans="1:7" s="70" customFormat="1">
      <c r="A708" s="227"/>
      <c r="C708" s="83"/>
      <c r="D708" s="83"/>
      <c r="E708" s="83"/>
      <c r="F708" s="83"/>
      <c r="G708" s="83"/>
    </row>
    <row r="709" spans="1:7" s="70" customFormat="1">
      <c r="A709" s="227"/>
      <c r="C709" s="83"/>
      <c r="D709" s="83"/>
      <c r="E709" s="83"/>
      <c r="F709" s="83"/>
      <c r="G709" s="83"/>
    </row>
    <row r="710" spans="1:7" s="70" customFormat="1">
      <c r="A710" s="227"/>
      <c r="C710" s="83"/>
      <c r="D710" s="83"/>
      <c r="E710" s="83"/>
      <c r="F710" s="83"/>
      <c r="G710" s="83"/>
    </row>
    <row r="711" spans="1:7" s="70" customFormat="1">
      <c r="A711" s="227"/>
      <c r="C711" s="83"/>
      <c r="D711" s="83"/>
      <c r="E711" s="83"/>
      <c r="F711" s="83"/>
      <c r="G711" s="83"/>
    </row>
    <row r="712" spans="1:7" s="70" customFormat="1">
      <c r="A712" s="227"/>
      <c r="C712" s="83"/>
      <c r="D712" s="83"/>
      <c r="E712" s="83"/>
      <c r="F712" s="83"/>
      <c r="G712" s="83"/>
    </row>
    <row r="713" spans="1:7" s="70" customFormat="1">
      <c r="A713" s="227"/>
      <c r="C713" s="83"/>
      <c r="D713" s="83"/>
      <c r="E713" s="83"/>
      <c r="F713" s="83"/>
      <c r="G713" s="83"/>
    </row>
    <row r="714" spans="1:7" s="70" customFormat="1">
      <c r="A714" s="227"/>
      <c r="C714" s="83"/>
      <c r="D714" s="83"/>
      <c r="E714" s="83"/>
      <c r="F714" s="83"/>
      <c r="G714" s="83"/>
    </row>
    <row r="715" spans="1:7" s="70" customFormat="1">
      <c r="A715" s="227"/>
      <c r="C715" s="83"/>
      <c r="D715" s="83"/>
      <c r="E715" s="83"/>
      <c r="F715" s="83"/>
      <c r="G715" s="83"/>
    </row>
    <row r="716" spans="1:7" s="70" customFormat="1">
      <c r="A716" s="227"/>
      <c r="C716" s="83"/>
      <c r="D716" s="83"/>
      <c r="E716" s="83"/>
      <c r="F716" s="83"/>
      <c r="G716" s="83"/>
    </row>
    <row r="717" spans="1:7" s="70" customFormat="1">
      <c r="A717" s="227"/>
      <c r="C717" s="83"/>
      <c r="D717" s="83"/>
      <c r="E717" s="83"/>
      <c r="F717" s="83"/>
      <c r="G717" s="83"/>
    </row>
    <row r="718" spans="1:7" s="70" customFormat="1">
      <c r="A718" s="227"/>
      <c r="C718" s="83"/>
      <c r="D718" s="83"/>
      <c r="E718" s="83"/>
      <c r="F718" s="83"/>
      <c r="G718" s="83"/>
    </row>
    <row r="719" spans="1:7" s="70" customFormat="1">
      <c r="A719" s="227"/>
      <c r="C719" s="83"/>
      <c r="D719" s="83"/>
      <c r="E719" s="83"/>
      <c r="F719" s="83"/>
      <c r="G719" s="83"/>
    </row>
    <row r="720" spans="1:7" s="70" customFormat="1">
      <c r="A720" s="227"/>
      <c r="C720" s="83"/>
      <c r="D720" s="83"/>
      <c r="E720" s="83"/>
      <c r="F720" s="83"/>
      <c r="G720" s="83"/>
    </row>
    <row r="721" spans="1:7" s="70" customFormat="1">
      <c r="A721" s="227"/>
      <c r="C721" s="83"/>
      <c r="D721" s="83"/>
      <c r="E721" s="83"/>
      <c r="F721" s="83"/>
      <c r="G721" s="83"/>
    </row>
    <row r="722" spans="1:7" s="70" customFormat="1">
      <c r="A722" s="227"/>
      <c r="C722" s="83"/>
      <c r="D722" s="83"/>
      <c r="E722" s="83"/>
      <c r="F722" s="83"/>
      <c r="G722" s="83"/>
    </row>
    <row r="723" spans="1:7" s="70" customFormat="1">
      <c r="A723" s="227"/>
      <c r="C723" s="83"/>
      <c r="D723" s="83"/>
      <c r="E723" s="83"/>
      <c r="F723" s="83"/>
      <c r="G723" s="83"/>
    </row>
    <row r="724" spans="1:7" s="70" customFormat="1">
      <c r="A724" s="227"/>
      <c r="C724" s="83"/>
      <c r="D724" s="83"/>
      <c r="E724" s="83"/>
      <c r="F724" s="83"/>
      <c r="G724" s="83"/>
    </row>
    <row r="725" spans="1:7" s="70" customFormat="1">
      <c r="A725" s="227"/>
      <c r="C725" s="83"/>
      <c r="D725" s="83"/>
      <c r="E725" s="83"/>
      <c r="F725" s="83"/>
      <c r="G725" s="83"/>
    </row>
    <row r="726" spans="1:7" s="70" customFormat="1">
      <c r="A726" s="227"/>
      <c r="C726" s="83"/>
      <c r="D726" s="83"/>
      <c r="E726" s="83"/>
      <c r="F726" s="83"/>
      <c r="G726" s="83"/>
    </row>
    <row r="727" spans="1:7" s="70" customFormat="1">
      <c r="A727" s="227"/>
      <c r="C727" s="83"/>
      <c r="D727" s="83"/>
      <c r="E727" s="83"/>
      <c r="F727" s="83"/>
      <c r="G727" s="83"/>
    </row>
    <row r="728" spans="1:7" s="70" customFormat="1">
      <c r="A728" s="227"/>
      <c r="C728" s="83"/>
      <c r="D728" s="83"/>
      <c r="E728" s="83"/>
      <c r="F728" s="83"/>
      <c r="G728" s="83"/>
    </row>
    <row r="729" spans="1:7" s="70" customFormat="1">
      <c r="A729" s="227"/>
      <c r="C729" s="83"/>
      <c r="D729" s="83"/>
      <c r="E729" s="83"/>
      <c r="F729" s="83"/>
      <c r="G729" s="83"/>
    </row>
    <row r="730" spans="1:7" s="70" customFormat="1">
      <c r="A730" s="227"/>
      <c r="C730" s="83"/>
      <c r="D730" s="83"/>
      <c r="E730" s="83"/>
      <c r="F730" s="83"/>
      <c r="G730" s="83"/>
    </row>
    <row r="731" spans="1:7" s="70" customFormat="1">
      <c r="A731" s="227"/>
      <c r="C731" s="83"/>
      <c r="D731" s="83"/>
      <c r="E731" s="83"/>
      <c r="F731" s="83"/>
      <c r="G731" s="83"/>
    </row>
    <row r="732" spans="1:7" s="70" customFormat="1">
      <c r="A732" s="227"/>
      <c r="C732" s="83"/>
      <c r="D732" s="83"/>
      <c r="E732" s="83"/>
      <c r="F732" s="83"/>
      <c r="G732" s="83"/>
    </row>
    <row r="733" spans="1:7" s="70" customFormat="1">
      <c r="A733" s="227"/>
      <c r="C733" s="83"/>
      <c r="D733" s="83"/>
      <c r="E733" s="83"/>
      <c r="F733" s="83"/>
      <c r="G733" s="83"/>
    </row>
    <row r="734" spans="1:7" s="70" customFormat="1">
      <c r="A734" s="227"/>
      <c r="C734" s="83"/>
      <c r="D734" s="83"/>
      <c r="E734" s="83"/>
      <c r="F734" s="83"/>
      <c r="G734" s="83"/>
    </row>
    <row r="735" spans="1:7" s="70" customFormat="1">
      <c r="A735" s="227"/>
      <c r="C735" s="83"/>
      <c r="D735" s="83"/>
      <c r="E735" s="83"/>
      <c r="F735" s="83"/>
      <c r="G735" s="83"/>
    </row>
    <row r="736" spans="1:7" s="70" customFormat="1">
      <c r="A736" s="227"/>
      <c r="C736" s="83"/>
      <c r="D736" s="83"/>
      <c r="E736" s="83"/>
      <c r="F736" s="83"/>
      <c r="G736" s="83"/>
    </row>
    <row r="737" spans="1:7" s="70" customFormat="1">
      <c r="A737" s="227"/>
      <c r="C737" s="83"/>
      <c r="D737" s="83"/>
      <c r="E737" s="83"/>
      <c r="F737" s="83"/>
      <c r="G737" s="83"/>
    </row>
    <row r="738" spans="1:7" s="70" customFormat="1">
      <c r="A738" s="227"/>
      <c r="C738" s="83"/>
      <c r="D738" s="83"/>
      <c r="E738" s="83"/>
      <c r="F738" s="83"/>
      <c r="G738" s="83"/>
    </row>
    <row r="739" spans="1:7" s="70" customFormat="1">
      <c r="A739" s="227"/>
      <c r="C739" s="83"/>
      <c r="D739" s="83"/>
      <c r="E739" s="83"/>
      <c r="F739" s="83"/>
      <c r="G739" s="83"/>
    </row>
    <row r="740" spans="1:7" s="70" customFormat="1">
      <c r="A740" s="227"/>
      <c r="C740" s="83"/>
      <c r="D740" s="83"/>
      <c r="E740" s="83"/>
      <c r="F740" s="83"/>
      <c r="G740" s="83"/>
    </row>
    <row r="741" spans="1:7" s="70" customFormat="1">
      <c r="A741" s="227"/>
      <c r="C741" s="83"/>
      <c r="D741" s="83"/>
      <c r="E741" s="83"/>
      <c r="F741" s="83"/>
      <c r="G741" s="83"/>
    </row>
    <row r="742" spans="1:7" s="70" customFormat="1">
      <c r="A742" s="227"/>
      <c r="C742" s="83"/>
      <c r="D742" s="83"/>
      <c r="E742" s="83"/>
      <c r="F742" s="83"/>
      <c r="G742" s="83"/>
    </row>
    <row r="743" spans="1:7" s="70" customFormat="1">
      <c r="A743" s="227"/>
      <c r="C743" s="83"/>
      <c r="D743" s="83"/>
      <c r="E743" s="83"/>
      <c r="F743" s="83"/>
      <c r="G743" s="83"/>
    </row>
    <row r="744" spans="1:7" s="70" customFormat="1">
      <c r="A744" s="227"/>
      <c r="C744" s="83"/>
      <c r="D744" s="83"/>
      <c r="E744" s="83"/>
      <c r="F744" s="83"/>
      <c r="G744" s="83"/>
    </row>
    <row r="745" spans="1:7" s="70" customFormat="1">
      <c r="A745" s="227"/>
      <c r="C745" s="83"/>
      <c r="D745" s="83"/>
      <c r="E745" s="83"/>
      <c r="F745" s="83"/>
      <c r="G745" s="83"/>
    </row>
    <row r="746" spans="1:7" s="70" customFormat="1">
      <c r="A746" s="227"/>
      <c r="C746" s="83"/>
      <c r="D746" s="83"/>
      <c r="E746" s="83"/>
      <c r="F746" s="83"/>
      <c r="G746" s="83"/>
    </row>
    <row r="747" spans="1:7" s="70" customFormat="1">
      <c r="A747" s="227"/>
      <c r="C747" s="83"/>
      <c r="D747" s="83"/>
      <c r="E747" s="83"/>
      <c r="F747" s="83"/>
      <c r="G747" s="83"/>
    </row>
    <row r="748" spans="1:7" s="70" customFormat="1">
      <c r="A748" s="227"/>
      <c r="C748" s="83"/>
      <c r="D748" s="83"/>
      <c r="E748" s="83"/>
      <c r="F748" s="83"/>
      <c r="G748" s="83"/>
    </row>
    <row r="749" spans="1:7" s="70" customFormat="1">
      <c r="A749" s="227"/>
      <c r="C749" s="83"/>
      <c r="D749" s="83"/>
      <c r="E749" s="83"/>
      <c r="F749" s="83"/>
      <c r="G749" s="83"/>
    </row>
    <row r="750" spans="1:7" s="70" customFormat="1">
      <c r="A750" s="227"/>
      <c r="C750" s="83"/>
      <c r="D750" s="83"/>
      <c r="E750" s="83"/>
      <c r="F750" s="83"/>
      <c r="G750" s="83"/>
    </row>
    <row r="751" spans="1:7" s="70" customFormat="1">
      <c r="A751" s="227"/>
      <c r="C751" s="83"/>
      <c r="D751" s="83"/>
      <c r="E751" s="83"/>
      <c r="F751" s="83"/>
      <c r="G751" s="83"/>
    </row>
    <row r="752" spans="1:7" s="70" customFormat="1">
      <c r="A752" s="227"/>
      <c r="C752" s="83"/>
      <c r="D752" s="83"/>
      <c r="E752" s="83"/>
      <c r="F752" s="83"/>
      <c r="G752" s="83"/>
    </row>
    <row r="753" spans="1:7" s="70" customFormat="1">
      <c r="A753" s="227"/>
      <c r="C753" s="83"/>
      <c r="D753" s="83"/>
      <c r="E753" s="83"/>
      <c r="F753" s="83"/>
      <c r="G753" s="83"/>
    </row>
    <row r="754" spans="1:7" s="70" customFormat="1">
      <c r="A754" s="227"/>
      <c r="C754" s="83"/>
      <c r="D754" s="83"/>
      <c r="E754" s="83"/>
      <c r="F754" s="83"/>
      <c r="G754" s="83"/>
    </row>
    <row r="755" spans="1:7" s="70" customFormat="1">
      <c r="A755" s="227"/>
      <c r="C755" s="83"/>
      <c r="D755" s="83"/>
      <c r="E755" s="83"/>
      <c r="F755" s="83"/>
      <c r="G755" s="83"/>
    </row>
    <row r="756" spans="1:7" s="70" customFormat="1">
      <c r="A756" s="227"/>
      <c r="C756" s="83"/>
      <c r="D756" s="83"/>
      <c r="E756" s="83"/>
      <c r="F756" s="83"/>
      <c r="G756" s="83"/>
    </row>
    <row r="757" spans="1:7" s="70" customFormat="1">
      <c r="A757" s="227"/>
      <c r="C757" s="83"/>
      <c r="D757" s="83"/>
      <c r="E757" s="83"/>
      <c r="F757" s="83"/>
      <c r="G757" s="83"/>
    </row>
    <row r="758" spans="1:7" s="70" customFormat="1">
      <c r="A758" s="227"/>
      <c r="C758" s="83"/>
      <c r="D758" s="83"/>
      <c r="E758" s="83"/>
      <c r="F758" s="83"/>
      <c r="G758" s="83"/>
    </row>
    <row r="759" spans="1:7" s="70" customFormat="1">
      <c r="A759" s="227"/>
      <c r="C759" s="83"/>
      <c r="D759" s="83"/>
      <c r="E759" s="83"/>
      <c r="F759" s="83"/>
      <c r="G759" s="83"/>
    </row>
    <row r="760" spans="1:7" s="70" customFormat="1">
      <c r="A760" s="227"/>
      <c r="C760" s="83"/>
      <c r="D760" s="83"/>
      <c r="E760" s="83"/>
      <c r="F760" s="83"/>
      <c r="G760" s="83"/>
    </row>
    <row r="761" spans="1:7" s="70" customFormat="1">
      <c r="A761" s="227"/>
      <c r="C761" s="83"/>
      <c r="D761" s="83"/>
      <c r="E761" s="83"/>
      <c r="F761" s="83"/>
      <c r="G761" s="83"/>
    </row>
    <row r="762" spans="1:7" s="70" customFormat="1">
      <c r="A762" s="227"/>
      <c r="C762" s="83"/>
      <c r="D762" s="83"/>
      <c r="E762" s="83"/>
      <c r="F762" s="83"/>
      <c r="G762" s="83"/>
    </row>
    <row r="763" spans="1:7" s="70" customFormat="1">
      <c r="A763" s="227"/>
      <c r="C763" s="83"/>
      <c r="D763" s="83"/>
      <c r="E763" s="83"/>
      <c r="F763" s="83"/>
      <c r="G763" s="83"/>
    </row>
    <row r="764" spans="1:7" s="70" customFormat="1">
      <c r="A764" s="227"/>
      <c r="C764" s="83"/>
      <c r="D764" s="83"/>
      <c r="E764" s="83"/>
      <c r="F764" s="83"/>
      <c r="G764" s="83"/>
    </row>
    <row r="765" spans="1:7" s="70" customFormat="1">
      <c r="A765" s="227"/>
      <c r="C765" s="83"/>
      <c r="D765" s="83"/>
      <c r="E765" s="83"/>
      <c r="F765" s="83"/>
      <c r="G765" s="83"/>
    </row>
    <row r="766" spans="1:7" s="70" customFormat="1">
      <c r="A766" s="227"/>
      <c r="C766" s="83"/>
      <c r="D766" s="83"/>
      <c r="E766" s="83"/>
      <c r="F766" s="83"/>
      <c r="G766" s="83"/>
    </row>
    <row r="767" spans="1:7" s="70" customFormat="1">
      <c r="A767" s="227"/>
      <c r="C767" s="83"/>
      <c r="D767" s="83"/>
      <c r="E767" s="83"/>
      <c r="F767" s="83"/>
      <c r="G767" s="83"/>
    </row>
    <row r="768" spans="1:7" s="70" customFormat="1">
      <c r="A768" s="227"/>
      <c r="C768" s="83"/>
      <c r="D768" s="83"/>
      <c r="E768" s="83"/>
      <c r="F768" s="83"/>
      <c r="G768" s="83"/>
    </row>
    <row r="769" spans="1:7" s="70" customFormat="1">
      <c r="A769" s="227"/>
      <c r="C769" s="83"/>
      <c r="D769" s="83"/>
      <c r="E769" s="83"/>
      <c r="F769" s="83"/>
      <c r="G769" s="83"/>
    </row>
    <row r="770" spans="1:7" s="70" customFormat="1">
      <c r="A770" s="227"/>
      <c r="C770" s="83"/>
      <c r="D770" s="83"/>
      <c r="E770" s="83"/>
      <c r="F770" s="83"/>
      <c r="G770" s="83"/>
    </row>
    <row r="771" spans="1:7" s="70" customFormat="1">
      <c r="A771" s="227"/>
      <c r="C771" s="83"/>
      <c r="D771" s="83"/>
      <c r="E771" s="83"/>
      <c r="F771" s="83"/>
      <c r="G771" s="83"/>
    </row>
    <row r="772" spans="1:7" s="70" customFormat="1">
      <c r="A772" s="227"/>
      <c r="C772" s="83"/>
      <c r="D772" s="83"/>
      <c r="E772" s="83"/>
      <c r="F772" s="83"/>
      <c r="G772" s="83"/>
    </row>
    <row r="773" spans="1:7" s="70" customFormat="1">
      <c r="A773" s="227"/>
      <c r="C773" s="83"/>
      <c r="D773" s="83"/>
      <c r="E773" s="83"/>
      <c r="F773" s="83"/>
      <c r="G773" s="83"/>
    </row>
    <row r="774" spans="1:7" s="70" customFormat="1">
      <c r="A774" s="227"/>
      <c r="C774" s="83"/>
      <c r="D774" s="83"/>
      <c r="E774" s="83"/>
      <c r="F774" s="83"/>
      <c r="G774" s="83"/>
    </row>
    <row r="775" spans="1:7" s="70" customFormat="1">
      <c r="A775" s="227"/>
      <c r="C775" s="83"/>
      <c r="D775" s="83"/>
      <c r="E775" s="83"/>
      <c r="F775" s="83"/>
      <c r="G775" s="83"/>
    </row>
    <row r="776" spans="1:7" s="70" customFormat="1">
      <c r="A776" s="227"/>
      <c r="C776" s="83"/>
      <c r="D776" s="83"/>
      <c r="E776" s="83"/>
      <c r="F776" s="83"/>
      <c r="G776" s="83"/>
    </row>
    <row r="777" spans="1:7" s="70" customFormat="1">
      <c r="A777" s="227"/>
      <c r="C777" s="83"/>
      <c r="D777" s="83"/>
      <c r="E777" s="83"/>
      <c r="F777" s="83"/>
      <c r="G777" s="83"/>
    </row>
    <row r="778" spans="1:7" s="70" customFormat="1">
      <c r="A778" s="227"/>
      <c r="C778" s="83"/>
      <c r="D778" s="83"/>
      <c r="E778" s="83"/>
      <c r="F778" s="83"/>
      <c r="G778" s="83"/>
    </row>
    <row r="779" spans="1:7" s="70" customFormat="1">
      <c r="A779" s="227"/>
      <c r="C779" s="83"/>
      <c r="D779" s="83"/>
      <c r="E779" s="83"/>
      <c r="F779" s="83"/>
      <c r="G779" s="83"/>
    </row>
    <row r="780" spans="1:7" s="70" customFormat="1">
      <c r="A780" s="227"/>
      <c r="C780" s="83"/>
      <c r="D780" s="83"/>
      <c r="E780" s="83"/>
      <c r="F780" s="83"/>
      <c r="G780" s="83"/>
    </row>
    <row r="781" spans="1:7" s="70" customFormat="1">
      <c r="A781" s="227"/>
      <c r="C781" s="83"/>
      <c r="D781" s="83"/>
      <c r="E781" s="83"/>
      <c r="F781" s="83"/>
      <c r="G781" s="83"/>
    </row>
    <row r="782" spans="1:7" s="70" customFormat="1">
      <c r="A782" s="227"/>
      <c r="C782" s="83"/>
      <c r="D782" s="83"/>
      <c r="E782" s="83"/>
      <c r="F782" s="83"/>
      <c r="G782" s="83"/>
    </row>
    <row r="783" spans="1:7" s="70" customFormat="1">
      <c r="A783" s="227"/>
      <c r="C783" s="83"/>
      <c r="D783" s="83"/>
      <c r="E783" s="83"/>
      <c r="F783" s="83"/>
      <c r="G783" s="83"/>
    </row>
    <row r="784" spans="1:7" s="70" customFormat="1">
      <c r="A784" s="227"/>
      <c r="C784" s="83"/>
      <c r="D784" s="83"/>
      <c r="E784" s="83"/>
      <c r="F784" s="83"/>
      <c r="G784" s="83"/>
    </row>
    <row r="785" spans="1:7" s="70" customFormat="1">
      <c r="A785" s="227"/>
      <c r="C785" s="83"/>
      <c r="D785" s="83"/>
      <c r="E785" s="83"/>
      <c r="F785" s="83"/>
      <c r="G785" s="83"/>
    </row>
    <row r="786" spans="1:7" s="70" customFormat="1">
      <c r="A786" s="227"/>
      <c r="C786" s="83"/>
      <c r="D786" s="83"/>
      <c r="E786" s="83"/>
      <c r="F786" s="83"/>
      <c r="G786" s="83"/>
    </row>
    <row r="787" spans="1:7" s="70" customFormat="1">
      <c r="A787" s="227"/>
      <c r="C787" s="83"/>
      <c r="D787" s="83"/>
      <c r="E787" s="83"/>
      <c r="F787" s="83"/>
      <c r="G787" s="83"/>
    </row>
    <row r="788" spans="1:7" s="70" customFormat="1">
      <c r="A788" s="227"/>
      <c r="C788" s="83"/>
      <c r="D788" s="83"/>
      <c r="E788" s="83"/>
      <c r="F788" s="83"/>
      <c r="G788" s="83"/>
    </row>
    <row r="789" spans="1:7" s="70" customFormat="1">
      <c r="A789" s="227"/>
      <c r="C789" s="83"/>
      <c r="D789" s="83"/>
      <c r="E789" s="83"/>
      <c r="F789" s="83"/>
      <c r="G789" s="83"/>
    </row>
    <row r="790" spans="1:7" s="70" customFormat="1">
      <c r="A790" s="227"/>
      <c r="C790" s="83"/>
      <c r="D790" s="83"/>
      <c r="E790" s="83"/>
      <c r="F790" s="83"/>
      <c r="G790" s="83"/>
    </row>
    <row r="791" spans="1:7" s="70" customFormat="1">
      <c r="A791" s="227"/>
      <c r="C791" s="83"/>
      <c r="D791" s="83"/>
      <c r="E791" s="83"/>
      <c r="F791" s="83"/>
      <c r="G791" s="83"/>
    </row>
    <row r="792" spans="1:7" s="70" customFormat="1">
      <c r="A792" s="227"/>
      <c r="C792" s="83"/>
      <c r="D792" s="83"/>
      <c r="E792" s="83"/>
      <c r="F792" s="83"/>
      <c r="G792" s="83"/>
    </row>
    <row r="793" spans="1:7" s="70" customFormat="1">
      <c r="A793" s="227"/>
      <c r="C793" s="83"/>
      <c r="D793" s="83"/>
      <c r="E793" s="83"/>
      <c r="F793" s="83"/>
      <c r="G793" s="83"/>
    </row>
    <row r="794" spans="1:7" s="70" customFormat="1">
      <c r="A794" s="227"/>
      <c r="C794" s="83"/>
      <c r="D794" s="83"/>
      <c r="E794" s="83"/>
      <c r="F794" s="83"/>
      <c r="G794" s="83"/>
    </row>
    <row r="795" spans="1:7" s="70" customFormat="1">
      <c r="A795" s="227"/>
      <c r="C795" s="83"/>
      <c r="D795" s="83"/>
      <c r="E795" s="83"/>
      <c r="F795" s="83"/>
      <c r="G795" s="83"/>
    </row>
    <row r="796" spans="1:7" s="70" customFormat="1">
      <c r="A796" s="227"/>
      <c r="C796" s="83"/>
      <c r="D796" s="83"/>
      <c r="E796" s="83"/>
      <c r="F796" s="83"/>
      <c r="G796" s="83"/>
    </row>
    <row r="797" spans="1:7" s="70" customFormat="1">
      <c r="A797" s="227"/>
      <c r="C797" s="83"/>
      <c r="D797" s="83"/>
      <c r="E797" s="83"/>
      <c r="F797" s="83"/>
      <c r="G797" s="83"/>
    </row>
    <row r="798" spans="1:7" s="70" customFormat="1">
      <c r="A798" s="227"/>
      <c r="C798" s="83"/>
      <c r="D798" s="83"/>
      <c r="E798" s="83"/>
      <c r="F798" s="83"/>
      <c r="G798" s="83"/>
    </row>
    <row r="799" spans="1:7" s="70" customFormat="1">
      <c r="A799" s="227"/>
      <c r="C799" s="83"/>
      <c r="D799" s="83"/>
      <c r="E799" s="83"/>
      <c r="F799" s="83"/>
      <c r="G799" s="83"/>
    </row>
    <row r="800" spans="1:7" s="70" customFormat="1">
      <c r="A800" s="227"/>
      <c r="C800" s="83"/>
      <c r="D800" s="83"/>
      <c r="E800" s="83"/>
      <c r="F800" s="83"/>
      <c r="G800" s="83"/>
    </row>
    <row r="801" spans="1:7" s="70" customFormat="1">
      <c r="A801" s="227"/>
      <c r="C801" s="83"/>
      <c r="D801" s="83"/>
      <c r="E801" s="83"/>
      <c r="F801" s="83"/>
      <c r="G801" s="83"/>
    </row>
    <row r="802" spans="1:7" s="70" customFormat="1">
      <c r="A802" s="227"/>
      <c r="C802" s="83"/>
      <c r="D802" s="83"/>
      <c r="E802" s="83"/>
      <c r="F802" s="83"/>
      <c r="G802" s="83"/>
    </row>
    <row r="803" spans="1:7" s="70" customFormat="1">
      <c r="A803" s="227"/>
      <c r="C803" s="83"/>
      <c r="D803" s="83"/>
      <c r="E803" s="83"/>
      <c r="F803" s="83"/>
      <c r="G803" s="83"/>
    </row>
    <row r="804" spans="1:7" s="70" customFormat="1">
      <c r="A804" s="227"/>
      <c r="C804" s="83"/>
      <c r="D804" s="83"/>
      <c r="E804" s="83"/>
      <c r="F804" s="83"/>
      <c r="G804" s="83"/>
    </row>
    <row r="805" spans="1:7" s="70" customFormat="1">
      <c r="A805" s="227"/>
      <c r="C805" s="83"/>
      <c r="D805" s="83"/>
      <c r="E805" s="83"/>
      <c r="F805" s="83"/>
      <c r="G805" s="83"/>
    </row>
    <row r="806" spans="1:7" s="70" customFormat="1">
      <c r="A806" s="227"/>
      <c r="C806" s="83"/>
      <c r="D806" s="83"/>
      <c r="E806" s="83"/>
      <c r="F806" s="83"/>
      <c r="G806" s="83"/>
    </row>
    <row r="807" spans="1:7" s="70" customFormat="1">
      <c r="A807" s="227"/>
      <c r="C807" s="83"/>
      <c r="D807" s="83"/>
      <c r="E807" s="83"/>
      <c r="F807" s="83"/>
      <c r="G807" s="83"/>
    </row>
    <row r="808" spans="1:7" s="70" customFormat="1">
      <c r="A808" s="227"/>
      <c r="C808" s="83"/>
      <c r="D808" s="83"/>
      <c r="E808" s="83"/>
      <c r="F808" s="83"/>
      <c r="G808" s="83"/>
    </row>
    <row r="809" spans="1:7" s="70" customFormat="1">
      <c r="A809" s="227"/>
      <c r="C809" s="83"/>
      <c r="D809" s="83"/>
      <c r="E809" s="83"/>
      <c r="F809" s="83"/>
      <c r="G809" s="83"/>
    </row>
    <row r="810" spans="1:7" s="70" customFormat="1">
      <c r="A810" s="227"/>
      <c r="C810" s="83"/>
      <c r="D810" s="83"/>
      <c r="E810" s="83"/>
      <c r="F810" s="83"/>
      <c r="G810" s="83"/>
    </row>
    <row r="811" spans="1:7" s="70" customFormat="1">
      <c r="A811" s="227"/>
      <c r="C811" s="83"/>
      <c r="D811" s="83"/>
      <c r="E811" s="83"/>
      <c r="F811" s="83"/>
      <c r="G811" s="83"/>
    </row>
    <row r="812" spans="1:7" s="70" customFormat="1">
      <c r="A812" s="227"/>
      <c r="C812" s="83"/>
      <c r="D812" s="83"/>
      <c r="E812" s="83"/>
      <c r="F812" s="83"/>
      <c r="G812" s="83"/>
    </row>
    <row r="813" spans="1:7" s="70" customFormat="1">
      <c r="A813" s="227"/>
      <c r="C813" s="83"/>
      <c r="D813" s="83"/>
      <c r="E813" s="83"/>
      <c r="F813" s="83"/>
      <c r="G813" s="83"/>
    </row>
    <row r="814" spans="1:7" s="70" customFormat="1">
      <c r="A814" s="227"/>
      <c r="C814" s="83"/>
      <c r="D814" s="83"/>
      <c r="E814" s="83"/>
      <c r="F814" s="83"/>
      <c r="G814" s="83"/>
    </row>
    <row r="815" spans="1:7" s="70" customFormat="1">
      <c r="A815" s="227"/>
      <c r="C815" s="83"/>
      <c r="D815" s="83"/>
      <c r="E815" s="83"/>
      <c r="F815" s="83"/>
      <c r="G815" s="83"/>
    </row>
    <row r="816" spans="1:7" s="70" customFormat="1">
      <c r="A816" s="227"/>
      <c r="C816" s="83"/>
      <c r="D816" s="83"/>
      <c r="E816" s="83"/>
      <c r="F816" s="83"/>
      <c r="G816" s="83"/>
    </row>
    <row r="817" spans="1:7" s="70" customFormat="1">
      <c r="A817" s="227"/>
      <c r="C817" s="83"/>
      <c r="D817" s="83"/>
      <c r="E817" s="83"/>
      <c r="F817" s="83"/>
      <c r="G817" s="83"/>
    </row>
    <row r="818" spans="1:7" s="70" customFormat="1">
      <c r="A818" s="227"/>
      <c r="C818" s="83"/>
      <c r="D818" s="83"/>
      <c r="E818" s="83"/>
      <c r="F818" s="83"/>
      <c r="G818" s="83"/>
    </row>
    <row r="819" spans="1:7" s="70" customFormat="1">
      <c r="A819" s="227"/>
      <c r="C819" s="83"/>
      <c r="D819" s="83"/>
      <c r="E819" s="83"/>
      <c r="F819" s="83"/>
      <c r="G819" s="83"/>
    </row>
    <row r="820" spans="1:7" s="70" customFormat="1">
      <c r="A820" s="227"/>
      <c r="C820" s="83"/>
      <c r="D820" s="83"/>
      <c r="E820" s="83"/>
      <c r="F820" s="83"/>
      <c r="G820" s="83"/>
    </row>
    <row r="821" spans="1:7" s="70" customFormat="1">
      <c r="A821" s="227"/>
      <c r="C821" s="83"/>
      <c r="D821" s="83"/>
      <c r="E821" s="83"/>
      <c r="F821" s="83"/>
      <c r="G821" s="83"/>
    </row>
    <row r="822" spans="1:7" s="70" customFormat="1">
      <c r="A822" s="227"/>
      <c r="C822" s="83"/>
      <c r="D822" s="83"/>
      <c r="E822" s="83"/>
      <c r="F822" s="83"/>
      <c r="G822" s="83"/>
    </row>
    <row r="823" spans="1:7" s="70" customFormat="1">
      <c r="A823" s="227"/>
      <c r="C823" s="83"/>
      <c r="D823" s="83"/>
      <c r="E823" s="83"/>
      <c r="F823" s="83"/>
      <c r="G823" s="83"/>
    </row>
    <row r="824" spans="1:7" s="70" customFormat="1">
      <c r="A824" s="227"/>
      <c r="C824" s="83"/>
      <c r="D824" s="83"/>
      <c r="E824" s="83"/>
      <c r="F824" s="83"/>
      <c r="G824" s="83"/>
    </row>
    <row r="825" spans="1:7" s="70" customFormat="1">
      <c r="A825" s="227"/>
      <c r="C825" s="83"/>
      <c r="D825" s="83"/>
      <c r="E825" s="83"/>
      <c r="F825" s="83"/>
      <c r="G825" s="83"/>
    </row>
    <row r="826" spans="1:7" s="70" customFormat="1">
      <c r="A826" s="227"/>
      <c r="C826" s="83"/>
      <c r="D826" s="83"/>
      <c r="E826" s="83"/>
      <c r="F826" s="83"/>
      <c r="G826" s="83"/>
    </row>
    <row r="827" spans="1:7" s="70" customFormat="1">
      <c r="A827" s="227"/>
      <c r="C827" s="83"/>
      <c r="D827" s="83"/>
      <c r="E827" s="83"/>
      <c r="F827" s="83"/>
      <c r="G827" s="83"/>
    </row>
    <row r="828" spans="1:7" s="70" customFormat="1">
      <c r="A828" s="227"/>
      <c r="C828" s="83"/>
      <c r="D828" s="83"/>
      <c r="E828" s="83"/>
      <c r="F828" s="83"/>
      <c r="G828" s="83"/>
    </row>
    <row r="829" spans="1:7" s="70" customFormat="1">
      <c r="A829" s="227"/>
      <c r="C829" s="83"/>
      <c r="D829" s="83"/>
      <c r="E829" s="83"/>
      <c r="F829" s="83"/>
      <c r="G829" s="83"/>
    </row>
    <row r="830" spans="1:7" s="70" customFormat="1">
      <c r="A830" s="227"/>
      <c r="C830" s="83"/>
      <c r="D830" s="83"/>
      <c r="E830" s="83"/>
      <c r="F830" s="83"/>
      <c r="G830" s="83"/>
    </row>
    <row r="831" spans="1:7" s="70" customFormat="1">
      <c r="A831" s="227"/>
      <c r="C831" s="83"/>
      <c r="D831" s="83"/>
      <c r="E831" s="83"/>
      <c r="F831" s="83"/>
      <c r="G831" s="83"/>
    </row>
    <row r="832" spans="1:7" s="70" customFormat="1">
      <c r="A832" s="227"/>
      <c r="C832" s="83"/>
      <c r="D832" s="83"/>
      <c r="E832" s="83"/>
      <c r="F832" s="83"/>
      <c r="G832" s="83"/>
    </row>
    <row r="833" spans="1:7" s="70" customFormat="1">
      <c r="A833" s="227"/>
      <c r="C833" s="83"/>
      <c r="D833" s="83"/>
      <c r="E833" s="83"/>
      <c r="F833" s="83"/>
      <c r="G833" s="83"/>
    </row>
    <row r="834" spans="1:7" s="70" customFormat="1">
      <c r="A834" s="227"/>
      <c r="C834" s="83"/>
      <c r="D834" s="83"/>
      <c r="E834" s="83"/>
      <c r="F834" s="83"/>
      <c r="G834" s="83"/>
    </row>
    <row r="835" spans="1:7" s="70" customFormat="1">
      <c r="A835" s="227"/>
      <c r="C835" s="83"/>
      <c r="D835" s="83"/>
      <c r="E835" s="83"/>
      <c r="F835" s="83"/>
      <c r="G835" s="83"/>
    </row>
    <row r="836" spans="1:7" s="70" customFormat="1">
      <c r="A836" s="227"/>
      <c r="C836" s="83"/>
      <c r="D836" s="83"/>
      <c r="E836" s="83"/>
      <c r="F836" s="83"/>
      <c r="G836" s="83"/>
    </row>
    <row r="837" spans="1:7" s="70" customFormat="1">
      <c r="A837" s="227"/>
      <c r="C837" s="83"/>
      <c r="D837" s="83"/>
      <c r="E837" s="83"/>
      <c r="F837" s="83"/>
      <c r="G837" s="83"/>
    </row>
    <row r="838" spans="1:7" s="70" customFormat="1">
      <c r="A838" s="227"/>
      <c r="C838" s="83"/>
      <c r="D838" s="83"/>
      <c r="E838" s="83"/>
      <c r="F838" s="83"/>
      <c r="G838" s="83"/>
    </row>
    <row r="839" spans="1:7" s="70" customFormat="1">
      <c r="A839" s="227"/>
      <c r="C839" s="83"/>
      <c r="D839" s="83"/>
      <c r="E839" s="83"/>
      <c r="F839" s="83"/>
      <c r="G839" s="83"/>
    </row>
    <row r="840" spans="1:7" s="70" customFormat="1">
      <c r="A840" s="227"/>
      <c r="C840" s="83"/>
      <c r="D840" s="83"/>
      <c r="E840" s="83"/>
      <c r="F840" s="83"/>
      <c r="G840" s="83"/>
    </row>
    <row r="841" spans="1:7" s="70" customFormat="1">
      <c r="A841" s="227"/>
      <c r="C841" s="83"/>
      <c r="D841" s="83"/>
      <c r="E841" s="83"/>
      <c r="F841" s="83"/>
      <c r="G841" s="83"/>
    </row>
    <row r="842" spans="1:7" s="70" customFormat="1">
      <c r="A842" s="227"/>
      <c r="C842" s="83"/>
      <c r="D842" s="83"/>
      <c r="E842" s="83"/>
      <c r="F842" s="83"/>
      <c r="G842" s="83"/>
    </row>
    <row r="843" spans="1:7" s="70" customFormat="1">
      <c r="A843" s="227"/>
      <c r="C843" s="83"/>
      <c r="D843" s="83"/>
      <c r="E843" s="83"/>
      <c r="F843" s="83"/>
      <c r="G843" s="83"/>
    </row>
    <row r="844" spans="1:7" s="70" customFormat="1">
      <c r="A844" s="227"/>
      <c r="C844" s="83"/>
      <c r="D844" s="83"/>
      <c r="E844" s="83"/>
      <c r="F844" s="83"/>
      <c r="G844" s="83"/>
    </row>
    <row r="845" spans="1:7" s="70" customFormat="1">
      <c r="A845" s="227"/>
      <c r="C845" s="83"/>
      <c r="D845" s="83"/>
      <c r="E845" s="83"/>
      <c r="F845" s="83"/>
      <c r="G845" s="83"/>
    </row>
    <row r="846" spans="1:7" s="70" customFormat="1">
      <c r="A846" s="227"/>
      <c r="C846" s="83"/>
      <c r="D846" s="83"/>
      <c r="E846" s="83"/>
      <c r="F846" s="83"/>
      <c r="G846" s="83"/>
    </row>
    <row r="847" spans="1:7" s="70" customFormat="1">
      <c r="A847" s="227"/>
      <c r="C847" s="83"/>
      <c r="D847" s="83"/>
      <c r="E847" s="83"/>
      <c r="F847" s="83"/>
      <c r="G847" s="83"/>
    </row>
    <row r="848" spans="1:7" s="70" customFormat="1">
      <c r="A848" s="227"/>
      <c r="C848" s="83"/>
      <c r="D848" s="83"/>
      <c r="E848" s="83"/>
      <c r="F848" s="83"/>
      <c r="G848" s="83"/>
    </row>
    <row r="849" spans="1:7" s="70" customFormat="1">
      <c r="A849" s="227"/>
      <c r="C849" s="83"/>
      <c r="D849" s="83"/>
      <c r="E849" s="83"/>
      <c r="F849" s="83"/>
      <c r="G849" s="83"/>
    </row>
    <row r="850" spans="1:7" s="70" customFormat="1">
      <c r="A850" s="227"/>
      <c r="C850" s="83"/>
      <c r="D850" s="83"/>
      <c r="E850" s="83"/>
      <c r="F850" s="83"/>
      <c r="G850" s="83"/>
    </row>
    <row r="851" spans="1:7" s="70" customFormat="1">
      <c r="A851" s="227"/>
      <c r="C851" s="83"/>
      <c r="D851" s="83"/>
      <c r="E851" s="83"/>
      <c r="F851" s="83"/>
      <c r="G851" s="83"/>
    </row>
    <row r="852" spans="1:7" s="70" customFormat="1">
      <c r="A852" s="227"/>
      <c r="C852" s="83"/>
      <c r="D852" s="83"/>
      <c r="E852" s="83"/>
      <c r="F852" s="83"/>
      <c r="G852" s="83"/>
    </row>
    <row r="853" spans="1:7" s="70" customFormat="1">
      <c r="A853" s="227"/>
      <c r="C853" s="83"/>
      <c r="D853" s="83"/>
      <c r="E853" s="83"/>
      <c r="F853" s="83"/>
      <c r="G853" s="83"/>
    </row>
    <row r="854" spans="1:7" s="70" customFormat="1">
      <c r="A854" s="227"/>
      <c r="C854" s="83"/>
      <c r="D854" s="83"/>
      <c r="E854" s="83"/>
      <c r="F854" s="83"/>
      <c r="G854" s="83"/>
    </row>
    <row r="855" spans="1:7" s="70" customFormat="1">
      <c r="A855" s="227"/>
      <c r="C855" s="83"/>
      <c r="D855" s="83"/>
      <c r="E855" s="83"/>
      <c r="F855" s="83"/>
      <c r="G855" s="83"/>
    </row>
    <row r="856" spans="1:7" s="70" customFormat="1">
      <c r="A856" s="227"/>
      <c r="C856" s="83"/>
      <c r="D856" s="83"/>
      <c r="E856" s="83"/>
      <c r="F856" s="83"/>
      <c r="G856" s="83"/>
    </row>
    <row r="857" spans="1:7" s="70" customFormat="1">
      <c r="A857" s="227"/>
      <c r="C857" s="83"/>
      <c r="D857" s="83"/>
      <c r="E857" s="83"/>
      <c r="F857" s="83"/>
      <c r="G857" s="83"/>
    </row>
    <row r="858" spans="1:7" s="70" customFormat="1">
      <c r="A858" s="227"/>
      <c r="C858" s="83"/>
      <c r="D858" s="83"/>
      <c r="E858" s="83"/>
      <c r="F858" s="83"/>
      <c r="G858" s="83"/>
    </row>
    <row r="859" spans="1:7" s="70" customFormat="1">
      <c r="A859" s="227"/>
      <c r="C859" s="83"/>
      <c r="D859" s="83"/>
      <c r="E859" s="83"/>
      <c r="F859" s="83"/>
      <c r="G859" s="83"/>
    </row>
    <row r="860" spans="1:7" s="70" customFormat="1">
      <c r="A860" s="227"/>
      <c r="C860" s="83"/>
      <c r="D860" s="83"/>
      <c r="E860" s="83"/>
      <c r="F860" s="83"/>
      <c r="G860" s="83"/>
    </row>
    <row r="861" spans="1:7" s="70" customFormat="1">
      <c r="A861" s="227"/>
      <c r="C861" s="83"/>
      <c r="D861" s="83"/>
      <c r="E861" s="83"/>
      <c r="F861" s="83"/>
      <c r="G861" s="83"/>
    </row>
    <row r="862" spans="1:7" s="70" customFormat="1">
      <c r="A862" s="227"/>
      <c r="C862" s="83"/>
      <c r="D862" s="83"/>
      <c r="E862" s="83"/>
      <c r="F862" s="83"/>
      <c r="G862" s="83"/>
    </row>
    <row r="863" spans="1:7" s="70" customFormat="1">
      <c r="A863" s="227"/>
      <c r="C863" s="83"/>
      <c r="D863" s="83"/>
      <c r="E863" s="83"/>
      <c r="F863" s="83"/>
      <c r="G863" s="83"/>
    </row>
    <row r="864" spans="1:7" s="70" customFormat="1">
      <c r="A864" s="227"/>
      <c r="C864" s="83"/>
      <c r="D864" s="83"/>
      <c r="E864" s="83"/>
      <c r="F864" s="83"/>
      <c r="G864" s="83"/>
    </row>
    <row r="865" spans="1:7" s="70" customFormat="1">
      <c r="A865" s="227"/>
      <c r="C865" s="83"/>
      <c r="D865" s="83"/>
      <c r="E865" s="83"/>
      <c r="F865" s="83"/>
      <c r="G865" s="83"/>
    </row>
    <row r="866" spans="1:7" s="70" customFormat="1">
      <c r="A866" s="227"/>
      <c r="C866" s="83"/>
      <c r="D866" s="83"/>
      <c r="E866" s="83"/>
      <c r="F866" s="83"/>
      <c r="G866" s="83"/>
    </row>
    <row r="867" spans="1:7" s="70" customFormat="1">
      <c r="A867" s="227"/>
      <c r="C867" s="83"/>
      <c r="D867" s="83"/>
      <c r="E867" s="83"/>
      <c r="F867" s="83"/>
      <c r="G867" s="83"/>
    </row>
    <row r="868" spans="1:7" s="70" customFormat="1">
      <c r="A868" s="227"/>
      <c r="C868" s="83"/>
      <c r="D868" s="83"/>
      <c r="E868" s="83"/>
      <c r="F868" s="83"/>
      <c r="G868" s="83"/>
    </row>
    <row r="869" spans="1:7" s="70" customFormat="1">
      <c r="A869" s="227"/>
      <c r="C869" s="83"/>
      <c r="D869" s="83"/>
      <c r="E869" s="83"/>
      <c r="F869" s="83"/>
      <c r="G869" s="83"/>
    </row>
    <row r="870" spans="1:7" s="70" customFormat="1">
      <c r="A870" s="227"/>
      <c r="C870" s="83"/>
      <c r="D870" s="83"/>
      <c r="E870" s="83"/>
      <c r="F870" s="83"/>
      <c r="G870" s="83"/>
    </row>
    <row r="871" spans="1:7" s="70" customFormat="1">
      <c r="A871" s="227"/>
      <c r="C871" s="83"/>
      <c r="D871" s="83"/>
      <c r="E871" s="83"/>
      <c r="F871" s="83"/>
      <c r="G871" s="83"/>
    </row>
    <row r="872" spans="1:7" s="70" customFormat="1">
      <c r="A872" s="227"/>
      <c r="C872" s="83"/>
      <c r="D872" s="83"/>
      <c r="E872" s="83"/>
      <c r="F872" s="83"/>
      <c r="G872" s="83"/>
    </row>
    <row r="873" spans="1:7" s="70" customFormat="1">
      <c r="A873" s="227"/>
      <c r="C873" s="83"/>
      <c r="D873" s="83"/>
      <c r="E873" s="83"/>
      <c r="F873" s="83"/>
      <c r="G873" s="83"/>
    </row>
    <row r="874" spans="1:7" s="70" customFormat="1">
      <c r="A874" s="227"/>
      <c r="C874" s="83"/>
      <c r="D874" s="83"/>
      <c r="E874" s="83"/>
      <c r="F874" s="83"/>
      <c r="G874" s="83"/>
    </row>
    <row r="875" spans="1:7" s="70" customFormat="1">
      <c r="A875" s="227"/>
      <c r="C875" s="83"/>
      <c r="D875" s="83"/>
      <c r="E875" s="83"/>
      <c r="F875" s="83"/>
      <c r="G875" s="83"/>
    </row>
    <row r="876" spans="1:7" s="70" customFormat="1">
      <c r="A876" s="227"/>
      <c r="C876" s="83"/>
      <c r="D876" s="83"/>
      <c r="E876" s="83"/>
      <c r="F876" s="83"/>
      <c r="G876" s="83"/>
    </row>
    <row r="877" spans="1:7" s="70" customFormat="1">
      <c r="A877" s="227"/>
      <c r="C877" s="83"/>
      <c r="D877" s="83"/>
      <c r="E877" s="83"/>
      <c r="F877" s="83"/>
      <c r="G877" s="83"/>
    </row>
    <row r="878" spans="1:7" s="70" customFormat="1">
      <c r="A878" s="227"/>
      <c r="C878" s="83"/>
      <c r="D878" s="83"/>
      <c r="E878" s="83"/>
      <c r="F878" s="83"/>
      <c r="G878" s="83"/>
    </row>
    <row r="879" spans="1:7" s="70" customFormat="1">
      <c r="A879" s="227"/>
      <c r="C879" s="83"/>
      <c r="D879" s="83"/>
      <c r="E879" s="83"/>
      <c r="F879" s="83"/>
      <c r="G879" s="83"/>
    </row>
    <row r="880" spans="1:7" s="70" customFormat="1">
      <c r="A880" s="227"/>
      <c r="C880" s="83"/>
      <c r="D880" s="83"/>
      <c r="E880" s="83"/>
      <c r="F880" s="83"/>
      <c r="G880" s="83"/>
    </row>
    <row r="881" spans="1:7" s="70" customFormat="1">
      <c r="A881" s="227"/>
      <c r="C881" s="83"/>
      <c r="D881" s="83"/>
      <c r="E881" s="83"/>
      <c r="F881" s="83"/>
      <c r="G881" s="83"/>
    </row>
    <row r="882" spans="1:7" s="70" customFormat="1">
      <c r="A882" s="227"/>
      <c r="C882" s="83"/>
      <c r="D882" s="83"/>
      <c r="E882" s="83"/>
      <c r="F882" s="83"/>
      <c r="G882" s="83"/>
    </row>
    <row r="883" spans="1:7" s="70" customFormat="1">
      <c r="A883" s="227"/>
      <c r="C883" s="83"/>
      <c r="D883" s="83"/>
      <c r="E883" s="83"/>
      <c r="F883" s="83"/>
      <c r="G883" s="83"/>
    </row>
    <row r="884" spans="1:7" s="70" customFormat="1">
      <c r="A884" s="227"/>
      <c r="C884" s="83"/>
      <c r="D884" s="83"/>
      <c r="E884" s="83"/>
      <c r="F884" s="83"/>
      <c r="G884" s="83"/>
    </row>
    <row r="885" spans="1:7" s="70" customFormat="1">
      <c r="A885" s="227"/>
      <c r="C885" s="83"/>
      <c r="D885" s="83"/>
      <c r="E885" s="83"/>
      <c r="F885" s="83"/>
      <c r="G885" s="83"/>
    </row>
    <row r="886" spans="1:7" s="70" customFormat="1">
      <c r="A886" s="227"/>
      <c r="C886" s="83"/>
      <c r="D886" s="83"/>
      <c r="E886" s="83"/>
      <c r="F886" s="83"/>
      <c r="G886" s="83"/>
    </row>
    <row r="887" spans="1:7" s="70" customFormat="1">
      <c r="A887" s="227"/>
      <c r="C887" s="83"/>
      <c r="D887" s="83"/>
      <c r="E887" s="83"/>
      <c r="F887" s="83"/>
      <c r="G887" s="83"/>
    </row>
    <row r="888" spans="1:7" s="70" customFormat="1">
      <c r="A888" s="227"/>
      <c r="C888" s="83"/>
      <c r="D888" s="83"/>
      <c r="E888" s="83"/>
      <c r="F888" s="83"/>
      <c r="G888" s="83"/>
    </row>
    <row r="889" spans="1:7" s="70" customFormat="1">
      <c r="A889" s="227"/>
      <c r="C889" s="83"/>
      <c r="D889" s="83"/>
      <c r="E889" s="83"/>
      <c r="F889" s="83"/>
      <c r="G889" s="83"/>
    </row>
    <row r="890" spans="1:7" s="70" customFormat="1">
      <c r="A890" s="227"/>
      <c r="C890" s="83"/>
      <c r="D890" s="83"/>
      <c r="E890" s="83"/>
      <c r="F890" s="83"/>
      <c r="G890" s="83"/>
    </row>
    <row r="891" spans="1:7" s="70" customFormat="1">
      <c r="A891" s="227"/>
      <c r="C891" s="83"/>
      <c r="D891" s="83"/>
      <c r="E891" s="83"/>
      <c r="F891" s="83"/>
      <c r="G891" s="83"/>
    </row>
    <row r="892" spans="1:7" s="70" customFormat="1">
      <c r="A892" s="227"/>
      <c r="C892" s="83"/>
      <c r="D892" s="83"/>
      <c r="E892" s="83"/>
      <c r="F892" s="83"/>
      <c r="G892" s="83"/>
    </row>
    <row r="893" spans="1:7" s="70" customFormat="1">
      <c r="A893" s="227"/>
      <c r="C893" s="83"/>
      <c r="D893" s="83"/>
      <c r="E893" s="83"/>
      <c r="F893" s="83"/>
      <c r="G893" s="83"/>
    </row>
    <row r="894" spans="1:7" s="70" customFormat="1">
      <c r="A894" s="227"/>
      <c r="C894" s="83"/>
      <c r="D894" s="83"/>
      <c r="E894" s="83"/>
      <c r="F894" s="83"/>
      <c r="G894" s="83"/>
    </row>
    <row r="895" spans="1:7" s="70" customFormat="1">
      <c r="A895" s="227"/>
      <c r="C895" s="83"/>
      <c r="D895" s="83"/>
      <c r="E895" s="83"/>
      <c r="F895" s="83"/>
      <c r="G895" s="83"/>
    </row>
    <row r="896" spans="1:7" s="70" customFormat="1">
      <c r="A896" s="227"/>
      <c r="C896" s="83"/>
      <c r="D896" s="83"/>
      <c r="E896" s="83"/>
      <c r="F896" s="83"/>
      <c r="G896" s="83"/>
    </row>
    <row r="897" spans="1:7" s="70" customFormat="1">
      <c r="A897" s="227"/>
      <c r="C897" s="83"/>
      <c r="D897" s="83"/>
      <c r="E897" s="83"/>
      <c r="F897" s="83"/>
      <c r="G897" s="83"/>
    </row>
    <row r="898" spans="1:7" s="70" customFormat="1">
      <c r="A898" s="227"/>
      <c r="C898" s="83"/>
      <c r="D898" s="83"/>
      <c r="E898" s="83"/>
      <c r="F898" s="83"/>
      <c r="G898" s="83"/>
    </row>
    <row r="899" spans="1:7" s="70" customFormat="1">
      <c r="A899" s="227"/>
      <c r="C899" s="83"/>
      <c r="D899" s="83"/>
      <c r="E899" s="83"/>
      <c r="F899" s="83"/>
      <c r="G899" s="83"/>
    </row>
    <row r="900" spans="1:7" s="70" customFormat="1">
      <c r="A900" s="227"/>
      <c r="C900" s="83"/>
      <c r="D900" s="83"/>
      <c r="E900" s="83"/>
      <c r="F900" s="83"/>
      <c r="G900" s="83"/>
    </row>
    <row r="901" spans="1:7" s="70" customFormat="1">
      <c r="A901" s="227"/>
      <c r="C901" s="83"/>
      <c r="D901" s="83"/>
      <c r="E901" s="83"/>
      <c r="F901" s="83"/>
      <c r="G901" s="83"/>
    </row>
    <row r="902" spans="1:7" s="70" customFormat="1">
      <c r="A902" s="227"/>
      <c r="C902" s="83"/>
      <c r="D902" s="83"/>
      <c r="E902" s="83"/>
      <c r="F902" s="83"/>
      <c r="G902" s="83"/>
    </row>
    <row r="903" spans="1:7" s="70" customFormat="1">
      <c r="A903" s="227"/>
      <c r="C903" s="83"/>
      <c r="D903" s="83"/>
      <c r="E903" s="83"/>
      <c r="F903" s="83"/>
      <c r="G903" s="83"/>
    </row>
    <row r="904" spans="1:7" s="70" customFormat="1">
      <c r="A904" s="227"/>
      <c r="C904" s="83"/>
      <c r="D904" s="83"/>
      <c r="E904" s="83"/>
      <c r="F904" s="83"/>
      <c r="G904" s="83"/>
    </row>
    <row r="905" spans="1:7" s="70" customFormat="1">
      <c r="A905" s="227"/>
      <c r="C905" s="83"/>
      <c r="D905" s="83"/>
      <c r="E905" s="83"/>
      <c r="F905" s="83"/>
      <c r="G905" s="83"/>
    </row>
    <row r="906" spans="1:7" s="70" customFormat="1">
      <c r="A906" s="227"/>
      <c r="C906" s="83"/>
      <c r="D906" s="83"/>
      <c r="E906" s="83"/>
      <c r="F906" s="83"/>
      <c r="G906" s="83"/>
    </row>
    <row r="907" spans="1:7" s="70" customFormat="1">
      <c r="A907" s="227"/>
      <c r="C907" s="83"/>
      <c r="D907" s="83"/>
      <c r="E907" s="83"/>
      <c r="F907" s="83"/>
      <c r="G907" s="83"/>
    </row>
    <row r="908" spans="1:7" s="70" customFormat="1">
      <c r="A908" s="227"/>
      <c r="C908" s="83"/>
      <c r="D908" s="83"/>
      <c r="E908" s="83"/>
      <c r="F908" s="83"/>
      <c r="G908" s="83"/>
    </row>
    <row r="909" spans="1:7" s="70" customFormat="1">
      <c r="A909" s="227"/>
      <c r="C909" s="83"/>
      <c r="D909" s="83"/>
      <c r="E909" s="83"/>
      <c r="F909" s="83"/>
      <c r="G909" s="83"/>
    </row>
    <row r="910" spans="1:7" s="70" customFormat="1">
      <c r="A910" s="227"/>
      <c r="C910" s="83"/>
      <c r="D910" s="83"/>
      <c r="E910" s="83"/>
      <c r="F910" s="83"/>
      <c r="G910" s="83"/>
    </row>
    <row r="911" spans="1:7" s="70" customFormat="1">
      <c r="A911" s="227"/>
      <c r="C911" s="83"/>
      <c r="D911" s="83"/>
      <c r="E911" s="83"/>
      <c r="F911" s="83"/>
      <c r="G911" s="83"/>
    </row>
    <row r="912" spans="1:7" s="70" customFormat="1">
      <c r="A912" s="227"/>
      <c r="C912" s="83"/>
      <c r="D912" s="83"/>
      <c r="E912" s="83"/>
      <c r="F912" s="83"/>
      <c r="G912" s="83"/>
    </row>
    <row r="913" spans="1:7" s="70" customFormat="1">
      <c r="A913" s="227"/>
      <c r="C913" s="83"/>
      <c r="D913" s="83"/>
      <c r="E913" s="83"/>
      <c r="F913" s="83"/>
      <c r="G913" s="83"/>
    </row>
    <row r="914" spans="1:7" s="70" customFormat="1">
      <c r="A914" s="227"/>
      <c r="C914" s="83"/>
      <c r="D914" s="83"/>
      <c r="E914" s="83"/>
      <c r="F914" s="83"/>
      <c r="G914" s="83"/>
    </row>
    <row r="915" spans="1:7" s="70" customFormat="1">
      <c r="A915" s="227"/>
      <c r="C915" s="83"/>
      <c r="D915" s="83"/>
      <c r="E915" s="83"/>
      <c r="F915" s="83"/>
      <c r="G915" s="83"/>
    </row>
    <row r="916" spans="1:7" s="70" customFormat="1">
      <c r="A916" s="227"/>
      <c r="C916" s="83"/>
      <c r="D916" s="83"/>
      <c r="E916" s="83"/>
      <c r="F916" s="83"/>
      <c r="G916" s="83"/>
    </row>
    <row r="917" spans="1:7" s="70" customFormat="1">
      <c r="A917" s="227"/>
      <c r="C917" s="83"/>
      <c r="D917" s="83"/>
      <c r="E917" s="83"/>
      <c r="F917" s="83"/>
      <c r="G917" s="83"/>
    </row>
    <row r="918" spans="1:7" s="70" customFormat="1">
      <c r="A918" s="227"/>
      <c r="C918" s="83"/>
      <c r="D918" s="83"/>
      <c r="E918" s="83"/>
      <c r="F918" s="83"/>
      <c r="G918" s="83"/>
    </row>
    <row r="919" spans="1:7" s="70" customFormat="1">
      <c r="A919" s="227"/>
      <c r="C919" s="83"/>
      <c r="D919" s="83"/>
      <c r="E919" s="83"/>
      <c r="F919" s="83"/>
      <c r="G919" s="83"/>
    </row>
    <row r="920" spans="1:7" s="70" customFormat="1">
      <c r="A920" s="227"/>
      <c r="C920" s="83"/>
      <c r="D920" s="83"/>
      <c r="E920" s="83"/>
      <c r="F920" s="83"/>
      <c r="G920" s="83"/>
    </row>
    <row r="921" spans="1:7" s="70" customFormat="1">
      <c r="A921" s="227"/>
      <c r="C921" s="83"/>
      <c r="D921" s="83"/>
      <c r="E921" s="83"/>
      <c r="F921" s="83"/>
      <c r="G921" s="83"/>
    </row>
    <row r="922" spans="1:7" s="70" customFormat="1">
      <c r="A922" s="227"/>
      <c r="C922" s="83"/>
      <c r="D922" s="83"/>
      <c r="E922" s="83"/>
      <c r="F922" s="83"/>
      <c r="G922" s="83"/>
    </row>
    <row r="923" spans="1:7" s="70" customFormat="1">
      <c r="A923" s="227"/>
      <c r="C923" s="83"/>
      <c r="D923" s="83"/>
      <c r="E923" s="83"/>
      <c r="F923" s="83"/>
      <c r="G923" s="83"/>
    </row>
    <row r="924" spans="1:7" s="70" customFormat="1">
      <c r="A924" s="227"/>
      <c r="C924" s="83"/>
      <c r="D924" s="83"/>
      <c r="E924" s="83"/>
      <c r="F924" s="83"/>
      <c r="G924" s="83"/>
    </row>
    <row r="925" spans="1:7" s="70" customFormat="1">
      <c r="A925" s="227"/>
      <c r="C925" s="83"/>
      <c r="D925" s="83"/>
      <c r="E925" s="83"/>
      <c r="F925" s="83"/>
      <c r="G925" s="83"/>
    </row>
    <row r="926" spans="1:7" s="70" customFormat="1">
      <c r="A926" s="227"/>
      <c r="C926" s="83"/>
      <c r="D926" s="83"/>
      <c r="E926" s="83"/>
      <c r="F926" s="83"/>
      <c r="G926" s="83"/>
    </row>
    <row r="927" spans="1:7" s="70" customFormat="1">
      <c r="A927" s="227"/>
      <c r="C927" s="83"/>
      <c r="D927" s="83"/>
      <c r="E927" s="83"/>
      <c r="F927" s="83"/>
      <c r="G927" s="83"/>
    </row>
    <row r="928" spans="1:7" s="70" customFormat="1">
      <c r="A928" s="227"/>
      <c r="C928" s="83"/>
      <c r="D928" s="83"/>
      <c r="E928" s="83"/>
      <c r="F928" s="83"/>
      <c r="G928" s="83"/>
    </row>
    <row r="929" spans="1:7" s="70" customFormat="1">
      <c r="A929" s="227"/>
      <c r="C929" s="83"/>
      <c r="D929" s="83"/>
      <c r="E929" s="83"/>
      <c r="F929" s="83"/>
      <c r="G929" s="83"/>
    </row>
    <row r="930" spans="1:7" s="70" customFormat="1">
      <c r="A930" s="227"/>
      <c r="C930" s="83"/>
      <c r="D930" s="83"/>
      <c r="E930" s="83"/>
      <c r="F930" s="83"/>
      <c r="G930" s="83"/>
    </row>
    <row r="931" spans="1:7" s="70" customFormat="1">
      <c r="A931" s="227"/>
      <c r="C931" s="83"/>
      <c r="D931" s="83"/>
      <c r="E931" s="83"/>
      <c r="F931" s="83"/>
      <c r="G931" s="83"/>
    </row>
    <row r="932" spans="1:7" s="70" customFormat="1">
      <c r="A932" s="227"/>
      <c r="C932" s="83"/>
      <c r="D932" s="83"/>
      <c r="E932" s="83"/>
      <c r="F932" s="83"/>
      <c r="G932" s="83"/>
    </row>
    <row r="933" spans="1:7" s="70" customFormat="1">
      <c r="A933" s="227"/>
      <c r="C933" s="83"/>
      <c r="D933" s="83"/>
      <c r="E933" s="83"/>
      <c r="F933" s="83"/>
      <c r="G933" s="83"/>
    </row>
    <row r="934" spans="1:7" s="70" customFormat="1">
      <c r="A934" s="227"/>
      <c r="C934" s="83"/>
      <c r="D934" s="83"/>
      <c r="E934" s="83"/>
      <c r="F934" s="83"/>
      <c r="G934" s="83"/>
    </row>
    <row r="935" spans="1:7" s="70" customFormat="1">
      <c r="A935" s="227"/>
      <c r="C935" s="83"/>
      <c r="D935" s="83"/>
      <c r="E935" s="83"/>
      <c r="F935" s="83"/>
      <c r="G935" s="83"/>
    </row>
    <row r="936" spans="1:7" s="70" customFormat="1">
      <c r="A936" s="227"/>
      <c r="C936" s="83"/>
      <c r="D936" s="83"/>
      <c r="E936" s="83"/>
      <c r="F936" s="83"/>
      <c r="G936" s="83"/>
    </row>
    <row r="937" spans="1:7" s="70" customFormat="1">
      <c r="A937" s="227"/>
      <c r="C937" s="83"/>
      <c r="D937" s="83"/>
      <c r="E937" s="83"/>
      <c r="F937" s="83"/>
      <c r="G937" s="83"/>
    </row>
    <row r="938" spans="1:7" s="70" customFormat="1">
      <c r="A938" s="227"/>
      <c r="C938" s="83"/>
      <c r="D938" s="83"/>
      <c r="E938" s="83"/>
      <c r="F938" s="83"/>
      <c r="G938" s="83"/>
    </row>
    <row r="939" spans="1:7" s="70" customFormat="1">
      <c r="A939" s="227"/>
      <c r="C939" s="83"/>
      <c r="D939" s="83"/>
      <c r="E939" s="83"/>
      <c r="F939" s="83"/>
      <c r="G939" s="83"/>
    </row>
    <row r="940" spans="1:7" s="70" customFormat="1">
      <c r="A940" s="227"/>
      <c r="C940" s="83"/>
      <c r="D940" s="83"/>
      <c r="E940" s="83"/>
      <c r="F940" s="83"/>
      <c r="G940" s="83"/>
    </row>
    <row r="941" spans="1:7" s="70" customFormat="1">
      <c r="A941" s="227"/>
      <c r="C941" s="83"/>
      <c r="D941" s="83"/>
      <c r="E941" s="83"/>
      <c r="F941" s="83"/>
      <c r="G941" s="83"/>
    </row>
    <row r="942" spans="1:7" s="70" customFormat="1">
      <c r="A942" s="227"/>
      <c r="C942" s="83"/>
      <c r="D942" s="83"/>
      <c r="E942" s="83"/>
      <c r="F942" s="83"/>
      <c r="G942" s="83"/>
    </row>
    <row r="943" spans="1:7" s="70" customFormat="1">
      <c r="A943" s="227"/>
      <c r="C943" s="83"/>
      <c r="D943" s="83"/>
      <c r="E943" s="83"/>
      <c r="F943" s="83"/>
      <c r="G943" s="83"/>
    </row>
    <row r="944" spans="1:7" s="70" customFormat="1">
      <c r="A944" s="227"/>
      <c r="C944" s="83"/>
      <c r="D944" s="83"/>
      <c r="E944" s="83"/>
      <c r="F944" s="83"/>
      <c r="G944" s="83"/>
    </row>
    <row r="945" spans="1:7" s="70" customFormat="1">
      <c r="A945" s="227"/>
      <c r="C945" s="83"/>
      <c r="D945" s="83"/>
      <c r="E945" s="83"/>
      <c r="F945" s="83"/>
      <c r="G945" s="83"/>
    </row>
    <row r="946" spans="1:7" s="70" customFormat="1">
      <c r="A946" s="227"/>
      <c r="C946" s="83"/>
      <c r="D946" s="83"/>
      <c r="E946" s="83"/>
      <c r="F946" s="83"/>
      <c r="G946" s="83"/>
    </row>
    <row r="947" spans="1:7" s="70" customFormat="1">
      <c r="A947" s="227"/>
      <c r="C947" s="83"/>
      <c r="D947" s="83"/>
      <c r="E947" s="83"/>
      <c r="F947" s="83"/>
      <c r="G947" s="83"/>
    </row>
    <row r="948" spans="1:7" s="70" customFormat="1">
      <c r="A948" s="227"/>
      <c r="C948" s="83"/>
      <c r="D948" s="83"/>
      <c r="E948" s="83"/>
      <c r="F948" s="83"/>
      <c r="G948" s="83"/>
    </row>
    <row r="949" spans="1:7" s="70" customFormat="1">
      <c r="A949" s="227"/>
      <c r="C949" s="83"/>
      <c r="D949" s="83"/>
      <c r="E949" s="83"/>
      <c r="F949" s="83"/>
      <c r="G949" s="83"/>
    </row>
    <row r="950" spans="1:7" s="70" customFormat="1">
      <c r="A950" s="227"/>
      <c r="C950" s="83"/>
      <c r="D950" s="83"/>
      <c r="E950" s="83"/>
      <c r="F950" s="83"/>
      <c r="G950" s="83"/>
    </row>
    <row r="951" spans="1:7" s="70" customFormat="1">
      <c r="A951" s="227"/>
      <c r="C951" s="83"/>
      <c r="D951" s="83"/>
      <c r="E951" s="83"/>
      <c r="F951" s="83"/>
      <c r="G951" s="83"/>
    </row>
    <row r="952" spans="1:7" s="70" customFormat="1">
      <c r="A952" s="227"/>
      <c r="C952" s="83"/>
      <c r="D952" s="83"/>
      <c r="E952" s="83"/>
      <c r="F952" s="83"/>
      <c r="G952" s="83"/>
    </row>
    <row r="953" spans="1:7" s="70" customFormat="1">
      <c r="A953" s="227"/>
      <c r="C953" s="83"/>
      <c r="D953" s="83"/>
      <c r="E953" s="83"/>
      <c r="F953" s="83"/>
      <c r="G953" s="83"/>
    </row>
    <row r="954" spans="1:7" s="70" customFormat="1">
      <c r="A954" s="227"/>
      <c r="C954" s="83"/>
      <c r="D954" s="83"/>
      <c r="E954" s="83"/>
      <c r="F954" s="83"/>
      <c r="G954" s="83"/>
    </row>
    <row r="955" spans="1:7" s="70" customFormat="1">
      <c r="A955" s="227"/>
      <c r="C955" s="83"/>
      <c r="D955" s="83"/>
      <c r="E955" s="83"/>
      <c r="F955" s="83"/>
      <c r="G955" s="83"/>
    </row>
    <row r="956" spans="1:7" s="70" customFormat="1">
      <c r="A956" s="227"/>
      <c r="C956" s="83"/>
      <c r="D956" s="83"/>
      <c r="E956" s="83"/>
      <c r="F956" s="83"/>
      <c r="G956" s="83"/>
    </row>
    <row r="957" spans="1:7" s="70" customFormat="1">
      <c r="A957" s="227"/>
      <c r="C957" s="83"/>
      <c r="D957" s="83"/>
      <c r="E957" s="83"/>
      <c r="F957" s="83"/>
      <c r="G957" s="83"/>
    </row>
    <row r="958" spans="1:7" s="70" customFormat="1">
      <c r="A958" s="227"/>
      <c r="C958" s="83"/>
      <c r="D958" s="83"/>
      <c r="E958" s="83"/>
      <c r="F958" s="83"/>
      <c r="G958" s="83"/>
    </row>
    <row r="959" spans="1:7" s="70" customFormat="1">
      <c r="A959" s="227"/>
      <c r="C959" s="83"/>
      <c r="D959" s="83"/>
      <c r="E959" s="83"/>
      <c r="F959" s="83"/>
      <c r="G959" s="83"/>
    </row>
    <row r="960" spans="1:7" s="70" customFormat="1">
      <c r="A960" s="227"/>
      <c r="C960" s="83"/>
      <c r="D960" s="83"/>
      <c r="E960" s="83"/>
      <c r="F960" s="83"/>
      <c r="G960" s="83"/>
    </row>
    <row r="961" spans="1:7" s="70" customFormat="1">
      <c r="A961" s="227"/>
      <c r="C961" s="83"/>
      <c r="D961" s="83"/>
      <c r="E961" s="83"/>
      <c r="F961" s="83"/>
      <c r="G961" s="83"/>
    </row>
    <row r="962" spans="1:7" s="70" customFormat="1">
      <c r="A962" s="227"/>
      <c r="C962" s="83"/>
      <c r="D962" s="83"/>
      <c r="E962" s="83"/>
      <c r="F962" s="83"/>
      <c r="G962" s="83"/>
    </row>
    <row r="963" spans="1:7" s="70" customFormat="1">
      <c r="A963" s="227"/>
      <c r="C963" s="83"/>
      <c r="D963" s="83"/>
      <c r="E963" s="83"/>
      <c r="F963" s="83"/>
      <c r="G963" s="83"/>
    </row>
    <row r="964" spans="1:7" s="70" customFormat="1">
      <c r="A964" s="227"/>
      <c r="C964" s="83"/>
      <c r="D964" s="83"/>
      <c r="E964" s="83"/>
      <c r="F964" s="83"/>
      <c r="G964" s="83"/>
    </row>
    <row r="965" spans="1:7" s="70" customFormat="1">
      <c r="A965" s="227"/>
      <c r="C965" s="83"/>
      <c r="D965" s="83"/>
      <c r="E965" s="83"/>
      <c r="F965" s="83"/>
      <c r="G965" s="83"/>
    </row>
    <row r="966" spans="1:7" s="70" customFormat="1">
      <c r="A966" s="227"/>
      <c r="C966" s="83"/>
      <c r="D966" s="83"/>
      <c r="E966" s="83"/>
      <c r="F966" s="83"/>
      <c r="G966" s="83"/>
    </row>
    <row r="967" spans="1:7" s="70" customFormat="1">
      <c r="A967" s="227"/>
      <c r="C967" s="83"/>
      <c r="D967" s="83"/>
      <c r="E967" s="83"/>
      <c r="F967" s="83"/>
      <c r="G967" s="83"/>
    </row>
    <row r="968" spans="1:7" s="70" customFormat="1">
      <c r="A968" s="227"/>
      <c r="C968" s="83"/>
      <c r="D968" s="83"/>
      <c r="E968" s="83"/>
      <c r="F968" s="83"/>
      <c r="G968" s="83"/>
    </row>
    <row r="969" spans="1:7" s="70" customFormat="1">
      <c r="A969" s="227"/>
      <c r="C969" s="83"/>
      <c r="D969" s="83"/>
      <c r="E969" s="83"/>
      <c r="F969" s="83"/>
      <c r="G969" s="83"/>
    </row>
    <row r="970" spans="1:7" s="70" customFormat="1">
      <c r="A970" s="227"/>
      <c r="C970" s="83"/>
      <c r="D970" s="83"/>
      <c r="E970" s="83"/>
      <c r="F970" s="83"/>
      <c r="G970" s="83"/>
    </row>
    <row r="971" spans="1:7" s="70" customFormat="1">
      <c r="A971" s="227"/>
      <c r="C971" s="83"/>
      <c r="D971" s="83"/>
      <c r="E971" s="83"/>
      <c r="F971" s="83"/>
      <c r="G971" s="83"/>
    </row>
    <row r="972" spans="1:7" s="70" customFormat="1">
      <c r="A972" s="227"/>
      <c r="C972" s="83"/>
      <c r="D972" s="83"/>
      <c r="E972" s="83"/>
      <c r="F972" s="83"/>
      <c r="G972" s="83"/>
    </row>
    <row r="973" spans="1:7" s="70" customFormat="1">
      <c r="A973" s="227"/>
      <c r="C973" s="83"/>
      <c r="D973" s="83"/>
      <c r="E973" s="83"/>
      <c r="F973" s="83"/>
      <c r="G973" s="83"/>
    </row>
    <row r="974" spans="1:7" s="70" customFormat="1">
      <c r="A974" s="227"/>
      <c r="C974" s="83"/>
      <c r="D974" s="83"/>
      <c r="E974" s="83"/>
      <c r="F974" s="83"/>
      <c r="G974" s="83"/>
    </row>
    <row r="975" spans="1:7" s="70" customFormat="1">
      <c r="A975" s="227"/>
      <c r="C975" s="83"/>
      <c r="D975" s="83"/>
      <c r="E975" s="83"/>
      <c r="F975" s="83"/>
      <c r="G975" s="83"/>
    </row>
    <row r="976" spans="1:7" s="70" customFormat="1">
      <c r="A976" s="227"/>
      <c r="C976" s="83"/>
      <c r="D976" s="83"/>
      <c r="E976" s="83"/>
      <c r="F976" s="83"/>
      <c r="G976" s="83"/>
    </row>
    <row r="977" spans="1:7" s="70" customFormat="1">
      <c r="A977" s="227"/>
      <c r="C977" s="83"/>
      <c r="D977" s="83"/>
      <c r="E977" s="83"/>
      <c r="F977" s="83"/>
      <c r="G977" s="83"/>
    </row>
    <row r="978" spans="1:7" s="70" customFormat="1">
      <c r="A978" s="227"/>
      <c r="C978" s="83"/>
      <c r="D978" s="83"/>
      <c r="E978" s="83"/>
      <c r="F978" s="83"/>
      <c r="G978" s="83"/>
    </row>
    <row r="979" spans="1:7" s="70" customFormat="1">
      <c r="A979" s="227"/>
      <c r="C979" s="83"/>
      <c r="D979" s="83"/>
      <c r="E979" s="83"/>
      <c r="F979" s="83"/>
      <c r="G979" s="83"/>
    </row>
    <row r="980" spans="1:7" s="70" customFormat="1">
      <c r="A980" s="227"/>
      <c r="C980" s="83"/>
      <c r="D980" s="83"/>
      <c r="E980" s="83"/>
      <c r="F980" s="83"/>
      <c r="G980" s="83"/>
    </row>
    <row r="981" spans="1:7" s="70" customFormat="1">
      <c r="A981" s="227"/>
      <c r="C981" s="83"/>
      <c r="D981" s="83"/>
      <c r="E981" s="83"/>
      <c r="F981" s="83"/>
      <c r="G981" s="83"/>
    </row>
    <row r="982" spans="1:7" s="70" customFormat="1">
      <c r="A982" s="227"/>
      <c r="C982" s="83"/>
      <c r="D982" s="83"/>
      <c r="E982" s="83"/>
      <c r="F982" s="83"/>
      <c r="G982" s="83"/>
    </row>
    <row r="983" spans="1:7" s="70" customFormat="1">
      <c r="A983" s="227"/>
      <c r="C983" s="83"/>
      <c r="D983" s="83"/>
      <c r="E983" s="83"/>
      <c r="F983" s="83"/>
      <c r="G983" s="83"/>
    </row>
    <row r="984" spans="1:7" s="70" customFormat="1">
      <c r="A984" s="227"/>
      <c r="C984" s="83"/>
      <c r="D984" s="83"/>
      <c r="E984" s="83"/>
      <c r="F984" s="83"/>
      <c r="G984" s="83"/>
    </row>
    <row r="985" spans="1:7" s="70" customFormat="1">
      <c r="A985" s="227"/>
      <c r="C985" s="83"/>
      <c r="D985" s="83"/>
      <c r="E985" s="83"/>
      <c r="F985" s="83"/>
      <c r="G985" s="83"/>
    </row>
    <row r="986" spans="1:7" s="70" customFormat="1">
      <c r="A986" s="227"/>
      <c r="C986" s="83"/>
      <c r="D986" s="83"/>
      <c r="E986" s="83"/>
      <c r="F986" s="83"/>
      <c r="G986" s="83"/>
    </row>
    <row r="987" spans="1:7" s="70" customFormat="1">
      <c r="A987" s="227"/>
      <c r="C987" s="83"/>
      <c r="D987" s="83"/>
      <c r="E987" s="83"/>
      <c r="F987" s="83"/>
      <c r="G987" s="83"/>
    </row>
    <row r="988" spans="1:7" s="70" customFormat="1">
      <c r="A988" s="227"/>
      <c r="C988" s="83"/>
      <c r="D988" s="83"/>
      <c r="E988" s="83"/>
      <c r="F988" s="83"/>
      <c r="G988" s="83"/>
    </row>
    <row r="989" spans="1:7" s="70" customFormat="1">
      <c r="A989" s="227"/>
      <c r="C989" s="83"/>
      <c r="D989" s="83"/>
      <c r="E989" s="83"/>
      <c r="F989" s="83"/>
      <c r="G989" s="83"/>
    </row>
    <row r="990" spans="1:7" s="70" customFormat="1">
      <c r="A990" s="227"/>
      <c r="C990" s="83"/>
      <c r="D990" s="83"/>
      <c r="E990" s="83"/>
      <c r="F990" s="83"/>
      <c r="G990" s="83"/>
    </row>
    <row r="991" spans="1:7" s="70" customFormat="1">
      <c r="A991" s="227"/>
      <c r="C991" s="83"/>
      <c r="D991" s="83"/>
      <c r="E991" s="83"/>
      <c r="F991" s="83"/>
      <c r="G991" s="83"/>
    </row>
    <row r="992" spans="1:7" s="70" customFormat="1">
      <c r="A992" s="227"/>
      <c r="C992" s="83"/>
      <c r="D992" s="83"/>
      <c r="E992" s="83"/>
      <c r="F992" s="83"/>
      <c r="G992" s="83"/>
    </row>
    <row r="993" spans="1:7" s="70" customFormat="1">
      <c r="A993" s="227"/>
      <c r="C993" s="83"/>
      <c r="D993" s="83"/>
      <c r="E993" s="83"/>
      <c r="F993" s="83"/>
      <c r="G993" s="83"/>
    </row>
    <row r="994" spans="1:7" s="70" customFormat="1">
      <c r="A994" s="227"/>
      <c r="C994" s="83"/>
      <c r="D994" s="83"/>
      <c r="E994" s="83"/>
      <c r="F994" s="83"/>
      <c r="G994" s="83"/>
    </row>
    <row r="995" spans="1:7" s="70" customFormat="1">
      <c r="A995" s="227"/>
      <c r="C995" s="83"/>
      <c r="D995" s="83"/>
      <c r="E995" s="83"/>
      <c r="F995" s="83"/>
      <c r="G995" s="83"/>
    </row>
    <row r="996" spans="1:7" s="70" customFormat="1">
      <c r="A996" s="227"/>
      <c r="C996" s="83"/>
      <c r="D996" s="83"/>
      <c r="E996" s="83"/>
      <c r="F996" s="83"/>
      <c r="G996" s="83"/>
    </row>
    <row r="997" spans="1:7" s="70" customFormat="1">
      <c r="A997" s="227"/>
      <c r="C997" s="83"/>
      <c r="D997" s="83"/>
      <c r="E997" s="83"/>
      <c r="F997" s="83"/>
      <c r="G997" s="83"/>
    </row>
    <row r="998" spans="1:7" s="70" customFormat="1">
      <c r="A998" s="227"/>
      <c r="C998" s="83"/>
      <c r="D998" s="83"/>
      <c r="E998" s="83"/>
      <c r="F998" s="83"/>
      <c r="G998" s="83"/>
    </row>
    <row r="999" spans="1:7" s="70" customFormat="1">
      <c r="A999" s="227"/>
      <c r="C999" s="83"/>
      <c r="D999" s="83"/>
      <c r="E999" s="83"/>
      <c r="F999" s="83"/>
      <c r="G999" s="83"/>
    </row>
    <row r="1000" spans="1:7" s="70" customFormat="1">
      <c r="A1000" s="227"/>
      <c r="C1000" s="83"/>
      <c r="D1000" s="83"/>
      <c r="E1000" s="83"/>
      <c r="F1000" s="83"/>
      <c r="G1000" s="83"/>
    </row>
    <row r="1001" spans="1:7" s="70" customFormat="1">
      <c r="A1001" s="227"/>
      <c r="C1001" s="83"/>
      <c r="D1001" s="83"/>
      <c r="E1001" s="83"/>
      <c r="F1001" s="83"/>
      <c r="G1001" s="83"/>
    </row>
    <row r="1002" spans="1:7" s="70" customFormat="1">
      <c r="A1002" s="227"/>
      <c r="C1002" s="83"/>
      <c r="D1002" s="83"/>
      <c r="E1002" s="83"/>
      <c r="F1002" s="83"/>
      <c r="G1002" s="83"/>
    </row>
    <row r="1003" spans="1:7" s="70" customFormat="1">
      <c r="A1003" s="227"/>
      <c r="C1003" s="83"/>
      <c r="D1003" s="83"/>
      <c r="E1003" s="83"/>
      <c r="F1003" s="83"/>
      <c r="G1003" s="83"/>
    </row>
    <row r="1004" spans="1:7" s="70" customFormat="1">
      <c r="A1004" s="227"/>
      <c r="C1004" s="83"/>
      <c r="D1004" s="83"/>
      <c r="E1004" s="83"/>
      <c r="F1004" s="83"/>
      <c r="G1004" s="83"/>
    </row>
    <row r="1005" spans="1:7" s="70" customFormat="1">
      <c r="A1005" s="227"/>
      <c r="C1005" s="83"/>
      <c r="D1005" s="83"/>
      <c r="E1005" s="83"/>
      <c r="F1005" s="83"/>
      <c r="G1005" s="83"/>
    </row>
    <row r="1006" spans="1:7" s="70" customFormat="1">
      <c r="A1006" s="227"/>
      <c r="C1006" s="83"/>
      <c r="D1006" s="83"/>
      <c r="E1006" s="83"/>
      <c r="F1006" s="83"/>
      <c r="G1006" s="83"/>
    </row>
    <row r="1007" spans="1:7" s="70" customFormat="1">
      <c r="A1007" s="227"/>
      <c r="C1007" s="83"/>
      <c r="D1007" s="83"/>
      <c r="E1007" s="83"/>
      <c r="F1007" s="83"/>
      <c r="G1007" s="83"/>
    </row>
    <row r="1008" spans="1:7" s="70" customFormat="1">
      <c r="A1008" s="227"/>
      <c r="C1008" s="83"/>
      <c r="D1008" s="83"/>
      <c r="E1008" s="83"/>
      <c r="F1008" s="83"/>
      <c r="G1008" s="83"/>
    </row>
    <row r="1009" spans="1:7" s="70" customFormat="1">
      <c r="A1009" s="227"/>
      <c r="C1009" s="83"/>
      <c r="D1009" s="83"/>
      <c r="E1009" s="83"/>
      <c r="F1009" s="83"/>
      <c r="G1009" s="83"/>
    </row>
    <row r="1010" spans="1:7" s="70" customFormat="1">
      <c r="A1010" s="227"/>
      <c r="C1010" s="83"/>
      <c r="D1010" s="83"/>
      <c r="E1010" s="83"/>
      <c r="F1010" s="83"/>
      <c r="G1010" s="83"/>
    </row>
    <row r="1011" spans="1:7" s="70" customFormat="1">
      <c r="A1011" s="227"/>
      <c r="C1011" s="83"/>
      <c r="D1011" s="83"/>
      <c r="E1011" s="83"/>
      <c r="F1011" s="83"/>
      <c r="G1011" s="83"/>
    </row>
    <row r="1012" spans="1:7" s="70" customFormat="1">
      <c r="A1012" s="227"/>
      <c r="C1012" s="83"/>
      <c r="D1012" s="83"/>
      <c r="E1012" s="83"/>
      <c r="F1012" s="83"/>
      <c r="G1012" s="83"/>
    </row>
    <row r="1013" spans="1:7" s="70" customFormat="1">
      <c r="A1013" s="227"/>
      <c r="C1013" s="83"/>
      <c r="D1013" s="83"/>
      <c r="E1013" s="83"/>
      <c r="F1013" s="83"/>
      <c r="G1013" s="83"/>
    </row>
    <row r="1014" spans="1:7" s="70" customFormat="1">
      <c r="A1014" s="227"/>
      <c r="C1014" s="83"/>
      <c r="D1014" s="83"/>
      <c r="E1014" s="83"/>
      <c r="F1014" s="83"/>
      <c r="G1014" s="83"/>
    </row>
    <row r="1015" spans="1:7" s="70" customFormat="1">
      <c r="A1015" s="227"/>
      <c r="C1015" s="83"/>
      <c r="D1015" s="83"/>
      <c r="E1015" s="83"/>
      <c r="F1015" s="83"/>
      <c r="G1015" s="83"/>
    </row>
    <row r="1016" spans="1:7" s="70" customFormat="1">
      <c r="A1016" s="227"/>
      <c r="C1016" s="83"/>
      <c r="D1016" s="83"/>
      <c r="E1016" s="83"/>
      <c r="F1016" s="83"/>
      <c r="G1016" s="83"/>
    </row>
    <row r="1017" spans="1:7" s="70" customFormat="1">
      <c r="A1017" s="227"/>
      <c r="C1017" s="83"/>
      <c r="D1017" s="83"/>
      <c r="E1017" s="83"/>
      <c r="F1017" s="83"/>
      <c r="G1017" s="83"/>
    </row>
    <row r="1018" spans="1:7" s="70" customFormat="1">
      <c r="A1018" s="227"/>
      <c r="C1018" s="83"/>
      <c r="D1018" s="83"/>
      <c r="E1018" s="83"/>
      <c r="F1018" s="83"/>
      <c r="G1018" s="83"/>
    </row>
    <row r="1019" spans="1:7" s="70" customFormat="1">
      <c r="A1019" s="227"/>
      <c r="C1019" s="83"/>
      <c r="D1019" s="83"/>
      <c r="E1019" s="83"/>
      <c r="F1019" s="83"/>
      <c r="G1019" s="83"/>
    </row>
    <row r="1020" spans="1:7" s="70" customFormat="1">
      <c r="A1020" s="227"/>
      <c r="C1020" s="83"/>
      <c r="D1020" s="83"/>
      <c r="E1020" s="83"/>
      <c r="F1020" s="83"/>
      <c r="G1020" s="83"/>
    </row>
    <row r="1021" spans="1:7" s="70" customFormat="1">
      <c r="A1021" s="227"/>
      <c r="C1021" s="83"/>
      <c r="D1021" s="83"/>
      <c r="E1021" s="83"/>
      <c r="F1021" s="83"/>
      <c r="G1021" s="83"/>
    </row>
    <row r="1022" spans="1:7" s="70" customFormat="1">
      <c r="A1022" s="227"/>
      <c r="C1022" s="83"/>
      <c r="D1022" s="83"/>
      <c r="E1022" s="83"/>
      <c r="F1022" s="83"/>
      <c r="G1022" s="83"/>
    </row>
    <row r="1023" spans="1:7" s="70" customFormat="1">
      <c r="A1023" s="227"/>
      <c r="C1023" s="83"/>
      <c r="D1023" s="83"/>
      <c r="E1023" s="83"/>
      <c r="F1023" s="83"/>
      <c r="G1023" s="83"/>
    </row>
    <row r="1024" spans="1:7" s="70" customFormat="1">
      <c r="A1024" s="227"/>
      <c r="C1024" s="83"/>
      <c r="D1024" s="83"/>
      <c r="E1024" s="83"/>
      <c r="F1024" s="83"/>
      <c r="G1024" s="83"/>
    </row>
    <row r="1025" spans="1:7" s="70" customFormat="1">
      <c r="A1025" s="227"/>
      <c r="C1025" s="83"/>
      <c r="D1025" s="83"/>
      <c r="E1025" s="83"/>
      <c r="F1025" s="83"/>
      <c r="G1025" s="83"/>
    </row>
    <row r="1026" spans="1:7" s="70" customFormat="1">
      <c r="A1026" s="227"/>
      <c r="C1026" s="83"/>
      <c r="D1026" s="83"/>
      <c r="E1026" s="83"/>
      <c r="F1026" s="83"/>
      <c r="G1026" s="83"/>
    </row>
    <row r="1027" spans="1:7" s="70" customFormat="1">
      <c r="A1027" s="227"/>
      <c r="C1027" s="83"/>
      <c r="D1027" s="83"/>
      <c r="E1027" s="83"/>
      <c r="F1027" s="83"/>
      <c r="G1027" s="83"/>
    </row>
    <row r="1028" spans="1:7" s="70" customFormat="1">
      <c r="A1028" s="227"/>
      <c r="C1028" s="83"/>
      <c r="D1028" s="83"/>
      <c r="E1028" s="83"/>
      <c r="F1028" s="83"/>
      <c r="G1028" s="83"/>
    </row>
    <row r="1029" spans="1:7" s="70" customFormat="1">
      <c r="A1029" s="227"/>
      <c r="C1029" s="83"/>
      <c r="D1029" s="83"/>
      <c r="E1029" s="83"/>
      <c r="F1029" s="83"/>
      <c r="G1029" s="83"/>
    </row>
    <row r="1030" spans="1:7" s="70" customFormat="1">
      <c r="A1030" s="227"/>
      <c r="C1030" s="83"/>
      <c r="D1030" s="83"/>
      <c r="E1030" s="83"/>
      <c r="F1030" s="83"/>
      <c r="G1030" s="83"/>
    </row>
    <row r="1031" spans="1:7" s="70" customFormat="1">
      <c r="A1031" s="227"/>
      <c r="C1031" s="83"/>
      <c r="D1031" s="83"/>
      <c r="E1031" s="83"/>
      <c r="F1031" s="83"/>
      <c r="G1031" s="83"/>
    </row>
    <row r="1032" spans="1:7" s="70" customFormat="1">
      <c r="A1032" s="227"/>
      <c r="C1032" s="83"/>
      <c r="D1032" s="83"/>
      <c r="E1032" s="83"/>
      <c r="F1032" s="83"/>
      <c r="G1032" s="83"/>
    </row>
    <row r="1033" spans="1:7" s="70" customFormat="1">
      <c r="A1033" s="227"/>
      <c r="C1033" s="83"/>
      <c r="D1033" s="83"/>
      <c r="E1033" s="83"/>
      <c r="F1033" s="83"/>
      <c r="G1033" s="83"/>
    </row>
    <row r="1034" spans="1:7" s="70" customFormat="1">
      <c r="A1034" s="227"/>
      <c r="C1034" s="83"/>
      <c r="D1034" s="83"/>
      <c r="E1034" s="83"/>
      <c r="F1034" s="83"/>
      <c r="G1034" s="83"/>
    </row>
    <row r="1035" spans="1:7" s="70" customFormat="1">
      <c r="A1035" s="227"/>
      <c r="C1035" s="83"/>
      <c r="D1035" s="83"/>
      <c r="E1035" s="83"/>
      <c r="F1035" s="83"/>
      <c r="G1035" s="83"/>
    </row>
    <row r="1036" spans="1:7" s="70" customFormat="1">
      <c r="A1036" s="227"/>
      <c r="C1036" s="83"/>
      <c r="D1036" s="83"/>
      <c r="E1036" s="83"/>
      <c r="F1036" s="83"/>
      <c r="G1036" s="83"/>
    </row>
    <row r="1037" spans="1:7" s="70" customFormat="1">
      <c r="A1037" s="227"/>
      <c r="C1037" s="83"/>
      <c r="D1037" s="83"/>
      <c r="E1037" s="83"/>
      <c r="F1037" s="83"/>
      <c r="G1037" s="83"/>
    </row>
    <row r="1038" spans="1:7" s="70" customFormat="1">
      <c r="A1038" s="227"/>
      <c r="C1038" s="83"/>
      <c r="D1038" s="83"/>
      <c r="E1038" s="83"/>
      <c r="F1038" s="83"/>
      <c r="G1038" s="83"/>
    </row>
    <row r="1039" spans="1:7" s="70" customFormat="1">
      <c r="A1039" s="227"/>
      <c r="C1039" s="83"/>
      <c r="D1039" s="83"/>
      <c r="E1039" s="83"/>
      <c r="F1039" s="83"/>
      <c r="G1039" s="83"/>
    </row>
    <row r="1040" spans="1:7" s="70" customFormat="1">
      <c r="A1040" s="227"/>
      <c r="C1040" s="83"/>
      <c r="D1040" s="83"/>
      <c r="E1040" s="83"/>
      <c r="F1040" s="83"/>
      <c r="G1040" s="83"/>
    </row>
    <row r="1041" spans="1:7" s="70" customFormat="1">
      <c r="A1041" s="227"/>
      <c r="C1041" s="83"/>
      <c r="D1041" s="83"/>
      <c r="E1041" s="83"/>
      <c r="F1041" s="83"/>
      <c r="G1041" s="83"/>
    </row>
    <row r="1042" spans="1:7" s="70" customFormat="1">
      <c r="A1042" s="227"/>
      <c r="C1042" s="83"/>
      <c r="D1042" s="83"/>
      <c r="E1042" s="83"/>
      <c r="F1042" s="83"/>
      <c r="G1042" s="83"/>
    </row>
    <row r="1043" spans="1:7" s="70" customFormat="1">
      <c r="A1043" s="227"/>
      <c r="C1043" s="83"/>
      <c r="D1043" s="83"/>
      <c r="E1043" s="83"/>
      <c r="F1043" s="83"/>
      <c r="G1043" s="83"/>
    </row>
    <row r="1044" spans="1:7" s="70" customFormat="1">
      <c r="A1044" s="227"/>
      <c r="C1044" s="83"/>
      <c r="D1044" s="83"/>
      <c r="E1044" s="83"/>
      <c r="F1044" s="83"/>
      <c r="G1044" s="83"/>
    </row>
    <row r="1045" spans="1:7" s="70" customFormat="1">
      <c r="A1045" s="227"/>
      <c r="C1045" s="83"/>
      <c r="D1045" s="83"/>
      <c r="E1045" s="83"/>
      <c r="F1045" s="83"/>
      <c r="G1045" s="83"/>
    </row>
    <row r="1046" spans="1:7" s="70" customFormat="1">
      <c r="A1046" s="227"/>
      <c r="C1046" s="83"/>
      <c r="D1046" s="83"/>
      <c r="E1046" s="83"/>
      <c r="F1046" s="83"/>
      <c r="G1046" s="83"/>
    </row>
    <row r="1047" spans="1:7" s="70" customFormat="1">
      <c r="A1047" s="227"/>
      <c r="C1047" s="83"/>
      <c r="D1047" s="83"/>
      <c r="E1047" s="83"/>
      <c r="F1047" s="83"/>
      <c r="G1047" s="83"/>
    </row>
    <row r="1048" spans="1:7" s="70" customFormat="1">
      <c r="A1048" s="227"/>
      <c r="C1048" s="83"/>
      <c r="D1048" s="83"/>
      <c r="E1048" s="83"/>
      <c r="F1048" s="83"/>
      <c r="G1048" s="83"/>
    </row>
    <row r="1049" spans="1:7" s="70" customFormat="1">
      <c r="A1049" s="227"/>
      <c r="C1049" s="83"/>
      <c r="D1049" s="83"/>
      <c r="E1049" s="83"/>
      <c r="F1049" s="83"/>
      <c r="G1049" s="83"/>
    </row>
    <row r="1050" spans="1:7" s="70" customFormat="1">
      <c r="A1050" s="227"/>
      <c r="C1050" s="83"/>
      <c r="D1050" s="83"/>
      <c r="E1050" s="83"/>
      <c r="F1050" s="83"/>
      <c r="G1050" s="83"/>
    </row>
    <row r="1051" spans="1:7" s="70" customFormat="1">
      <c r="A1051" s="227"/>
      <c r="C1051" s="83"/>
      <c r="D1051" s="83"/>
      <c r="E1051" s="83"/>
      <c r="F1051" s="83"/>
      <c r="G1051" s="83"/>
    </row>
    <row r="1052" spans="1:7" s="70" customFormat="1">
      <c r="A1052" s="227"/>
      <c r="C1052" s="83"/>
      <c r="D1052" s="83"/>
      <c r="E1052" s="83"/>
      <c r="F1052" s="83"/>
      <c r="G1052" s="83"/>
    </row>
    <row r="1053" spans="1:7" s="70" customFormat="1">
      <c r="A1053" s="227"/>
      <c r="C1053" s="83"/>
      <c r="D1053" s="83"/>
      <c r="E1053" s="83"/>
      <c r="F1053" s="83"/>
      <c r="G1053" s="83"/>
    </row>
    <row r="1054" spans="1:7" s="70" customFormat="1">
      <c r="A1054" s="227"/>
      <c r="C1054" s="83"/>
      <c r="D1054" s="83"/>
      <c r="E1054" s="83"/>
      <c r="F1054" s="83"/>
      <c r="G1054" s="83"/>
    </row>
    <row r="1055" spans="1:7" s="70" customFormat="1">
      <c r="A1055" s="227"/>
      <c r="C1055" s="83"/>
      <c r="D1055" s="83"/>
      <c r="E1055" s="83"/>
      <c r="F1055" s="83"/>
      <c r="G1055" s="83"/>
    </row>
    <row r="1056" spans="1:7" s="70" customFormat="1">
      <c r="A1056" s="227"/>
      <c r="C1056" s="83"/>
      <c r="D1056" s="83"/>
      <c r="E1056" s="83"/>
      <c r="F1056" s="83"/>
      <c r="G1056" s="83"/>
    </row>
    <row r="1057" spans="1:7" s="70" customFormat="1">
      <c r="A1057" s="227"/>
      <c r="C1057" s="83"/>
      <c r="D1057" s="83"/>
      <c r="E1057" s="83"/>
      <c r="F1057" s="83"/>
      <c r="G1057" s="83"/>
    </row>
    <row r="1058" spans="1:7" s="70" customFormat="1">
      <c r="A1058" s="227"/>
      <c r="C1058" s="83"/>
      <c r="D1058" s="83"/>
      <c r="E1058" s="83"/>
      <c r="F1058" s="83"/>
      <c r="G1058" s="83"/>
    </row>
    <row r="1059" spans="1:7" s="70" customFormat="1">
      <c r="A1059" s="227"/>
      <c r="C1059" s="83"/>
      <c r="D1059" s="83"/>
      <c r="E1059" s="83"/>
      <c r="F1059" s="83"/>
      <c r="G1059" s="83"/>
    </row>
    <row r="1060" spans="1:7" s="70" customFormat="1">
      <c r="A1060" s="227"/>
      <c r="C1060" s="83"/>
      <c r="D1060" s="83"/>
      <c r="E1060" s="83"/>
      <c r="F1060" s="83"/>
      <c r="G1060" s="83"/>
    </row>
    <row r="1061" spans="1:7" s="70" customFormat="1">
      <c r="A1061" s="227"/>
      <c r="C1061" s="83"/>
      <c r="D1061" s="83"/>
      <c r="E1061" s="83"/>
      <c r="F1061" s="83"/>
      <c r="G1061" s="83"/>
    </row>
    <row r="1062" spans="1:7" s="70" customFormat="1">
      <c r="A1062" s="227"/>
      <c r="C1062" s="83"/>
      <c r="D1062" s="83"/>
      <c r="E1062" s="83"/>
      <c r="F1062" s="83"/>
      <c r="G1062" s="83"/>
    </row>
    <row r="1063" spans="1:7" s="70" customFormat="1">
      <c r="A1063" s="227"/>
      <c r="C1063" s="83"/>
      <c r="D1063" s="83"/>
      <c r="E1063" s="83"/>
      <c r="F1063" s="83"/>
      <c r="G1063" s="83"/>
    </row>
    <row r="1064" spans="1:7" s="70" customFormat="1">
      <c r="A1064" s="227"/>
      <c r="C1064" s="83"/>
      <c r="D1064" s="83"/>
      <c r="E1064" s="83"/>
      <c r="F1064" s="83"/>
      <c r="G1064" s="83"/>
    </row>
    <row r="1065" spans="1:7" s="70" customFormat="1">
      <c r="A1065" s="227"/>
      <c r="C1065" s="83"/>
      <c r="D1065" s="83"/>
      <c r="E1065" s="83"/>
      <c r="F1065" s="83"/>
      <c r="G1065" s="83"/>
    </row>
    <row r="1066" spans="1:7" s="70" customFormat="1">
      <c r="A1066" s="227"/>
      <c r="C1066" s="83"/>
      <c r="D1066" s="83"/>
      <c r="E1066" s="83"/>
      <c r="F1066" s="83"/>
      <c r="G1066" s="83"/>
    </row>
    <row r="1067" spans="1:7" s="70" customFormat="1">
      <c r="A1067" s="227"/>
      <c r="C1067" s="83"/>
      <c r="D1067" s="83"/>
      <c r="E1067" s="83"/>
      <c r="F1067" s="83"/>
      <c r="G1067" s="83"/>
    </row>
    <row r="1068" spans="1:7" s="70" customFormat="1">
      <c r="A1068" s="227"/>
      <c r="C1068" s="83"/>
      <c r="D1068" s="83"/>
      <c r="E1068" s="83"/>
      <c r="F1068" s="83"/>
      <c r="G1068" s="83"/>
    </row>
    <row r="1069" spans="1:7" s="70" customFormat="1">
      <c r="A1069" s="227"/>
      <c r="C1069" s="83"/>
      <c r="D1069" s="83"/>
      <c r="E1069" s="83"/>
      <c r="F1069" s="83"/>
      <c r="G1069" s="83"/>
    </row>
    <row r="1070" spans="1:7" s="70" customFormat="1">
      <c r="A1070" s="227"/>
      <c r="C1070" s="83"/>
      <c r="D1070" s="83"/>
      <c r="E1070" s="83"/>
      <c r="F1070" s="83"/>
      <c r="G1070" s="83"/>
    </row>
    <row r="1071" spans="1:7" s="70" customFormat="1">
      <c r="A1071" s="227"/>
      <c r="C1071" s="83"/>
      <c r="D1071" s="83"/>
      <c r="E1071" s="83"/>
      <c r="F1071" s="83"/>
      <c r="G1071" s="83"/>
    </row>
    <row r="1072" spans="1:7" s="70" customFormat="1">
      <c r="A1072" s="227"/>
      <c r="C1072" s="83"/>
      <c r="D1072" s="83"/>
      <c r="E1072" s="83"/>
      <c r="F1072" s="83"/>
      <c r="G1072" s="83"/>
    </row>
    <row r="1073" spans="1:7" s="70" customFormat="1">
      <c r="A1073" s="227"/>
      <c r="C1073" s="83"/>
      <c r="D1073" s="83"/>
      <c r="E1073" s="83"/>
      <c r="F1073" s="83"/>
      <c r="G1073" s="83"/>
    </row>
    <row r="1074" spans="1:7" s="70" customFormat="1">
      <c r="A1074" s="227"/>
      <c r="C1074" s="83"/>
      <c r="D1074" s="83"/>
      <c r="E1074" s="83"/>
      <c r="F1074" s="83"/>
      <c r="G1074" s="83"/>
    </row>
    <row r="1075" spans="1:7" s="70" customFormat="1">
      <c r="A1075" s="227"/>
      <c r="C1075" s="83"/>
      <c r="D1075" s="83"/>
      <c r="E1075" s="83"/>
      <c r="F1075" s="83"/>
      <c r="G1075" s="83"/>
    </row>
    <row r="1076" spans="1:7" s="70" customFormat="1">
      <c r="A1076" s="227"/>
      <c r="C1076" s="83"/>
      <c r="D1076" s="83"/>
      <c r="E1076" s="83"/>
      <c r="F1076" s="83"/>
      <c r="G1076" s="83"/>
    </row>
    <row r="1077" spans="1:7" s="70" customFormat="1">
      <c r="A1077" s="227"/>
      <c r="C1077" s="83"/>
      <c r="D1077" s="83"/>
      <c r="E1077" s="83"/>
      <c r="F1077" s="83"/>
      <c r="G1077" s="83"/>
    </row>
    <row r="1078" spans="1:7" s="70" customFormat="1">
      <c r="A1078" s="227"/>
      <c r="C1078" s="83"/>
      <c r="D1078" s="83"/>
      <c r="E1078" s="83"/>
      <c r="F1078" s="83"/>
      <c r="G1078" s="83"/>
    </row>
    <row r="1079" spans="1:7" s="70" customFormat="1">
      <c r="A1079" s="227"/>
      <c r="C1079" s="83"/>
      <c r="D1079" s="83"/>
      <c r="E1079" s="83"/>
      <c r="F1079" s="83"/>
      <c r="G1079" s="83"/>
    </row>
    <row r="1080" spans="1:7" s="70" customFormat="1">
      <c r="A1080" s="227"/>
      <c r="C1080" s="83"/>
      <c r="D1080" s="83"/>
      <c r="E1080" s="83"/>
      <c r="F1080" s="83"/>
      <c r="G1080" s="83"/>
    </row>
    <row r="1081" spans="1:7" s="70" customFormat="1">
      <c r="A1081" s="227"/>
      <c r="C1081" s="83"/>
      <c r="D1081" s="83"/>
      <c r="E1081" s="83"/>
      <c r="F1081" s="83"/>
      <c r="G1081" s="83"/>
    </row>
    <row r="1082" spans="1:7" s="70" customFormat="1">
      <c r="A1082" s="227"/>
      <c r="C1082" s="83"/>
      <c r="D1082" s="83"/>
      <c r="E1082" s="83"/>
      <c r="F1082" s="83"/>
      <c r="G1082" s="83"/>
    </row>
    <row r="1083" spans="1:7" s="70" customFormat="1">
      <c r="A1083" s="227"/>
      <c r="C1083" s="83"/>
      <c r="D1083" s="83"/>
      <c r="E1083" s="83"/>
      <c r="F1083" s="83"/>
      <c r="G1083" s="83"/>
    </row>
    <row r="1084" spans="1:7" s="70" customFormat="1">
      <c r="A1084" s="227"/>
      <c r="C1084" s="83"/>
      <c r="D1084" s="83"/>
      <c r="E1084" s="83"/>
      <c r="F1084" s="83"/>
      <c r="G1084" s="83"/>
    </row>
    <row r="1085" spans="1:7" s="70" customFormat="1">
      <c r="A1085" s="227"/>
      <c r="C1085" s="83"/>
      <c r="D1085" s="83"/>
      <c r="E1085" s="83"/>
      <c r="F1085" s="83"/>
      <c r="G1085" s="83"/>
    </row>
    <row r="1086" spans="1:7" s="70" customFormat="1">
      <c r="A1086" s="227"/>
      <c r="C1086" s="83"/>
      <c r="D1086" s="83"/>
      <c r="E1086" s="83"/>
      <c r="F1086" s="83"/>
      <c r="G1086" s="83"/>
    </row>
    <row r="1087" spans="1:7" s="70" customFormat="1">
      <c r="A1087" s="227"/>
      <c r="C1087" s="83"/>
      <c r="D1087" s="83"/>
      <c r="E1087" s="83"/>
      <c r="F1087" s="83"/>
      <c r="G1087" s="83"/>
    </row>
    <row r="1088" spans="1:7" s="70" customFormat="1">
      <c r="A1088" s="227"/>
      <c r="C1088" s="83"/>
      <c r="D1088" s="83"/>
      <c r="E1088" s="83"/>
      <c r="F1088" s="83"/>
      <c r="G1088" s="83"/>
    </row>
    <row r="1089" spans="1:7" s="70" customFormat="1">
      <c r="A1089" s="227"/>
      <c r="C1089" s="83"/>
      <c r="D1089" s="83"/>
      <c r="E1089" s="83"/>
      <c r="F1089" s="83"/>
      <c r="G1089" s="83"/>
    </row>
    <row r="1090" spans="1:7" s="70" customFormat="1">
      <c r="A1090" s="227"/>
      <c r="C1090" s="83"/>
      <c r="D1090" s="83"/>
      <c r="E1090" s="83"/>
      <c r="F1090" s="83"/>
      <c r="G1090" s="83"/>
    </row>
    <row r="1091" spans="1:7" s="70" customFormat="1">
      <c r="A1091" s="227"/>
      <c r="C1091" s="83"/>
      <c r="D1091" s="83"/>
      <c r="E1091" s="83"/>
      <c r="F1091" s="83"/>
      <c r="G1091" s="83"/>
    </row>
    <row r="1092" spans="1:7" s="70" customFormat="1">
      <c r="A1092" s="227"/>
      <c r="C1092" s="83"/>
      <c r="D1092" s="83"/>
      <c r="E1092" s="83"/>
      <c r="F1092" s="83"/>
      <c r="G1092" s="83"/>
    </row>
    <row r="1093" spans="1:7" s="70" customFormat="1">
      <c r="A1093" s="227"/>
      <c r="C1093" s="83"/>
      <c r="D1093" s="83"/>
      <c r="E1093" s="83"/>
      <c r="F1093" s="83"/>
      <c r="G1093" s="83"/>
    </row>
    <row r="1094" spans="1:7" s="70" customFormat="1">
      <c r="A1094" s="227"/>
      <c r="C1094" s="83"/>
      <c r="D1094" s="83"/>
      <c r="E1094" s="83"/>
      <c r="F1094" s="83"/>
      <c r="G1094" s="83"/>
    </row>
    <row r="1095" spans="1:7" s="70" customFormat="1">
      <c r="A1095" s="227"/>
      <c r="C1095" s="83"/>
      <c r="D1095" s="83"/>
      <c r="E1095" s="83"/>
      <c r="F1095" s="83"/>
      <c r="G1095" s="83"/>
    </row>
    <row r="1096" spans="1:7" s="70" customFormat="1">
      <c r="A1096" s="227"/>
      <c r="C1096" s="83"/>
      <c r="D1096" s="83"/>
      <c r="E1096" s="83"/>
      <c r="F1096" s="83"/>
      <c r="G1096" s="83"/>
    </row>
    <row r="1097" spans="1:7" s="70" customFormat="1">
      <c r="A1097" s="227"/>
      <c r="C1097" s="83"/>
      <c r="D1097" s="83"/>
      <c r="E1097" s="83"/>
      <c r="F1097" s="83"/>
      <c r="G1097" s="83"/>
    </row>
    <row r="1098" spans="1:7" s="70" customFormat="1">
      <c r="A1098" s="227"/>
      <c r="C1098" s="83"/>
      <c r="D1098" s="83"/>
      <c r="E1098" s="83"/>
      <c r="F1098" s="83"/>
      <c r="G1098" s="83"/>
    </row>
    <row r="1099" spans="1:7" s="70" customFormat="1">
      <c r="A1099" s="227"/>
      <c r="C1099" s="83"/>
      <c r="D1099" s="83"/>
      <c r="E1099" s="83"/>
      <c r="F1099" s="83"/>
      <c r="G1099" s="83"/>
    </row>
    <row r="1100" spans="1:7" s="70" customFormat="1">
      <c r="A1100" s="227"/>
      <c r="C1100" s="83"/>
      <c r="D1100" s="83"/>
      <c r="E1100" s="83"/>
      <c r="F1100" s="83"/>
      <c r="G1100" s="83"/>
    </row>
    <row r="1101" spans="1:7" s="70" customFormat="1">
      <c r="A1101" s="227"/>
      <c r="C1101" s="83"/>
      <c r="D1101" s="83"/>
      <c r="E1101" s="83"/>
      <c r="F1101" s="83"/>
      <c r="G1101" s="83"/>
    </row>
    <row r="1102" spans="1:7" s="70" customFormat="1">
      <c r="A1102" s="227"/>
      <c r="C1102" s="83"/>
      <c r="D1102" s="83"/>
      <c r="E1102" s="83"/>
      <c r="F1102" s="83"/>
      <c r="G1102" s="83"/>
    </row>
    <row r="1103" spans="1:7" s="70" customFormat="1">
      <c r="A1103" s="227"/>
      <c r="C1103" s="83"/>
      <c r="D1103" s="83"/>
      <c r="E1103" s="83"/>
      <c r="F1103" s="83"/>
      <c r="G1103" s="83"/>
    </row>
    <row r="1104" spans="1:7" s="70" customFormat="1">
      <c r="A1104" s="227"/>
      <c r="C1104" s="83"/>
      <c r="D1104" s="83"/>
      <c r="E1104" s="83"/>
      <c r="F1104" s="83"/>
      <c r="G1104" s="83"/>
    </row>
    <row r="1105" spans="1:7" s="70" customFormat="1">
      <c r="A1105" s="227"/>
      <c r="C1105" s="83"/>
      <c r="D1105" s="83"/>
      <c r="E1105" s="83"/>
      <c r="F1105" s="83"/>
      <c r="G1105" s="83"/>
    </row>
    <row r="1106" spans="1:7" s="70" customFormat="1">
      <c r="A1106" s="227"/>
      <c r="C1106" s="83"/>
      <c r="D1106" s="83"/>
      <c r="E1106" s="83"/>
      <c r="F1106" s="83"/>
      <c r="G1106" s="83"/>
    </row>
    <row r="1107" spans="1:7" s="70" customFormat="1">
      <c r="A1107" s="227"/>
      <c r="C1107" s="83"/>
      <c r="D1107" s="83"/>
      <c r="E1107" s="83"/>
      <c r="F1107" s="83"/>
      <c r="G1107" s="83"/>
    </row>
    <row r="1108" spans="1:7" s="70" customFormat="1">
      <c r="A1108" s="227"/>
      <c r="C1108" s="83"/>
      <c r="D1108" s="83"/>
      <c r="E1108" s="83"/>
      <c r="F1108" s="83"/>
      <c r="G1108" s="83"/>
    </row>
    <row r="1109" spans="1:7" s="70" customFormat="1">
      <c r="A1109" s="227"/>
      <c r="C1109" s="83"/>
      <c r="D1109" s="83"/>
      <c r="E1109" s="83"/>
      <c r="F1109" s="83"/>
      <c r="G1109" s="83"/>
    </row>
    <row r="1110" spans="1:7" s="70" customFormat="1">
      <c r="A1110" s="227"/>
      <c r="C1110" s="83"/>
      <c r="D1110" s="83"/>
      <c r="E1110" s="83"/>
      <c r="F1110" s="83"/>
      <c r="G1110" s="83"/>
    </row>
    <row r="1111" spans="1:7" s="70" customFormat="1">
      <c r="A1111" s="227"/>
      <c r="C1111" s="83"/>
      <c r="D1111" s="83"/>
      <c r="E1111" s="83"/>
      <c r="F1111" s="83"/>
      <c r="G1111" s="83"/>
    </row>
    <row r="1112" spans="1:7" s="70" customFormat="1">
      <c r="A1112" s="227"/>
      <c r="C1112" s="83"/>
      <c r="D1112" s="83"/>
      <c r="E1112" s="83"/>
      <c r="F1112" s="83"/>
      <c r="G1112" s="83"/>
    </row>
    <row r="1113" spans="1:7" s="70" customFormat="1">
      <c r="A1113" s="227"/>
      <c r="C1113" s="83"/>
      <c r="D1113" s="83"/>
      <c r="E1113" s="83"/>
      <c r="F1113" s="83"/>
      <c r="G1113" s="83"/>
    </row>
    <row r="1114" spans="1:7" s="70" customFormat="1">
      <c r="A1114" s="227"/>
      <c r="C1114" s="83"/>
      <c r="D1114" s="83"/>
      <c r="E1114" s="83"/>
      <c r="F1114" s="83"/>
      <c r="G1114" s="83"/>
    </row>
    <row r="1115" spans="1:7" s="70" customFormat="1">
      <c r="A1115" s="227"/>
      <c r="C1115" s="83"/>
      <c r="D1115" s="83"/>
      <c r="E1115" s="83"/>
      <c r="F1115" s="83"/>
      <c r="G1115" s="83"/>
    </row>
    <row r="1116" spans="1:7" s="70" customFormat="1">
      <c r="A1116" s="227"/>
      <c r="C1116" s="83"/>
      <c r="D1116" s="83"/>
      <c r="E1116" s="83"/>
      <c r="F1116" s="83"/>
      <c r="G1116" s="83"/>
    </row>
    <row r="1117" spans="1:7" s="70" customFormat="1">
      <c r="A1117" s="227"/>
      <c r="C1117" s="83"/>
      <c r="D1117" s="83"/>
      <c r="E1117" s="83"/>
      <c r="F1117" s="83"/>
      <c r="G1117" s="83"/>
    </row>
    <row r="1118" spans="1:7" s="70" customFormat="1">
      <c r="A1118" s="227"/>
      <c r="C1118" s="83"/>
      <c r="D1118" s="83"/>
      <c r="E1118" s="83"/>
      <c r="F1118" s="83"/>
      <c r="G1118" s="83"/>
    </row>
    <row r="1119" spans="1:7" s="70" customFormat="1">
      <c r="A1119" s="227"/>
      <c r="C1119" s="83"/>
      <c r="D1119" s="83"/>
      <c r="E1119" s="83"/>
      <c r="F1119" s="83"/>
      <c r="G1119" s="83"/>
    </row>
    <row r="1120" spans="1:7" s="70" customFormat="1">
      <c r="A1120" s="227"/>
      <c r="C1120" s="83"/>
      <c r="D1120" s="83"/>
      <c r="E1120" s="83"/>
      <c r="F1120" s="83"/>
      <c r="G1120" s="83"/>
    </row>
    <row r="1121" spans="1:7" s="70" customFormat="1">
      <c r="A1121" s="227"/>
      <c r="C1121" s="83"/>
      <c r="D1121" s="83"/>
      <c r="E1121" s="83"/>
      <c r="F1121" s="83"/>
      <c r="G1121" s="83"/>
    </row>
    <row r="1122" spans="1:7" s="70" customFormat="1">
      <c r="A1122" s="227"/>
      <c r="C1122" s="83"/>
      <c r="D1122" s="83"/>
      <c r="E1122" s="83"/>
      <c r="F1122" s="83"/>
      <c r="G1122" s="83"/>
    </row>
    <row r="1123" spans="1:7" s="70" customFormat="1">
      <c r="A1123" s="227"/>
      <c r="C1123" s="83"/>
      <c r="D1123" s="83"/>
      <c r="E1123" s="83"/>
      <c r="F1123" s="83"/>
      <c r="G1123" s="83"/>
    </row>
    <row r="1124" spans="1:7" s="70" customFormat="1">
      <c r="A1124" s="227"/>
      <c r="C1124" s="83"/>
      <c r="D1124" s="83"/>
      <c r="E1124" s="83"/>
      <c r="F1124" s="83"/>
      <c r="G1124" s="83"/>
    </row>
    <row r="1125" spans="1:7" s="70" customFormat="1">
      <c r="A1125" s="227"/>
      <c r="C1125" s="83"/>
      <c r="D1125" s="83"/>
      <c r="E1125" s="83"/>
      <c r="F1125" s="83"/>
      <c r="G1125" s="83"/>
    </row>
    <row r="1126" spans="1:7" s="70" customFormat="1">
      <c r="A1126" s="227"/>
      <c r="C1126" s="83"/>
      <c r="D1126" s="83"/>
      <c r="E1126" s="83"/>
      <c r="F1126" s="83"/>
      <c r="G1126" s="83"/>
    </row>
    <row r="1127" spans="1:7" s="70" customFormat="1">
      <c r="A1127" s="227"/>
      <c r="C1127" s="83"/>
      <c r="D1127" s="83"/>
      <c r="E1127" s="83"/>
      <c r="F1127" s="83"/>
      <c r="G1127" s="83"/>
    </row>
    <row r="1128" spans="1:7" s="70" customFormat="1">
      <c r="A1128" s="227"/>
      <c r="C1128" s="83"/>
      <c r="D1128" s="83"/>
      <c r="E1128" s="83"/>
      <c r="F1128" s="83"/>
      <c r="G1128" s="83"/>
    </row>
    <row r="1129" spans="1:7" s="70" customFormat="1">
      <c r="A1129" s="227"/>
      <c r="C1129" s="83"/>
      <c r="D1129" s="83"/>
      <c r="E1129" s="83"/>
      <c r="F1129" s="83"/>
      <c r="G1129" s="83"/>
    </row>
    <row r="1130" spans="1:7" s="70" customFormat="1">
      <c r="A1130" s="227"/>
      <c r="C1130" s="83"/>
      <c r="D1130" s="83"/>
      <c r="E1130" s="83"/>
      <c r="F1130" s="83"/>
      <c r="G1130" s="83"/>
    </row>
    <row r="1131" spans="1:7" s="70" customFormat="1">
      <c r="A1131" s="227"/>
      <c r="C1131" s="83"/>
      <c r="D1131" s="83"/>
      <c r="E1131" s="83"/>
      <c r="F1131" s="83"/>
      <c r="G1131" s="83"/>
    </row>
    <row r="1132" spans="1:7" s="70" customFormat="1">
      <c r="A1132" s="227"/>
      <c r="C1132" s="83"/>
      <c r="D1132" s="83"/>
      <c r="E1132" s="83"/>
      <c r="F1132" s="83"/>
      <c r="G1132" s="83"/>
    </row>
    <row r="1133" spans="1:7" s="70" customFormat="1">
      <c r="A1133" s="227"/>
      <c r="C1133" s="83"/>
      <c r="D1133" s="83"/>
      <c r="E1133" s="83"/>
      <c r="F1133" s="83"/>
      <c r="G1133" s="83"/>
    </row>
    <row r="1134" spans="1:7" s="70" customFormat="1">
      <c r="A1134" s="227"/>
      <c r="C1134" s="83"/>
      <c r="D1134" s="83"/>
      <c r="E1134" s="83"/>
      <c r="F1134" s="83"/>
      <c r="G1134" s="83"/>
    </row>
    <row r="1135" spans="1:7" s="70" customFormat="1">
      <c r="A1135" s="227"/>
      <c r="C1135" s="83"/>
      <c r="D1135" s="83"/>
      <c r="E1135" s="83"/>
      <c r="F1135" s="83"/>
      <c r="G1135" s="83"/>
    </row>
    <row r="1136" spans="1:7" s="70" customFormat="1">
      <c r="A1136" s="227"/>
      <c r="C1136" s="83"/>
      <c r="D1136" s="83"/>
      <c r="E1136" s="83"/>
      <c r="F1136" s="83"/>
      <c r="G1136" s="83"/>
    </row>
    <row r="1137" spans="1:7" s="70" customFormat="1">
      <c r="A1137" s="227"/>
      <c r="C1137" s="83"/>
      <c r="D1137" s="83"/>
      <c r="E1137" s="83"/>
      <c r="F1137" s="83"/>
      <c r="G1137" s="83"/>
    </row>
    <row r="1138" spans="1:7" s="70" customFormat="1">
      <c r="A1138" s="227"/>
      <c r="C1138" s="83"/>
      <c r="D1138" s="83"/>
      <c r="E1138" s="83"/>
      <c r="F1138" s="83"/>
      <c r="G1138" s="83"/>
    </row>
    <row r="1139" spans="1:7" s="70" customFormat="1">
      <c r="A1139" s="227"/>
      <c r="C1139" s="83"/>
      <c r="D1139" s="83"/>
      <c r="E1139" s="83"/>
      <c r="F1139" s="83"/>
      <c r="G1139" s="83"/>
    </row>
    <row r="1140" spans="1:7" s="70" customFormat="1">
      <c r="A1140" s="227"/>
      <c r="C1140" s="83"/>
      <c r="D1140" s="83"/>
      <c r="E1140" s="83"/>
      <c r="F1140" s="83"/>
      <c r="G1140" s="83"/>
    </row>
    <row r="1141" spans="1:7" s="70" customFormat="1">
      <c r="A1141" s="227"/>
      <c r="C1141" s="83"/>
      <c r="D1141" s="83"/>
      <c r="E1141" s="83"/>
      <c r="F1141" s="83"/>
      <c r="G1141" s="83"/>
    </row>
    <row r="1142" spans="1:7" s="70" customFormat="1">
      <c r="A1142" s="227"/>
      <c r="C1142" s="83"/>
      <c r="D1142" s="83"/>
      <c r="E1142" s="83"/>
      <c r="F1142" s="83"/>
      <c r="G1142" s="83"/>
    </row>
    <row r="1143" spans="1:7" s="70" customFormat="1">
      <c r="A1143" s="227"/>
      <c r="C1143" s="83"/>
      <c r="D1143" s="83"/>
      <c r="E1143" s="83"/>
      <c r="F1143" s="83"/>
      <c r="G1143" s="83"/>
    </row>
    <row r="1144" spans="1:7" s="70" customFormat="1">
      <c r="A1144" s="227"/>
      <c r="C1144" s="83"/>
      <c r="D1144" s="83"/>
      <c r="E1144" s="83"/>
      <c r="F1144" s="83"/>
      <c r="G1144" s="83"/>
    </row>
    <row r="1145" spans="1:7" s="70" customFormat="1">
      <c r="A1145" s="227"/>
      <c r="C1145" s="83"/>
      <c r="D1145" s="83"/>
      <c r="E1145" s="83"/>
      <c r="F1145" s="83"/>
      <c r="G1145" s="83"/>
    </row>
    <row r="1146" spans="1:7" s="70" customFormat="1">
      <c r="A1146" s="227"/>
      <c r="C1146" s="83"/>
      <c r="D1146" s="83"/>
      <c r="E1146" s="83"/>
      <c r="F1146" s="83"/>
      <c r="G1146" s="83"/>
    </row>
    <row r="1147" spans="1:7" s="70" customFormat="1">
      <c r="A1147" s="227"/>
      <c r="C1147" s="83"/>
      <c r="D1147" s="83"/>
      <c r="E1147" s="83"/>
      <c r="F1147" s="83"/>
      <c r="G1147" s="83"/>
    </row>
    <row r="1148" spans="1:7" s="70" customFormat="1">
      <c r="A1148" s="227"/>
      <c r="C1148" s="83"/>
      <c r="D1148" s="83"/>
      <c r="E1148" s="83"/>
      <c r="F1148" s="83"/>
      <c r="G1148" s="83"/>
    </row>
    <row r="1149" spans="1:7" s="70" customFormat="1">
      <c r="A1149" s="227"/>
      <c r="C1149" s="83"/>
      <c r="D1149" s="83"/>
      <c r="E1149" s="83"/>
      <c r="F1149" s="83"/>
      <c r="G1149" s="83"/>
    </row>
    <row r="1150" spans="1:7">
      <c r="A1150" s="142"/>
    </row>
    <row r="1151" spans="1:7">
      <c r="A1151" s="142"/>
    </row>
    <row r="1152" spans="1:7">
      <c r="A1152" s="142"/>
    </row>
    <row r="1153" spans="1:1">
      <c r="A1153" s="142"/>
    </row>
    <row r="1154" spans="1:1">
      <c r="A1154" s="142"/>
    </row>
    <row r="1155" spans="1:1">
      <c r="A1155" s="142"/>
    </row>
    <row r="1156" spans="1:1">
      <c r="A1156" s="142"/>
    </row>
    <row r="1157" spans="1:1">
      <c r="A1157" s="142"/>
    </row>
    <row r="1158" spans="1:1">
      <c r="A1158" s="142"/>
    </row>
    <row r="1159" spans="1:1">
      <c r="A1159" s="142"/>
    </row>
    <row r="1160" spans="1:1">
      <c r="A1160" s="142"/>
    </row>
    <row r="1161" spans="1:1">
      <c r="A1161" s="142"/>
    </row>
    <row r="1162" spans="1:1">
      <c r="A1162" s="142"/>
    </row>
    <row r="1163" spans="1:1">
      <c r="A1163" s="142"/>
    </row>
    <row r="1164" spans="1:1">
      <c r="A1164" s="142"/>
    </row>
    <row r="1165" spans="1:1">
      <c r="A1165" s="142"/>
    </row>
    <row r="1166" spans="1:1">
      <c r="A1166" s="142"/>
    </row>
    <row r="1167" spans="1:1">
      <c r="A1167" s="142"/>
    </row>
    <row r="1168" spans="1:1">
      <c r="A1168" s="142"/>
    </row>
    <row r="1169" spans="1:1">
      <c r="A1169" s="142"/>
    </row>
    <row r="1170" spans="1:1">
      <c r="A1170" s="142"/>
    </row>
    <row r="1171" spans="1:1">
      <c r="A1171" s="142"/>
    </row>
    <row r="1172" spans="1:1">
      <c r="A1172" s="142"/>
    </row>
    <row r="1173" spans="1:1">
      <c r="A1173" s="142"/>
    </row>
    <row r="1174" spans="1:1">
      <c r="A1174" s="142"/>
    </row>
    <row r="1175" spans="1:1">
      <c r="A1175" s="142"/>
    </row>
    <row r="1176" spans="1:1">
      <c r="A1176" s="142"/>
    </row>
    <row r="1177" spans="1:1">
      <c r="A1177" s="142"/>
    </row>
    <row r="1178" spans="1:1">
      <c r="A1178" s="142"/>
    </row>
    <row r="1179" spans="1:1">
      <c r="A1179" s="142"/>
    </row>
    <row r="1180" spans="1:1">
      <c r="A1180" s="142"/>
    </row>
    <row r="1181" spans="1:1">
      <c r="A1181" s="142"/>
    </row>
    <row r="1182" spans="1:1">
      <c r="A1182" s="142"/>
    </row>
    <row r="1183" spans="1:1">
      <c r="A1183" s="142"/>
    </row>
    <row r="1184" spans="1:1">
      <c r="A1184" s="142"/>
    </row>
    <row r="1185" spans="1:1">
      <c r="A1185" s="142"/>
    </row>
    <row r="1186" spans="1:1">
      <c r="A1186" s="142"/>
    </row>
    <row r="1187" spans="1:1">
      <c r="A1187" s="142"/>
    </row>
    <row r="1188" spans="1:1">
      <c r="A1188" s="142"/>
    </row>
    <row r="1189" spans="1:1">
      <c r="A1189" s="142"/>
    </row>
    <row r="1190" spans="1:1">
      <c r="A1190" s="142"/>
    </row>
    <row r="1191" spans="1:1">
      <c r="A1191" s="142"/>
    </row>
    <row r="1192" spans="1:1">
      <c r="A1192" s="142"/>
    </row>
    <row r="1193" spans="1:1">
      <c r="A1193" s="142"/>
    </row>
    <row r="1194" spans="1:1">
      <c r="A1194" s="142"/>
    </row>
    <row r="1195" spans="1:1">
      <c r="A1195" s="142"/>
    </row>
    <row r="1196" spans="1:1">
      <c r="A1196" s="142"/>
    </row>
    <row r="1197" spans="1:1">
      <c r="A1197" s="142"/>
    </row>
    <row r="1198" spans="1:1">
      <c r="A1198" s="142"/>
    </row>
    <row r="1199" spans="1:1">
      <c r="A1199" s="142"/>
    </row>
    <row r="1200" spans="1:1">
      <c r="A1200" s="142"/>
    </row>
    <row r="1201" spans="1:1">
      <c r="A1201" s="142"/>
    </row>
    <row r="1202" spans="1:1">
      <c r="A1202" s="142"/>
    </row>
    <row r="1203" spans="1:1">
      <c r="A1203" s="142"/>
    </row>
    <row r="1204" spans="1:1">
      <c r="A1204" s="142"/>
    </row>
    <row r="1205" spans="1:1">
      <c r="A1205" s="142"/>
    </row>
    <row r="1206" spans="1:1">
      <c r="A1206" s="142"/>
    </row>
    <row r="1207" spans="1:1">
      <c r="A1207" s="142"/>
    </row>
    <row r="1208" spans="1:1">
      <c r="A1208" s="142"/>
    </row>
    <row r="1209" spans="1:1">
      <c r="A1209" s="142"/>
    </row>
    <row r="1210" spans="1:1">
      <c r="A1210" s="142"/>
    </row>
    <row r="1211" spans="1:1">
      <c r="A1211" s="142"/>
    </row>
    <row r="1212" spans="1:1">
      <c r="A1212" s="142"/>
    </row>
    <row r="1213" spans="1:1">
      <c r="A1213" s="142"/>
    </row>
    <row r="1214" spans="1:1">
      <c r="A1214" s="142"/>
    </row>
    <row r="1215" spans="1:1">
      <c r="A1215" s="142"/>
    </row>
    <row r="1216" spans="1:1">
      <c r="A1216" s="142"/>
    </row>
    <row r="1217" spans="1:1">
      <c r="A1217" s="142"/>
    </row>
    <row r="1218" spans="1:1">
      <c r="A1218" s="142"/>
    </row>
    <row r="1219" spans="1:1">
      <c r="A1219" s="142"/>
    </row>
    <row r="1220" spans="1:1">
      <c r="A1220" s="142"/>
    </row>
    <row r="1221" spans="1:1">
      <c r="A1221" s="142"/>
    </row>
    <row r="1222" spans="1:1">
      <c r="A1222" s="142"/>
    </row>
    <row r="1223" spans="1:1">
      <c r="A1223" s="142"/>
    </row>
    <row r="1224" spans="1:1">
      <c r="A1224" s="142"/>
    </row>
    <row r="1225" spans="1:1">
      <c r="A1225" s="142"/>
    </row>
    <row r="1226" spans="1:1">
      <c r="A1226" s="142"/>
    </row>
    <row r="1227" spans="1:1">
      <c r="A1227" s="142"/>
    </row>
    <row r="1228" spans="1:1">
      <c r="A1228" s="142"/>
    </row>
    <row r="1229" spans="1:1">
      <c r="A1229" s="142"/>
    </row>
    <row r="1230" spans="1:1">
      <c r="A1230" s="142"/>
    </row>
    <row r="1231" spans="1:1">
      <c r="A1231" s="142"/>
    </row>
    <row r="1232" spans="1:1">
      <c r="A1232" s="142"/>
    </row>
    <row r="1233" spans="1:1">
      <c r="A1233" s="142"/>
    </row>
    <row r="1234" spans="1:1">
      <c r="A1234" s="142"/>
    </row>
    <row r="1235" spans="1:1">
      <c r="A1235" s="142"/>
    </row>
    <row r="1236" spans="1:1">
      <c r="A1236" s="142"/>
    </row>
    <row r="1237" spans="1:1">
      <c r="A1237" s="142"/>
    </row>
    <row r="1238" spans="1:1">
      <c r="A1238" s="142"/>
    </row>
    <row r="1239" spans="1:1">
      <c r="A1239" s="142"/>
    </row>
    <row r="1240" spans="1:1">
      <c r="A1240" s="142"/>
    </row>
    <row r="1241" spans="1:1">
      <c r="A1241" s="142"/>
    </row>
    <row r="1242" spans="1:1">
      <c r="A1242" s="142"/>
    </row>
    <row r="1243" spans="1:1">
      <c r="A1243" s="142"/>
    </row>
    <row r="1244" spans="1:1">
      <c r="A1244" s="142"/>
    </row>
    <row r="1245" spans="1:1">
      <c r="A1245" s="142"/>
    </row>
    <row r="1246" spans="1:1">
      <c r="A1246" s="142"/>
    </row>
    <row r="1247" spans="1:1">
      <c r="A1247" s="142"/>
    </row>
    <row r="1248" spans="1:1">
      <c r="A1248" s="142"/>
    </row>
    <row r="1249" spans="1:1">
      <c r="A1249" s="142"/>
    </row>
    <row r="1250" spans="1:1">
      <c r="A1250" s="142"/>
    </row>
    <row r="1251" spans="1:1">
      <c r="A1251" s="142"/>
    </row>
    <row r="1252" spans="1:1">
      <c r="A1252" s="142"/>
    </row>
    <row r="1253" spans="1:1">
      <c r="A1253" s="142"/>
    </row>
    <row r="1254" spans="1:1">
      <c r="A1254" s="142"/>
    </row>
    <row r="1255" spans="1:1">
      <c r="A1255" s="142"/>
    </row>
    <row r="1256" spans="1:1">
      <c r="A1256" s="142"/>
    </row>
    <row r="1257" spans="1:1">
      <c r="A1257" s="142"/>
    </row>
    <row r="1258" spans="1:1">
      <c r="A1258" s="142"/>
    </row>
    <row r="1259" spans="1:1">
      <c r="A1259" s="142"/>
    </row>
    <row r="1260" spans="1:1">
      <c r="A1260" s="142"/>
    </row>
    <row r="1261" spans="1:1">
      <c r="A1261" s="142"/>
    </row>
    <row r="1262" spans="1:1">
      <c r="A1262" s="142"/>
    </row>
    <row r="1263" spans="1:1">
      <c r="A1263" s="142"/>
    </row>
    <row r="1264" spans="1:1">
      <c r="A1264" s="142"/>
    </row>
    <row r="1265" spans="1:1">
      <c r="A1265" s="142"/>
    </row>
    <row r="1266" spans="1:1">
      <c r="A1266" s="142"/>
    </row>
    <row r="1267" spans="1:1">
      <c r="A1267" s="142"/>
    </row>
    <row r="1268" spans="1:1">
      <c r="A1268" s="142"/>
    </row>
    <row r="1269" spans="1:1">
      <c r="A1269" s="142"/>
    </row>
    <row r="1270" spans="1:1">
      <c r="A1270" s="142"/>
    </row>
    <row r="1271" spans="1:1">
      <c r="A1271" s="142"/>
    </row>
    <row r="1272" spans="1:1">
      <c r="A1272" s="142"/>
    </row>
    <row r="1273" spans="1:1">
      <c r="A1273" s="142"/>
    </row>
    <row r="1274" spans="1:1">
      <c r="A1274" s="142"/>
    </row>
    <row r="1275" spans="1:1">
      <c r="A1275" s="142"/>
    </row>
    <row r="1276" spans="1:1">
      <c r="A1276" s="142"/>
    </row>
    <row r="1277" spans="1:1">
      <c r="A1277" s="142"/>
    </row>
    <row r="1278" spans="1:1">
      <c r="A1278" s="142"/>
    </row>
    <row r="1279" spans="1:1">
      <c r="A1279" s="142"/>
    </row>
    <row r="1280" spans="1:1">
      <c r="A1280" s="142"/>
    </row>
    <row r="1281" spans="1:1">
      <c r="A1281" s="142"/>
    </row>
    <row r="1282" spans="1:1">
      <c r="A1282" s="142"/>
    </row>
    <row r="1283" spans="1:1">
      <c r="A1283" s="142"/>
    </row>
    <row r="1284" spans="1:1">
      <c r="A1284" s="142"/>
    </row>
    <row r="1285" spans="1:1">
      <c r="A1285" s="142"/>
    </row>
    <row r="1286" spans="1:1">
      <c r="A1286" s="142"/>
    </row>
    <row r="1287" spans="1:1">
      <c r="A1287" s="142"/>
    </row>
    <row r="1288" spans="1:1">
      <c r="A1288" s="142"/>
    </row>
    <row r="1289" spans="1:1">
      <c r="A1289" s="142"/>
    </row>
    <row r="1290" spans="1:1">
      <c r="A1290" s="142"/>
    </row>
    <row r="1291" spans="1:1">
      <c r="A1291" s="142"/>
    </row>
    <row r="1292" spans="1:1">
      <c r="A1292" s="142"/>
    </row>
    <row r="1293" spans="1:1">
      <c r="A1293" s="142"/>
    </row>
    <row r="1294" spans="1:1">
      <c r="A1294" s="142"/>
    </row>
    <row r="1295" spans="1:1">
      <c r="A1295" s="142"/>
    </row>
    <row r="1296" spans="1:1">
      <c r="A1296" s="142"/>
    </row>
    <row r="1297" spans="1:1">
      <c r="A1297" s="142"/>
    </row>
    <row r="1298" spans="1:1">
      <c r="A1298" s="142"/>
    </row>
    <row r="1299" spans="1:1">
      <c r="A1299" s="142"/>
    </row>
    <row r="1300" spans="1:1">
      <c r="A1300" s="142"/>
    </row>
    <row r="1301" spans="1:1">
      <c r="A1301" s="142"/>
    </row>
    <row r="1302" spans="1:1">
      <c r="A1302" s="142"/>
    </row>
    <row r="1303" spans="1:1">
      <c r="A1303" s="142"/>
    </row>
    <row r="1304" spans="1:1">
      <c r="A1304" s="142"/>
    </row>
    <row r="1305" spans="1:1">
      <c r="A1305" s="142"/>
    </row>
    <row r="1306" spans="1:1">
      <c r="A1306" s="142"/>
    </row>
    <row r="1307" spans="1:1">
      <c r="A1307" s="142"/>
    </row>
    <row r="1308" spans="1:1">
      <c r="A1308" s="142"/>
    </row>
    <row r="1309" spans="1:1">
      <c r="A1309" s="142"/>
    </row>
    <row r="1310" spans="1:1">
      <c r="A1310" s="142"/>
    </row>
    <row r="1311" spans="1:1">
      <c r="A1311" s="142"/>
    </row>
    <row r="1312" spans="1:1">
      <c r="A1312" s="142"/>
    </row>
    <row r="1313" spans="1:1">
      <c r="A1313" s="142"/>
    </row>
    <row r="1314" spans="1:1">
      <c r="A1314" s="142"/>
    </row>
    <row r="1315" spans="1:1">
      <c r="A1315" s="142"/>
    </row>
    <row r="1316" spans="1:1">
      <c r="A1316" s="142"/>
    </row>
    <row r="1317" spans="1:1">
      <c r="A1317" s="142"/>
    </row>
    <row r="1318" spans="1:1">
      <c r="A1318" s="142"/>
    </row>
    <row r="1319" spans="1:1">
      <c r="A1319" s="142"/>
    </row>
    <row r="1320" spans="1:1">
      <c r="A1320" s="142"/>
    </row>
    <row r="1321" spans="1:1">
      <c r="A1321" s="142"/>
    </row>
    <row r="1322" spans="1:1">
      <c r="A1322" s="142"/>
    </row>
    <row r="1323" spans="1:1">
      <c r="A1323" s="142"/>
    </row>
    <row r="1324" spans="1:1">
      <c r="A1324" s="142"/>
    </row>
    <row r="1325" spans="1:1">
      <c r="A1325" s="142"/>
    </row>
    <row r="1326" spans="1:1">
      <c r="A1326" s="142"/>
    </row>
    <row r="1327" spans="1:1">
      <c r="A1327" s="142"/>
    </row>
    <row r="1328" spans="1:1">
      <c r="A1328" s="142"/>
    </row>
    <row r="1329" spans="1:1">
      <c r="A1329" s="142"/>
    </row>
    <row r="1330" spans="1:1">
      <c r="A1330" s="142"/>
    </row>
    <row r="1331" spans="1:1">
      <c r="A1331" s="142"/>
    </row>
    <row r="1332" spans="1:1">
      <c r="A1332" s="142"/>
    </row>
    <row r="1333" spans="1:1">
      <c r="A1333" s="142"/>
    </row>
    <row r="1334" spans="1:1">
      <c r="A1334" s="142"/>
    </row>
    <row r="1335" spans="1:1">
      <c r="A1335" s="142"/>
    </row>
    <row r="1336" spans="1:1">
      <c r="A1336" s="142"/>
    </row>
    <row r="1337" spans="1:1">
      <c r="A1337" s="142"/>
    </row>
    <row r="1338" spans="1:1">
      <c r="A1338" s="142"/>
    </row>
    <row r="1339" spans="1:1">
      <c r="A1339" s="142"/>
    </row>
    <row r="1340" spans="1:1">
      <c r="A1340" s="142"/>
    </row>
    <row r="1341" spans="1:1">
      <c r="A1341" s="142"/>
    </row>
    <row r="1342" spans="1:1">
      <c r="A1342" s="142"/>
    </row>
    <row r="1343" spans="1:1">
      <c r="A1343" s="142"/>
    </row>
    <row r="1344" spans="1:1">
      <c r="A1344" s="142"/>
    </row>
    <row r="1345" spans="1:1">
      <c r="A1345" s="142"/>
    </row>
    <row r="1346" spans="1:1">
      <c r="A1346" s="142"/>
    </row>
    <row r="1347" spans="1:1">
      <c r="A1347" s="142"/>
    </row>
    <row r="1348" spans="1:1">
      <c r="A1348" s="142"/>
    </row>
    <row r="1349" spans="1:1">
      <c r="A1349" s="142"/>
    </row>
    <row r="1350" spans="1:1">
      <c r="A1350" s="142"/>
    </row>
    <row r="1351" spans="1:1">
      <c r="A1351" s="142"/>
    </row>
    <row r="1352" spans="1:1">
      <c r="A1352" s="142"/>
    </row>
    <row r="1353" spans="1:1">
      <c r="A1353" s="142"/>
    </row>
    <row r="1354" spans="1:1">
      <c r="A1354" s="142"/>
    </row>
    <row r="1355" spans="1:1">
      <c r="A1355" s="142"/>
    </row>
    <row r="1356" spans="1:1">
      <c r="A1356" s="142"/>
    </row>
    <row r="1357" spans="1:1">
      <c r="A1357" s="142"/>
    </row>
    <row r="1358" spans="1:1">
      <c r="A1358" s="142"/>
    </row>
    <row r="1359" spans="1:1">
      <c r="A1359" s="142"/>
    </row>
    <row r="1360" spans="1:1">
      <c r="A1360" s="142"/>
    </row>
    <row r="1361" spans="1:1">
      <c r="A1361" s="142"/>
    </row>
    <row r="1362" spans="1:1">
      <c r="A1362" s="142"/>
    </row>
    <row r="1363" spans="1:1">
      <c r="A1363" s="142"/>
    </row>
    <row r="1364" spans="1:1">
      <c r="A1364" s="142"/>
    </row>
    <row r="1365" spans="1:1">
      <c r="A1365" s="142"/>
    </row>
    <row r="1366" spans="1:1">
      <c r="A1366" s="142"/>
    </row>
    <row r="1367" spans="1:1">
      <c r="A1367" s="142"/>
    </row>
    <row r="1368" spans="1:1">
      <c r="A1368" s="142"/>
    </row>
    <row r="1369" spans="1:1">
      <c r="A1369" s="142"/>
    </row>
    <row r="1370" spans="1:1">
      <c r="A1370" s="142"/>
    </row>
    <row r="1371" spans="1:1">
      <c r="A1371" s="142"/>
    </row>
    <row r="1372" spans="1:1">
      <c r="A1372" s="142"/>
    </row>
    <row r="1373" spans="1:1">
      <c r="A1373" s="142"/>
    </row>
    <row r="1374" spans="1:1">
      <c r="A1374" s="142"/>
    </row>
    <row r="1375" spans="1:1">
      <c r="A1375" s="142"/>
    </row>
    <row r="1376" spans="1:1">
      <c r="A1376" s="142"/>
    </row>
    <row r="1377" spans="1:1">
      <c r="A1377" s="142"/>
    </row>
    <row r="1378" spans="1:1">
      <c r="A1378" s="142"/>
    </row>
    <row r="1379" spans="1:1">
      <c r="A1379" s="142"/>
    </row>
    <row r="1380" spans="1:1">
      <c r="A1380" s="142"/>
    </row>
    <row r="1381" spans="1:1">
      <c r="A1381" s="142"/>
    </row>
    <row r="1382" spans="1:1">
      <c r="A1382" s="142"/>
    </row>
    <row r="1383" spans="1:1">
      <c r="A1383" s="142"/>
    </row>
    <row r="1384" spans="1:1">
      <c r="A1384" s="142"/>
    </row>
    <row r="1385" spans="1:1">
      <c r="A1385" s="142"/>
    </row>
    <row r="1386" spans="1:1">
      <c r="A1386" s="142"/>
    </row>
    <row r="1387" spans="1:1">
      <c r="A1387" s="142"/>
    </row>
    <row r="1388" spans="1:1">
      <c r="A1388" s="142"/>
    </row>
    <row r="1389" spans="1:1">
      <c r="A1389" s="142"/>
    </row>
    <row r="1390" spans="1:1">
      <c r="A1390" s="142"/>
    </row>
    <row r="1391" spans="1:1">
      <c r="A1391" s="142"/>
    </row>
    <row r="1392" spans="1:1">
      <c r="A1392" s="142"/>
    </row>
    <row r="1393" spans="1:1">
      <c r="A1393" s="142"/>
    </row>
    <row r="1394" spans="1:1">
      <c r="A1394" s="142"/>
    </row>
    <row r="1395" spans="1:1">
      <c r="A1395" s="142"/>
    </row>
    <row r="1396" spans="1:1">
      <c r="A1396" s="142"/>
    </row>
    <row r="1397" spans="1:1">
      <c r="A1397" s="142"/>
    </row>
    <row r="1398" spans="1:1">
      <c r="A1398" s="142"/>
    </row>
    <row r="1399" spans="1:1">
      <c r="A1399" s="142"/>
    </row>
    <row r="1400" spans="1:1">
      <c r="A1400" s="142"/>
    </row>
    <row r="1401" spans="1:1">
      <c r="A1401" s="142"/>
    </row>
    <row r="1402" spans="1:1">
      <c r="A1402" s="142"/>
    </row>
    <row r="1403" spans="1:1">
      <c r="A1403" s="142"/>
    </row>
    <row r="1404" spans="1:1">
      <c r="A1404" s="142"/>
    </row>
    <row r="1405" spans="1:1">
      <c r="A1405" s="142"/>
    </row>
    <row r="1406" spans="1:1">
      <c r="A1406" s="142"/>
    </row>
    <row r="1407" spans="1:1">
      <c r="A1407" s="142"/>
    </row>
    <row r="1408" spans="1:1">
      <c r="A1408" s="142"/>
    </row>
    <row r="1409" spans="1:1">
      <c r="A1409" s="142"/>
    </row>
    <row r="1410" spans="1:1">
      <c r="A1410" s="142"/>
    </row>
    <row r="1411" spans="1:1">
      <c r="A1411" s="142"/>
    </row>
    <row r="1412" spans="1:1">
      <c r="A1412" s="142"/>
    </row>
    <row r="1413" spans="1:1">
      <c r="A1413" s="142"/>
    </row>
    <row r="1414" spans="1:1">
      <c r="A1414" s="142"/>
    </row>
    <row r="1415" spans="1:1">
      <c r="A1415" s="142"/>
    </row>
    <row r="1416" spans="1:1">
      <c r="A1416" s="142"/>
    </row>
    <row r="1417" spans="1:1">
      <c r="A1417" s="142"/>
    </row>
    <row r="1418" spans="1:1">
      <c r="A1418" s="142"/>
    </row>
    <row r="1419" spans="1:1">
      <c r="A1419" s="142"/>
    </row>
    <row r="1420" spans="1:1">
      <c r="A1420" s="142"/>
    </row>
    <row r="1421" spans="1:1">
      <c r="A1421" s="142"/>
    </row>
    <row r="1422" spans="1:1">
      <c r="A1422" s="142"/>
    </row>
    <row r="1423" spans="1:1">
      <c r="A1423" s="142"/>
    </row>
    <row r="1424" spans="1:1">
      <c r="A1424" s="142"/>
    </row>
    <row r="1425" spans="1:192">
      <c r="A1425" s="142"/>
    </row>
    <row r="1426" spans="1:192">
      <c r="A1426" s="142"/>
    </row>
    <row r="1427" spans="1:192">
      <c r="A1427" s="142"/>
    </row>
    <row r="1428" spans="1:192">
      <c r="A1428" s="142"/>
    </row>
    <row r="1429" spans="1:192">
      <c r="A1429" s="142"/>
    </row>
    <row r="1430" spans="1:192">
      <c r="A1430" s="142"/>
    </row>
    <row r="1431" spans="1:192">
      <c r="A1431" s="142"/>
    </row>
    <row r="1432" spans="1:192">
      <c r="A1432" s="142"/>
    </row>
    <row r="1433" spans="1:192">
      <c r="A1433" s="142"/>
    </row>
    <row r="1434" spans="1:192">
      <c r="A1434" s="142"/>
    </row>
    <row r="1435" spans="1:192">
      <c r="A1435" s="142"/>
    </row>
    <row r="1436" spans="1:192">
      <c r="A1436" s="142"/>
      <c r="GJ1436" s="10" t="s">
        <v>40</v>
      </c>
    </row>
  </sheetData>
  <mergeCells count="32">
    <mergeCell ref="A1:C1"/>
    <mergeCell ref="A3:G3"/>
    <mergeCell ref="A84:G84"/>
    <mergeCell ref="C7:C8"/>
    <mergeCell ref="B5:B8"/>
    <mergeCell ref="C86:E86"/>
    <mergeCell ref="A5:A8"/>
    <mergeCell ref="B86:B89"/>
    <mergeCell ref="C162:E162"/>
    <mergeCell ref="C164:C165"/>
    <mergeCell ref="B162:B165"/>
    <mergeCell ref="A160:G160"/>
    <mergeCell ref="C88:C89"/>
    <mergeCell ref="A86:A89"/>
    <mergeCell ref="C5:E5"/>
    <mergeCell ref="A82:G82"/>
    <mergeCell ref="A158:G158"/>
    <mergeCell ref="A162:A165"/>
    <mergeCell ref="F6:F8"/>
    <mergeCell ref="G6:G8"/>
    <mergeCell ref="F87:F89"/>
    <mergeCell ref="G87:G89"/>
    <mergeCell ref="F163:F165"/>
    <mergeCell ref="G163:G165"/>
    <mergeCell ref="F238:F240"/>
    <mergeCell ref="G238:G240"/>
    <mergeCell ref="A233:G233"/>
    <mergeCell ref="A237:A240"/>
    <mergeCell ref="B237:B240"/>
    <mergeCell ref="C237:E237"/>
    <mergeCell ref="C239:C240"/>
    <mergeCell ref="A235:G235"/>
  </mergeCells>
  <printOptions horizontalCentered="1"/>
  <pageMargins left="0.19685039370078741" right="0.19685039370078741" top="0.39370078740157483" bottom="0.35433070866141736" header="0.23622047244094491" footer="0.19685039370078741"/>
  <pageSetup paperSize="9" scale="91" fitToHeight="7" orientation="portrait" horizontalDpi="4294967295" verticalDpi="4294967295" r:id="rId1"/>
  <headerFooter alignWithMargins="0">
    <oddHeader xml:space="preserve">&amp;R&amp;"Arial,Standard"&amp;10   &amp;"Times New Roman,Standard"&amp;8       </oddHeader>
    <oddFooter>&amp;R&amp;14
...</oddFooter>
  </headerFooter>
  <rowBreaks count="3" manualBreakCount="3">
    <brk id="81" max="6" man="1"/>
    <brk id="157" max="6" man="1"/>
    <brk id="231" max="16383" man="1"/>
  </row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ES1319"/>
  <sheetViews>
    <sheetView topLeftCell="A88" zoomScale="115" zoomScaleNormal="115" zoomScaleSheetLayoutView="120" workbookViewId="0">
      <selection activeCell="G110" sqref="G110"/>
    </sheetView>
  </sheetViews>
  <sheetFormatPr baseColWidth="10" defaultColWidth="11.42578125" defaultRowHeight="16.5"/>
  <cols>
    <col min="1" max="1" width="26.42578125" style="1480" customWidth="1"/>
    <col min="2" max="2" width="9" style="1480" customWidth="1"/>
    <col min="3" max="3" width="6" style="1436" customWidth="1"/>
    <col min="4" max="4" width="10.42578125" style="1437" customWidth="1"/>
    <col min="5" max="5" width="7.42578125" style="1437" customWidth="1"/>
    <col min="6" max="6" width="15.5703125" style="1437" customWidth="1"/>
    <col min="7" max="7" width="19.42578125" style="1437" customWidth="1"/>
    <col min="8" max="8" width="19.42578125" style="1438" customWidth="1"/>
    <col min="9" max="16384" width="11.42578125" style="1436"/>
  </cols>
  <sheetData>
    <row r="1" spans="1:8" s="1439" customFormat="1">
      <c r="A1" s="1745" t="s">
        <v>103</v>
      </c>
      <c r="B1" s="1670"/>
      <c r="C1" s="1671"/>
      <c r="D1" s="1671"/>
      <c r="E1" s="1671"/>
      <c r="F1" s="1671"/>
      <c r="G1" s="1671"/>
      <c r="H1" s="1671"/>
    </row>
    <row r="2" spans="1:8">
      <c r="A2" s="1862" t="s">
        <v>453</v>
      </c>
      <c r="B2" s="1863"/>
      <c r="C2" s="1864"/>
      <c r="D2" s="1863"/>
      <c r="E2" s="1865"/>
      <c r="F2" s="1862"/>
      <c r="G2" s="1866"/>
      <c r="H2" s="1867"/>
    </row>
    <row r="3" spans="1:8" ht="49.5">
      <c r="A3" s="1736" t="s">
        <v>72</v>
      </c>
      <c r="B3" s="1737" t="s">
        <v>475</v>
      </c>
      <c r="C3" s="1738" t="s">
        <v>120</v>
      </c>
      <c r="D3" s="1739" t="s">
        <v>94</v>
      </c>
      <c r="E3" s="1740" t="s">
        <v>457</v>
      </c>
      <c r="F3" s="1741" t="s">
        <v>458</v>
      </c>
      <c r="G3" s="1742" t="s">
        <v>496</v>
      </c>
      <c r="H3" s="1743" t="s">
        <v>497</v>
      </c>
    </row>
    <row r="4" spans="1:8" s="1404" customFormat="1">
      <c r="A4" s="1647" t="s">
        <v>73</v>
      </c>
      <c r="B4" s="1648"/>
      <c r="C4" s="1444">
        <v>2002</v>
      </c>
      <c r="D4" s="1441">
        <v>7954</v>
      </c>
      <c r="E4" s="1442">
        <v>743</v>
      </c>
      <c r="F4" s="1443">
        <v>3269</v>
      </c>
      <c r="G4" s="1461">
        <v>3509</v>
      </c>
      <c r="H4" s="1442">
        <v>720</v>
      </c>
    </row>
    <row r="5" spans="1:8" s="1404" customFormat="1">
      <c r="A5" s="1731" t="s">
        <v>73</v>
      </c>
      <c r="B5" s="1648"/>
      <c r="C5" s="1440">
        <v>2003</v>
      </c>
      <c r="D5" s="1441">
        <v>8416</v>
      </c>
      <c r="E5" s="1442">
        <v>766</v>
      </c>
      <c r="F5" s="1443">
        <v>3601</v>
      </c>
      <c r="G5" s="1461">
        <v>3260</v>
      </c>
      <c r="H5" s="1442">
        <v>633</v>
      </c>
    </row>
    <row r="6" spans="1:8" s="1404" customFormat="1">
      <c r="A6" s="1731" t="s">
        <v>73</v>
      </c>
      <c r="B6" s="1648"/>
      <c r="C6" s="1444">
        <v>2004</v>
      </c>
      <c r="D6" s="1441">
        <v>9196</v>
      </c>
      <c r="E6" s="1442">
        <v>835</v>
      </c>
      <c r="F6" s="1443">
        <v>3838</v>
      </c>
      <c r="G6" s="1461">
        <v>3164</v>
      </c>
      <c r="H6" s="1442">
        <v>716</v>
      </c>
    </row>
    <row r="7" spans="1:8" s="1404" customFormat="1">
      <c r="A7" s="1731" t="s">
        <v>73</v>
      </c>
      <c r="B7" s="1648"/>
      <c r="C7" s="1440">
        <v>2005</v>
      </c>
      <c r="D7" s="1441">
        <v>9470</v>
      </c>
      <c r="E7" s="1442">
        <v>813</v>
      </c>
      <c r="F7" s="1443">
        <v>3825</v>
      </c>
      <c r="G7" s="1461">
        <v>3483</v>
      </c>
      <c r="H7" s="1442">
        <v>605</v>
      </c>
    </row>
    <row r="8" spans="1:8" s="1404" customFormat="1">
      <c r="A8" s="1731" t="s">
        <v>73</v>
      </c>
      <c r="B8" s="1648"/>
      <c r="C8" s="1440">
        <v>2006</v>
      </c>
      <c r="D8" s="1441">
        <v>9451</v>
      </c>
      <c r="E8" s="1442">
        <v>897</v>
      </c>
      <c r="F8" s="1443">
        <v>3831</v>
      </c>
      <c r="G8" s="1461">
        <v>3726</v>
      </c>
      <c r="H8" s="1442">
        <v>592</v>
      </c>
    </row>
    <row r="9" spans="1:8" s="1404" customFormat="1">
      <c r="A9" s="1731" t="s">
        <v>73</v>
      </c>
      <c r="B9" s="1648"/>
      <c r="C9" s="1440">
        <v>2007</v>
      </c>
      <c r="D9" s="1441">
        <v>9709</v>
      </c>
      <c r="E9" s="1442">
        <v>989</v>
      </c>
      <c r="F9" s="1443">
        <v>4804</v>
      </c>
      <c r="G9" s="1703" t="s">
        <v>195</v>
      </c>
      <c r="H9" s="1445" t="s">
        <v>195</v>
      </c>
    </row>
    <row r="10" spans="1:8" s="1404" customFormat="1">
      <c r="A10" s="1731" t="s">
        <v>73</v>
      </c>
      <c r="B10" s="1648"/>
      <c r="C10" s="1440">
        <v>2008</v>
      </c>
      <c r="D10" s="1441">
        <v>9413</v>
      </c>
      <c r="E10" s="1442">
        <v>1030</v>
      </c>
      <c r="F10" s="1443">
        <v>4435</v>
      </c>
      <c r="G10" s="1461">
        <v>3267</v>
      </c>
      <c r="H10" s="1445" t="s">
        <v>195</v>
      </c>
    </row>
    <row r="11" spans="1:8" s="1404" customFormat="1">
      <c r="A11" s="1731" t="s">
        <v>73</v>
      </c>
      <c r="B11" s="1648"/>
      <c r="C11" s="1440">
        <v>2009</v>
      </c>
      <c r="D11" s="1441">
        <v>9217</v>
      </c>
      <c r="E11" s="1442">
        <v>1061</v>
      </c>
      <c r="F11" s="1443">
        <v>3814</v>
      </c>
      <c r="G11" s="1461">
        <v>3384</v>
      </c>
      <c r="H11" s="1442">
        <v>413</v>
      </c>
    </row>
    <row r="12" spans="1:8" s="1404" customFormat="1">
      <c r="A12" s="1731" t="s">
        <v>73</v>
      </c>
      <c r="B12" s="1648"/>
      <c r="C12" s="1440">
        <v>2010</v>
      </c>
      <c r="D12" s="1441">
        <v>8871</v>
      </c>
      <c r="E12" s="1442">
        <v>957</v>
      </c>
      <c r="F12" s="1443">
        <v>3741</v>
      </c>
      <c r="G12" s="1461">
        <v>3306</v>
      </c>
      <c r="H12" s="1442">
        <v>528</v>
      </c>
    </row>
    <row r="13" spans="1:8" s="1404" customFormat="1">
      <c r="A13" s="1731" t="s">
        <v>73</v>
      </c>
      <c r="B13" s="1648"/>
      <c r="C13" s="1440">
        <v>2011</v>
      </c>
      <c r="D13" s="1441">
        <v>8532</v>
      </c>
      <c r="E13" s="1442">
        <v>921</v>
      </c>
      <c r="F13" s="1443">
        <v>3642</v>
      </c>
      <c r="G13" s="1461">
        <v>3216</v>
      </c>
      <c r="H13" s="1442">
        <v>486</v>
      </c>
    </row>
    <row r="14" spans="1:8" s="1404" customFormat="1">
      <c r="A14" s="1731" t="s">
        <v>73</v>
      </c>
      <c r="B14" s="1648"/>
      <c r="C14" s="1440">
        <v>2012</v>
      </c>
      <c r="D14" s="1441">
        <v>8496</v>
      </c>
      <c r="E14" s="1442">
        <v>948</v>
      </c>
      <c r="F14" s="1443">
        <v>3735</v>
      </c>
      <c r="G14" s="1461">
        <v>3105</v>
      </c>
      <c r="H14" s="1442">
        <v>660</v>
      </c>
    </row>
    <row r="15" spans="1:8" s="1404" customFormat="1">
      <c r="A15" s="1731" t="s">
        <v>73</v>
      </c>
      <c r="B15" s="1648"/>
      <c r="C15" s="1440">
        <v>2013</v>
      </c>
      <c r="D15" s="1441">
        <v>8730</v>
      </c>
      <c r="E15" s="1442">
        <v>1026</v>
      </c>
      <c r="F15" s="1443">
        <v>4065</v>
      </c>
      <c r="G15" s="1461">
        <v>3060</v>
      </c>
      <c r="H15" s="1442">
        <v>669</v>
      </c>
    </row>
    <row r="16" spans="1:8" s="1404" customFormat="1">
      <c r="A16" s="1731" t="s">
        <v>73</v>
      </c>
      <c r="B16" s="1648"/>
      <c r="C16" s="1440">
        <v>2014</v>
      </c>
      <c r="D16" s="1441">
        <v>9126</v>
      </c>
      <c r="E16" s="1442">
        <v>1119</v>
      </c>
      <c r="F16" s="1443">
        <v>4074</v>
      </c>
      <c r="G16" s="1461">
        <v>3000</v>
      </c>
      <c r="H16" s="1442">
        <v>645</v>
      </c>
    </row>
    <row r="17" spans="1:8" s="1404" customFormat="1">
      <c r="A17" s="1731" t="s">
        <v>73</v>
      </c>
      <c r="B17" s="1648"/>
      <c r="C17" s="1440">
        <v>2015</v>
      </c>
      <c r="D17" s="1441">
        <v>9453</v>
      </c>
      <c r="E17" s="1442">
        <v>1224</v>
      </c>
      <c r="F17" s="1443">
        <v>4239</v>
      </c>
      <c r="G17" s="1461">
        <v>3255</v>
      </c>
      <c r="H17" s="1442">
        <v>687</v>
      </c>
    </row>
    <row r="18" spans="1:8" s="1404" customFormat="1">
      <c r="A18" s="1731" t="s">
        <v>73</v>
      </c>
      <c r="B18" s="1648"/>
      <c r="C18" s="1440">
        <v>2016</v>
      </c>
      <c r="D18" s="1441">
        <v>9489</v>
      </c>
      <c r="E18" s="1442">
        <v>1299</v>
      </c>
      <c r="F18" s="1443">
        <v>4242</v>
      </c>
      <c r="G18" s="1461">
        <v>3333</v>
      </c>
      <c r="H18" s="1442">
        <v>1005</v>
      </c>
    </row>
    <row r="19" spans="1:8" s="1404" customFormat="1">
      <c r="A19" s="1731" t="s">
        <v>73</v>
      </c>
      <c r="B19" s="1648"/>
      <c r="C19" s="1446">
        <v>2017</v>
      </c>
      <c r="D19" s="1441">
        <v>9309</v>
      </c>
      <c r="E19" s="1442">
        <v>1374</v>
      </c>
      <c r="F19" s="1443">
        <v>4143</v>
      </c>
      <c r="G19" s="1461">
        <v>3540</v>
      </c>
      <c r="H19" s="1442">
        <v>747</v>
      </c>
    </row>
    <row r="20" spans="1:8" s="1404" customFormat="1">
      <c r="A20" s="1731" t="s">
        <v>73</v>
      </c>
      <c r="B20" s="1648"/>
      <c r="C20" s="1446">
        <v>2018</v>
      </c>
      <c r="D20" s="1441">
        <v>8937</v>
      </c>
      <c r="E20" s="1442">
        <v>1470</v>
      </c>
      <c r="F20" s="1443">
        <v>4089</v>
      </c>
      <c r="G20" s="1461">
        <v>3690</v>
      </c>
      <c r="H20" s="1442">
        <v>720</v>
      </c>
    </row>
    <row r="21" spans="1:8" s="1404" customFormat="1">
      <c r="A21" s="1731" t="s">
        <v>73</v>
      </c>
      <c r="B21" s="1648"/>
      <c r="C21" s="1446">
        <v>2019</v>
      </c>
      <c r="D21" s="1441">
        <v>8664</v>
      </c>
      <c r="E21" s="1442">
        <v>1512</v>
      </c>
      <c r="F21" s="1443">
        <v>3831</v>
      </c>
      <c r="G21" s="1461">
        <v>3282</v>
      </c>
      <c r="H21" s="1442">
        <v>774</v>
      </c>
    </row>
    <row r="22" spans="1:8" s="1404" customFormat="1">
      <c r="A22" s="1731" t="s">
        <v>73</v>
      </c>
      <c r="B22" s="1648"/>
      <c r="C22" s="1446">
        <v>2020</v>
      </c>
      <c r="D22" s="1441">
        <v>8460</v>
      </c>
      <c r="E22" s="1442">
        <v>1569</v>
      </c>
      <c r="F22" s="1443">
        <v>3804</v>
      </c>
      <c r="G22" s="1461">
        <v>3282</v>
      </c>
      <c r="H22" s="1442">
        <v>582</v>
      </c>
    </row>
    <row r="23" spans="1:8" s="1404" customFormat="1">
      <c r="A23" s="1731" t="s">
        <v>73</v>
      </c>
      <c r="B23" s="1767"/>
      <c r="C23" s="1440">
        <v>2021</v>
      </c>
      <c r="D23" s="1441">
        <v>8538</v>
      </c>
      <c r="E23" s="1442">
        <v>1710</v>
      </c>
      <c r="F23" s="1443">
        <v>3984</v>
      </c>
      <c r="G23" s="1461">
        <v>2982</v>
      </c>
      <c r="H23" s="1442">
        <v>579</v>
      </c>
    </row>
    <row r="24" spans="1:8" s="1404" customFormat="1">
      <c r="A24" s="1731"/>
      <c r="B24" s="1648"/>
      <c r="C24" s="1440">
        <v>2022</v>
      </c>
      <c r="D24" s="1441">
        <v>8730</v>
      </c>
      <c r="E24" s="1442">
        <v>1830</v>
      </c>
      <c r="F24" s="1443">
        <v>4020</v>
      </c>
      <c r="G24" s="1461">
        <v>3006</v>
      </c>
      <c r="H24" s="1442">
        <v>492</v>
      </c>
    </row>
    <row r="25" spans="1:8" s="1404" customFormat="1">
      <c r="A25" s="1731"/>
      <c r="B25" s="1648"/>
      <c r="C25" s="1440">
        <v>2023</v>
      </c>
      <c r="D25" s="1441">
        <v>9084</v>
      </c>
      <c r="E25" s="1442">
        <v>1974</v>
      </c>
      <c r="F25" s="1443">
        <v>4773</v>
      </c>
      <c r="G25" s="1461">
        <v>2949</v>
      </c>
      <c r="H25" s="1442">
        <v>489</v>
      </c>
    </row>
    <row r="26" spans="1:8" s="1404" customFormat="1">
      <c r="A26" s="1731"/>
      <c r="B26" s="1648"/>
      <c r="C26" s="1654">
        <v>2024</v>
      </c>
      <c r="D26" s="1799">
        <v>9405</v>
      </c>
      <c r="E26" s="1800">
        <v>2166</v>
      </c>
      <c r="F26" s="1801">
        <v>4938</v>
      </c>
      <c r="G26" s="1802">
        <v>3090</v>
      </c>
      <c r="H26" s="1800">
        <v>447</v>
      </c>
    </row>
    <row r="27" spans="1:8" s="1404" customFormat="1">
      <c r="A27" s="1649" t="s">
        <v>129</v>
      </c>
      <c r="B27" s="1649"/>
      <c r="C27" s="1450">
        <v>2009</v>
      </c>
      <c r="D27" s="1451">
        <v>523</v>
      </c>
      <c r="E27" s="1452">
        <v>10</v>
      </c>
      <c r="F27" s="1453">
        <v>210</v>
      </c>
      <c r="G27" s="1704">
        <v>81</v>
      </c>
      <c r="H27" s="1735" t="s">
        <v>195</v>
      </c>
    </row>
    <row r="28" spans="1:8" s="1404" customFormat="1">
      <c r="A28" s="1732" t="s">
        <v>129</v>
      </c>
      <c r="B28" s="1650"/>
      <c r="C28" s="1444">
        <v>2010</v>
      </c>
      <c r="D28" s="1441">
        <v>561</v>
      </c>
      <c r="E28" s="1442">
        <v>12</v>
      </c>
      <c r="F28" s="1443">
        <v>225</v>
      </c>
      <c r="G28" s="1461">
        <v>150</v>
      </c>
      <c r="H28" s="1445" t="s">
        <v>195</v>
      </c>
    </row>
    <row r="29" spans="1:8" s="1404" customFormat="1">
      <c r="A29" s="1732" t="s">
        <v>129</v>
      </c>
      <c r="B29" s="1651"/>
      <c r="C29" s="1444">
        <v>2011</v>
      </c>
      <c r="D29" s="1441">
        <v>585</v>
      </c>
      <c r="E29" s="1442">
        <v>12</v>
      </c>
      <c r="F29" s="1443">
        <v>237</v>
      </c>
      <c r="G29" s="1461">
        <v>150</v>
      </c>
      <c r="H29" s="1442">
        <v>36</v>
      </c>
    </row>
    <row r="30" spans="1:8" s="1404" customFormat="1">
      <c r="A30" s="1732" t="s">
        <v>129</v>
      </c>
      <c r="B30" s="1651"/>
      <c r="C30" s="1444">
        <v>2012</v>
      </c>
      <c r="D30" s="1441">
        <v>588</v>
      </c>
      <c r="E30" s="1442">
        <v>9</v>
      </c>
      <c r="F30" s="1443">
        <v>219</v>
      </c>
      <c r="G30" s="1461">
        <v>186</v>
      </c>
      <c r="H30" s="1442">
        <v>33</v>
      </c>
    </row>
    <row r="31" spans="1:8" s="1404" customFormat="1">
      <c r="A31" s="1732" t="s">
        <v>129</v>
      </c>
      <c r="B31" s="1651"/>
      <c r="C31" s="1444">
        <v>2013</v>
      </c>
      <c r="D31" s="1441">
        <v>603</v>
      </c>
      <c r="E31" s="1442">
        <v>12</v>
      </c>
      <c r="F31" s="1443">
        <v>249</v>
      </c>
      <c r="G31" s="1461">
        <v>195</v>
      </c>
      <c r="H31" s="1442">
        <v>15</v>
      </c>
    </row>
    <row r="32" spans="1:8" s="1404" customFormat="1">
      <c r="A32" s="1732" t="s">
        <v>129</v>
      </c>
      <c r="B32" s="1651"/>
      <c r="C32" s="1444">
        <v>2014</v>
      </c>
      <c r="D32" s="1441">
        <v>645</v>
      </c>
      <c r="E32" s="1442">
        <v>12</v>
      </c>
      <c r="F32" s="1443">
        <v>282</v>
      </c>
      <c r="G32" s="1461">
        <v>207</v>
      </c>
      <c r="H32" s="1442">
        <v>30</v>
      </c>
    </row>
    <row r="33" spans="1:8" s="1404" customFormat="1">
      <c r="A33" s="1732" t="s">
        <v>129</v>
      </c>
      <c r="B33" s="1651"/>
      <c r="C33" s="1444">
        <v>2015</v>
      </c>
      <c r="D33" s="1441">
        <v>705</v>
      </c>
      <c r="E33" s="1442">
        <v>12</v>
      </c>
      <c r="F33" s="1443">
        <v>291</v>
      </c>
      <c r="G33" s="1461">
        <v>192</v>
      </c>
      <c r="H33" s="1442">
        <v>39</v>
      </c>
    </row>
    <row r="34" spans="1:8" s="1404" customFormat="1">
      <c r="A34" s="1732" t="s">
        <v>129</v>
      </c>
      <c r="B34" s="1651"/>
      <c r="C34" s="1444">
        <v>2016</v>
      </c>
      <c r="D34" s="1441">
        <v>699</v>
      </c>
      <c r="E34" s="1442">
        <v>18</v>
      </c>
      <c r="F34" s="1443">
        <v>270</v>
      </c>
      <c r="G34" s="1461">
        <v>210</v>
      </c>
      <c r="H34" s="1442">
        <v>48</v>
      </c>
    </row>
    <row r="35" spans="1:8" s="1404" customFormat="1">
      <c r="A35" s="1732" t="s">
        <v>129</v>
      </c>
      <c r="B35" s="1651"/>
      <c r="C35" s="1444">
        <v>2017</v>
      </c>
      <c r="D35" s="1441">
        <v>672</v>
      </c>
      <c r="E35" s="1442">
        <v>15</v>
      </c>
      <c r="F35" s="1443">
        <v>276</v>
      </c>
      <c r="G35" s="1461">
        <v>243</v>
      </c>
      <c r="H35" s="1442">
        <v>42</v>
      </c>
    </row>
    <row r="36" spans="1:8" s="1404" customFormat="1">
      <c r="A36" s="1732" t="s">
        <v>129</v>
      </c>
      <c r="B36" s="1651"/>
      <c r="C36" s="1444">
        <v>2018</v>
      </c>
      <c r="D36" s="1441">
        <v>672</v>
      </c>
      <c r="E36" s="1442">
        <v>24</v>
      </c>
      <c r="F36" s="1443">
        <v>279</v>
      </c>
      <c r="G36" s="1461">
        <v>219</v>
      </c>
      <c r="H36" s="1442">
        <v>48</v>
      </c>
    </row>
    <row r="37" spans="1:8" s="1404" customFormat="1">
      <c r="A37" s="1732" t="s">
        <v>129</v>
      </c>
      <c r="B37" s="1651"/>
      <c r="C37" s="1444">
        <v>2019</v>
      </c>
      <c r="D37" s="1441">
        <v>708</v>
      </c>
      <c r="E37" s="1442">
        <v>18</v>
      </c>
      <c r="F37" s="1443">
        <v>282</v>
      </c>
      <c r="G37" s="1461">
        <v>195</v>
      </c>
      <c r="H37" s="1442">
        <v>51</v>
      </c>
    </row>
    <row r="38" spans="1:8" s="1404" customFormat="1">
      <c r="A38" s="1732" t="s">
        <v>129</v>
      </c>
      <c r="B38" s="1651"/>
      <c r="C38" s="1444">
        <v>2020</v>
      </c>
      <c r="D38" s="1441">
        <v>699</v>
      </c>
      <c r="E38" s="1442">
        <v>18</v>
      </c>
      <c r="F38" s="1443">
        <v>291</v>
      </c>
      <c r="G38" s="1461">
        <v>210</v>
      </c>
      <c r="H38" s="1442">
        <v>33</v>
      </c>
    </row>
    <row r="39" spans="1:8" s="1404" customFormat="1">
      <c r="A39" s="1732" t="s">
        <v>129</v>
      </c>
      <c r="B39" s="1651"/>
      <c r="C39" s="1444">
        <v>2021</v>
      </c>
      <c r="D39" s="1441">
        <v>720</v>
      </c>
      <c r="E39" s="1442">
        <v>27</v>
      </c>
      <c r="F39" s="1443">
        <v>294</v>
      </c>
      <c r="G39" s="1461">
        <v>201</v>
      </c>
      <c r="H39" s="1442">
        <v>24</v>
      </c>
    </row>
    <row r="40" spans="1:8" s="1404" customFormat="1">
      <c r="A40" s="1732"/>
      <c r="B40" s="1651"/>
      <c r="C40" s="1444">
        <v>2022</v>
      </c>
      <c r="D40" s="1441">
        <v>777</v>
      </c>
      <c r="E40" s="1442">
        <v>30</v>
      </c>
      <c r="F40" s="1443">
        <v>330</v>
      </c>
      <c r="G40" s="1461">
        <v>195</v>
      </c>
      <c r="H40" s="1442">
        <v>48</v>
      </c>
    </row>
    <row r="41" spans="1:8" s="1404" customFormat="1">
      <c r="A41" s="1732"/>
      <c r="B41" s="1651"/>
      <c r="C41" s="1444">
        <v>2023</v>
      </c>
      <c r="D41" s="1441">
        <v>783</v>
      </c>
      <c r="E41" s="1442">
        <v>33</v>
      </c>
      <c r="F41" s="1443">
        <v>312</v>
      </c>
      <c r="G41" s="1461">
        <v>204</v>
      </c>
      <c r="H41" s="1442">
        <v>36</v>
      </c>
    </row>
    <row r="42" spans="1:8" s="1404" customFormat="1">
      <c r="A42" s="1732"/>
      <c r="B42" s="1651"/>
      <c r="C42" s="1491">
        <v>2024</v>
      </c>
      <c r="D42" s="1447">
        <v>804</v>
      </c>
      <c r="E42" s="1448">
        <v>36</v>
      </c>
      <c r="F42" s="1449">
        <v>336</v>
      </c>
      <c r="G42" s="1483">
        <v>231</v>
      </c>
      <c r="H42" s="1448">
        <v>30</v>
      </c>
    </row>
    <row r="43" spans="1:8" s="1404" customFormat="1">
      <c r="A43" s="1733" t="s">
        <v>485</v>
      </c>
      <c r="B43" s="1669">
        <v>1</v>
      </c>
      <c r="C43" s="1444">
        <v>2002</v>
      </c>
      <c r="D43" s="1441">
        <v>595</v>
      </c>
      <c r="E43" s="1442">
        <v>95</v>
      </c>
      <c r="F43" s="1443">
        <v>234</v>
      </c>
      <c r="G43" s="1461">
        <v>239</v>
      </c>
      <c r="H43" s="1442">
        <v>42</v>
      </c>
    </row>
    <row r="44" spans="1:8" s="1404" customFormat="1">
      <c r="A44" s="1731" t="s">
        <v>485</v>
      </c>
      <c r="B44" s="1440"/>
      <c r="C44" s="1444">
        <v>2003</v>
      </c>
      <c r="D44" s="1441">
        <v>657</v>
      </c>
      <c r="E44" s="1442">
        <v>100</v>
      </c>
      <c r="F44" s="1443">
        <v>305</v>
      </c>
      <c r="G44" s="1461">
        <v>237</v>
      </c>
      <c r="H44" s="1442">
        <v>35</v>
      </c>
    </row>
    <row r="45" spans="1:8" s="1404" customFormat="1">
      <c r="A45" s="1731" t="s">
        <v>485</v>
      </c>
      <c r="B45" s="1652"/>
      <c r="C45" s="1444">
        <v>2004</v>
      </c>
      <c r="D45" s="1441">
        <v>747</v>
      </c>
      <c r="E45" s="1442">
        <v>114</v>
      </c>
      <c r="F45" s="1443">
        <v>314</v>
      </c>
      <c r="G45" s="1461">
        <v>187</v>
      </c>
      <c r="H45" s="1442">
        <v>17</v>
      </c>
    </row>
    <row r="46" spans="1:8" s="1404" customFormat="1">
      <c r="A46" s="1731" t="s">
        <v>485</v>
      </c>
      <c r="B46" s="1652"/>
      <c r="C46" s="1444">
        <v>2005</v>
      </c>
      <c r="D46" s="1441">
        <v>815</v>
      </c>
      <c r="E46" s="1442">
        <v>136</v>
      </c>
      <c r="F46" s="1443">
        <v>338</v>
      </c>
      <c r="G46" s="1461">
        <v>254</v>
      </c>
      <c r="H46" s="1442">
        <v>58</v>
      </c>
    </row>
    <row r="47" spans="1:8" s="1404" customFormat="1">
      <c r="A47" s="1731" t="s">
        <v>485</v>
      </c>
      <c r="B47" s="1652"/>
      <c r="C47" s="1444">
        <v>2006</v>
      </c>
      <c r="D47" s="1441">
        <v>858</v>
      </c>
      <c r="E47" s="1442">
        <v>135</v>
      </c>
      <c r="F47" s="1443">
        <v>320</v>
      </c>
      <c r="G47" s="1461">
        <v>273</v>
      </c>
      <c r="H47" s="1442">
        <v>32</v>
      </c>
    </row>
    <row r="48" spans="1:8" s="1404" customFormat="1">
      <c r="A48" s="1731" t="s">
        <v>485</v>
      </c>
      <c r="B48" s="1652"/>
      <c r="C48" s="1444">
        <v>2007</v>
      </c>
      <c r="D48" s="1441">
        <v>818</v>
      </c>
      <c r="E48" s="1442">
        <v>142</v>
      </c>
      <c r="F48" s="1443">
        <v>334</v>
      </c>
      <c r="G48" s="1703" t="s">
        <v>195</v>
      </c>
      <c r="H48" s="1445" t="s">
        <v>195</v>
      </c>
    </row>
    <row r="49" spans="1:8" s="1404" customFormat="1">
      <c r="A49" s="1731" t="s">
        <v>485</v>
      </c>
      <c r="B49" s="1440"/>
      <c r="C49" s="1444">
        <v>2008</v>
      </c>
      <c r="D49" s="1441">
        <v>850</v>
      </c>
      <c r="E49" s="1442">
        <v>138</v>
      </c>
      <c r="F49" s="1443">
        <v>345</v>
      </c>
      <c r="G49" s="1461">
        <v>283</v>
      </c>
      <c r="H49" s="1445" t="s">
        <v>195</v>
      </c>
    </row>
    <row r="50" spans="1:8" s="1404" customFormat="1">
      <c r="A50" s="1731" t="s">
        <v>485</v>
      </c>
      <c r="B50" s="1440"/>
      <c r="C50" s="1444">
        <v>2009</v>
      </c>
      <c r="D50" s="1441">
        <v>899</v>
      </c>
      <c r="E50" s="1442">
        <v>150</v>
      </c>
      <c r="F50" s="1443">
        <v>372</v>
      </c>
      <c r="G50" s="1461">
        <v>190</v>
      </c>
      <c r="H50" s="1442">
        <v>15</v>
      </c>
    </row>
    <row r="51" spans="1:8" s="1404" customFormat="1">
      <c r="A51" s="1731" t="s">
        <v>485</v>
      </c>
      <c r="B51" s="1440"/>
      <c r="C51" s="1444">
        <v>2010</v>
      </c>
      <c r="D51" s="1441">
        <v>912</v>
      </c>
      <c r="E51" s="1442">
        <v>156</v>
      </c>
      <c r="F51" s="1443">
        <v>369</v>
      </c>
      <c r="G51" s="1461">
        <v>237</v>
      </c>
      <c r="H51" s="1442">
        <v>30</v>
      </c>
    </row>
    <row r="52" spans="1:8" s="1404" customFormat="1">
      <c r="A52" s="1731" t="s">
        <v>485</v>
      </c>
      <c r="B52" s="1440"/>
      <c r="C52" s="1444">
        <v>2011</v>
      </c>
      <c r="D52" s="1441">
        <v>876</v>
      </c>
      <c r="E52" s="1442">
        <v>186</v>
      </c>
      <c r="F52" s="1443">
        <v>315</v>
      </c>
      <c r="G52" s="1461">
        <v>234</v>
      </c>
      <c r="H52" s="1442">
        <v>48</v>
      </c>
    </row>
    <row r="53" spans="1:8" s="1404" customFormat="1">
      <c r="A53" s="1731" t="s">
        <v>485</v>
      </c>
      <c r="B53" s="1440"/>
      <c r="C53" s="1444">
        <v>2012</v>
      </c>
      <c r="D53" s="1441">
        <v>882</v>
      </c>
      <c r="E53" s="1442">
        <v>201</v>
      </c>
      <c r="F53" s="1443">
        <v>342</v>
      </c>
      <c r="G53" s="1461">
        <v>288</v>
      </c>
      <c r="H53" s="1442">
        <v>21</v>
      </c>
    </row>
    <row r="54" spans="1:8" s="1404" customFormat="1">
      <c r="A54" s="1731" t="s">
        <v>485</v>
      </c>
      <c r="B54" s="1440"/>
      <c r="C54" s="1444">
        <v>2013</v>
      </c>
      <c r="D54" s="1441">
        <v>858</v>
      </c>
      <c r="E54" s="1442">
        <v>201</v>
      </c>
      <c r="F54" s="1443">
        <v>333</v>
      </c>
      <c r="G54" s="1461">
        <v>309</v>
      </c>
      <c r="H54" s="1442">
        <v>27</v>
      </c>
    </row>
    <row r="55" spans="1:8" s="1404" customFormat="1">
      <c r="A55" s="1731" t="s">
        <v>485</v>
      </c>
      <c r="B55" s="1440"/>
      <c r="C55" s="1444">
        <v>2014</v>
      </c>
      <c r="D55" s="1441">
        <v>879</v>
      </c>
      <c r="E55" s="1442">
        <v>195</v>
      </c>
      <c r="F55" s="1443">
        <v>357</v>
      </c>
      <c r="G55" s="1461">
        <v>264</v>
      </c>
      <c r="H55" s="1442">
        <v>27</v>
      </c>
    </row>
    <row r="56" spans="1:8" s="1404" customFormat="1">
      <c r="A56" s="1731" t="s">
        <v>485</v>
      </c>
      <c r="B56" s="1440"/>
      <c r="C56" s="1444">
        <v>2015</v>
      </c>
      <c r="D56" s="1441">
        <v>909</v>
      </c>
      <c r="E56" s="1442">
        <v>198</v>
      </c>
      <c r="F56" s="1443">
        <v>363</v>
      </c>
      <c r="G56" s="1461">
        <v>285</v>
      </c>
      <c r="H56" s="1442">
        <v>24</v>
      </c>
    </row>
    <row r="57" spans="1:8" s="1404" customFormat="1">
      <c r="A57" s="1731" t="s">
        <v>485</v>
      </c>
      <c r="B57" s="1440"/>
      <c r="C57" s="1444">
        <v>2016</v>
      </c>
      <c r="D57" s="1441">
        <v>906</v>
      </c>
      <c r="E57" s="1442">
        <v>192</v>
      </c>
      <c r="F57" s="1443">
        <v>372</v>
      </c>
      <c r="G57" s="1461">
        <v>246</v>
      </c>
      <c r="H57" s="1442">
        <v>30</v>
      </c>
    </row>
    <row r="58" spans="1:8" s="1404" customFormat="1">
      <c r="A58" s="1731" t="s">
        <v>485</v>
      </c>
      <c r="B58" s="1440"/>
      <c r="C58" s="1444">
        <v>2017</v>
      </c>
      <c r="D58" s="1441">
        <v>957</v>
      </c>
      <c r="E58" s="1442">
        <v>237</v>
      </c>
      <c r="F58" s="1443">
        <v>360</v>
      </c>
      <c r="G58" s="1461">
        <v>300</v>
      </c>
      <c r="H58" s="1442">
        <v>33</v>
      </c>
    </row>
    <row r="59" spans="1:8" s="1404" customFormat="1">
      <c r="A59" s="1731" t="s">
        <v>485</v>
      </c>
      <c r="B59" s="1440"/>
      <c r="C59" s="1444">
        <v>2018</v>
      </c>
      <c r="D59" s="1441">
        <v>816</v>
      </c>
      <c r="E59" s="1442">
        <v>189</v>
      </c>
      <c r="F59" s="1443">
        <v>324</v>
      </c>
      <c r="G59" s="1461">
        <v>315</v>
      </c>
      <c r="H59" s="1442">
        <v>30</v>
      </c>
    </row>
    <row r="60" spans="1:8" s="1404" customFormat="1">
      <c r="A60" s="1731" t="s">
        <v>485</v>
      </c>
      <c r="B60" s="1440"/>
      <c r="C60" s="1444">
        <v>2019</v>
      </c>
      <c r="D60" s="1441">
        <v>786</v>
      </c>
      <c r="E60" s="1442">
        <v>201</v>
      </c>
      <c r="F60" s="1443">
        <v>297</v>
      </c>
      <c r="G60" s="1461">
        <v>273</v>
      </c>
      <c r="H60" s="1442">
        <v>21</v>
      </c>
    </row>
    <row r="61" spans="1:8" s="1404" customFormat="1">
      <c r="A61" s="1731" t="s">
        <v>485</v>
      </c>
      <c r="B61" s="1440"/>
      <c r="C61" s="1444">
        <v>2020</v>
      </c>
      <c r="D61" s="1441">
        <v>792</v>
      </c>
      <c r="E61" s="1442">
        <v>210</v>
      </c>
      <c r="F61" s="1443">
        <v>318</v>
      </c>
      <c r="G61" s="1461">
        <v>249</v>
      </c>
      <c r="H61" s="1442">
        <v>21</v>
      </c>
    </row>
    <row r="62" spans="1:8" s="1404" customFormat="1">
      <c r="A62" s="1731"/>
      <c r="B62" s="1440"/>
      <c r="C62" s="1472">
        <v>2021</v>
      </c>
      <c r="D62" s="1441">
        <v>789</v>
      </c>
      <c r="E62" s="1442">
        <v>216</v>
      </c>
      <c r="F62" s="1443">
        <v>318</v>
      </c>
      <c r="G62" s="1461">
        <v>273</v>
      </c>
      <c r="H62" s="1442">
        <v>21</v>
      </c>
    </row>
    <row r="63" spans="1:8" s="1404" customFormat="1">
      <c r="A63" s="1731"/>
      <c r="B63" s="1440"/>
      <c r="C63" s="1472">
        <v>2022</v>
      </c>
      <c r="D63" s="1441">
        <v>747</v>
      </c>
      <c r="E63" s="1442">
        <v>228</v>
      </c>
      <c r="F63" s="1443">
        <v>267</v>
      </c>
      <c r="G63" s="1461">
        <v>240</v>
      </c>
      <c r="H63" s="1442">
        <v>9</v>
      </c>
    </row>
    <row r="64" spans="1:8" s="1404" customFormat="1">
      <c r="A64" s="1731"/>
      <c r="B64" s="1440"/>
      <c r="C64" s="1472">
        <v>2023</v>
      </c>
      <c r="D64" s="1441">
        <v>684</v>
      </c>
      <c r="E64" s="1442">
        <v>207</v>
      </c>
      <c r="F64" s="1443">
        <v>261</v>
      </c>
      <c r="G64" s="1461">
        <v>276</v>
      </c>
      <c r="H64" s="1442">
        <v>21</v>
      </c>
    </row>
    <row r="65" spans="1:8" s="1404" customFormat="1">
      <c r="A65" s="1734" t="s">
        <v>485</v>
      </c>
      <c r="B65" s="1653"/>
      <c r="C65" s="1491">
        <v>2024</v>
      </c>
      <c r="D65" s="1447">
        <v>624</v>
      </c>
      <c r="E65" s="1448">
        <v>180</v>
      </c>
      <c r="F65" s="1449">
        <v>219</v>
      </c>
      <c r="G65" s="1483">
        <v>228</v>
      </c>
      <c r="H65" s="1448">
        <v>9</v>
      </c>
    </row>
    <row r="66" spans="1:8" s="1404" customFormat="1">
      <c r="A66" s="1647" t="s">
        <v>484</v>
      </c>
      <c r="B66" s="1668">
        <v>1</v>
      </c>
      <c r="C66" s="1444">
        <v>2004</v>
      </c>
      <c r="D66" s="1441">
        <v>292</v>
      </c>
      <c r="E66" s="1442">
        <v>31</v>
      </c>
      <c r="F66" s="1443">
        <v>128</v>
      </c>
      <c r="G66" s="1461">
        <v>68</v>
      </c>
      <c r="H66" s="1442">
        <v>0</v>
      </c>
    </row>
    <row r="67" spans="1:8" s="1404" customFormat="1">
      <c r="A67" s="1731" t="s">
        <v>484</v>
      </c>
      <c r="B67" s="1654"/>
      <c r="C67" s="1444">
        <v>2005</v>
      </c>
      <c r="D67" s="1441">
        <v>353</v>
      </c>
      <c r="E67" s="1442">
        <v>38</v>
      </c>
      <c r="F67" s="1443">
        <v>151</v>
      </c>
      <c r="G67" s="1461">
        <v>67</v>
      </c>
      <c r="H67" s="1442">
        <v>0</v>
      </c>
    </row>
    <row r="68" spans="1:8" s="1404" customFormat="1">
      <c r="A68" s="1731" t="s">
        <v>484</v>
      </c>
      <c r="B68" s="1652"/>
      <c r="C68" s="1444">
        <v>2006</v>
      </c>
      <c r="D68" s="1441">
        <v>415</v>
      </c>
      <c r="E68" s="1442">
        <v>31</v>
      </c>
      <c r="F68" s="1443">
        <v>173</v>
      </c>
      <c r="G68" s="1461">
        <v>91</v>
      </c>
      <c r="H68" s="1442">
        <v>0</v>
      </c>
    </row>
    <row r="69" spans="1:8" s="1404" customFormat="1">
      <c r="A69" s="1731" t="s">
        <v>484</v>
      </c>
      <c r="B69" s="1440"/>
      <c r="C69" s="1444">
        <v>2007</v>
      </c>
      <c r="D69" s="1441">
        <v>459</v>
      </c>
      <c r="E69" s="1442">
        <v>40</v>
      </c>
      <c r="F69" s="1443">
        <v>175</v>
      </c>
      <c r="G69" s="1703" t="s">
        <v>195</v>
      </c>
      <c r="H69" s="1442">
        <v>0</v>
      </c>
    </row>
    <row r="70" spans="1:8" s="1404" customFormat="1">
      <c r="A70" s="1731" t="s">
        <v>484</v>
      </c>
      <c r="B70" s="1440"/>
      <c r="C70" s="1444">
        <v>2008</v>
      </c>
      <c r="D70" s="1441">
        <v>435</v>
      </c>
      <c r="E70" s="1442">
        <v>49</v>
      </c>
      <c r="F70" s="1443">
        <v>149</v>
      </c>
      <c r="G70" s="1461">
        <v>113</v>
      </c>
      <c r="H70" s="1442">
        <v>0</v>
      </c>
    </row>
    <row r="71" spans="1:8" s="1404" customFormat="1">
      <c r="A71" s="1731" t="s">
        <v>484</v>
      </c>
      <c r="B71" s="1440"/>
      <c r="C71" s="1444">
        <v>2009</v>
      </c>
      <c r="D71" s="1441">
        <v>441</v>
      </c>
      <c r="E71" s="1442">
        <v>47</v>
      </c>
      <c r="F71" s="1443">
        <v>170</v>
      </c>
      <c r="G71" s="1461">
        <v>98</v>
      </c>
      <c r="H71" s="1442">
        <v>0</v>
      </c>
    </row>
    <row r="72" spans="1:8" s="1404" customFormat="1">
      <c r="A72" s="1731" t="s">
        <v>484</v>
      </c>
      <c r="B72" s="1440"/>
      <c r="C72" s="1444">
        <v>2010</v>
      </c>
      <c r="D72" s="1441">
        <v>408</v>
      </c>
      <c r="E72" s="1442">
        <v>45</v>
      </c>
      <c r="F72" s="1443">
        <v>135</v>
      </c>
      <c r="G72" s="1461">
        <v>129</v>
      </c>
      <c r="H72" s="1442">
        <v>0</v>
      </c>
    </row>
    <row r="73" spans="1:8" s="1404" customFormat="1">
      <c r="A73" s="1731" t="s">
        <v>484</v>
      </c>
      <c r="B73" s="1440"/>
      <c r="C73" s="1444">
        <v>2011</v>
      </c>
      <c r="D73" s="1441">
        <v>423</v>
      </c>
      <c r="E73" s="1442">
        <v>33</v>
      </c>
      <c r="F73" s="1443">
        <v>162</v>
      </c>
      <c r="G73" s="1461">
        <v>111</v>
      </c>
      <c r="H73" s="1442">
        <v>0</v>
      </c>
    </row>
    <row r="74" spans="1:8" s="1404" customFormat="1">
      <c r="A74" s="1731" t="s">
        <v>484</v>
      </c>
      <c r="B74" s="1440"/>
      <c r="C74" s="1444">
        <v>2012</v>
      </c>
      <c r="D74" s="1441">
        <v>399</v>
      </c>
      <c r="E74" s="1442">
        <v>27</v>
      </c>
      <c r="F74" s="1443">
        <v>147</v>
      </c>
      <c r="G74" s="1461">
        <v>120</v>
      </c>
      <c r="H74" s="1442">
        <v>0</v>
      </c>
    </row>
    <row r="75" spans="1:8" s="1404" customFormat="1">
      <c r="A75" s="1731" t="s">
        <v>484</v>
      </c>
      <c r="B75" s="1440"/>
      <c r="C75" s="1444">
        <v>2013</v>
      </c>
      <c r="D75" s="1441">
        <v>423</v>
      </c>
      <c r="E75" s="1442">
        <v>33</v>
      </c>
      <c r="F75" s="1443">
        <v>168</v>
      </c>
      <c r="G75" s="1461">
        <v>111</v>
      </c>
      <c r="H75" s="1442">
        <v>0</v>
      </c>
    </row>
    <row r="76" spans="1:8" s="1404" customFormat="1">
      <c r="A76" s="1731" t="s">
        <v>484</v>
      </c>
      <c r="B76" s="1440"/>
      <c r="C76" s="1444">
        <v>2014</v>
      </c>
      <c r="D76" s="1441">
        <v>426</v>
      </c>
      <c r="E76" s="1442">
        <v>42</v>
      </c>
      <c r="F76" s="1443">
        <v>162</v>
      </c>
      <c r="G76" s="1461">
        <v>111</v>
      </c>
      <c r="H76" s="1442">
        <v>0</v>
      </c>
    </row>
    <row r="77" spans="1:8" s="1404" customFormat="1">
      <c r="A77" s="1731" t="s">
        <v>484</v>
      </c>
      <c r="B77" s="1440"/>
      <c r="C77" s="1444">
        <v>2015</v>
      </c>
      <c r="D77" s="1441">
        <v>438</v>
      </c>
      <c r="E77" s="1442">
        <v>51</v>
      </c>
      <c r="F77" s="1443">
        <v>168</v>
      </c>
      <c r="G77" s="1461">
        <v>129</v>
      </c>
      <c r="H77" s="1442">
        <v>0</v>
      </c>
    </row>
    <row r="78" spans="1:8" s="1404" customFormat="1">
      <c r="A78" s="1731" t="s">
        <v>484</v>
      </c>
      <c r="B78" s="1440"/>
      <c r="C78" s="1444">
        <v>2016</v>
      </c>
      <c r="D78" s="1441">
        <v>462</v>
      </c>
      <c r="E78" s="1442">
        <v>63</v>
      </c>
      <c r="F78" s="1443">
        <v>186</v>
      </c>
      <c r="G78" s="1461">
        <v>114</v>
      </c>
      <c r="H78" s="1442">
        <v>0</v>
      </c>
    </row>
    <row r="79" spans="1:8" s="1404" customFormat="1">
      <c r="A79" s="1731" t="s">
        <v>484</v>
      </c>
      <c r="B79" s="1440"/>
      <c r="C79" s="1444">
        <v>2017</v>
      </c>
      <c r="D79" s="1441">
        <v>558</v>
      </c>
      <c r="E79" s="1442">
        <v>63</v>
      </c>
      <c r="F79" s="1443">
        <v>201</v>
      </c>
      <c r="G79" s="1461">
        <v>183</v>
      </c>
      <c r="H79" s="1442">
        <v>0</v>
      </c>
    </row>
    <row r="80" spans="1:8" s="1404" customFormat="1">
      <c r="A80" s="1731" t="s">
        <v>484</v>
      </c>
      <c r="B80" s="1440"/>
      <c r="C80" s="1444">
        <v>2018</v>
      </c>
      <c r="D80" s="1441">
        <v>432</v>
      </c>
      <c r="E80" s="1442">
        <v>57</v>
      </c>
      <c r="F80" s="1443">
        <v>159</v>
      </c>
      <c r="G80" s="1461">
        <v>135</v>
      </c>
      <c r="H80" s="1442">
        <v>0</v>
      </c>
    </row>
    <row r="81" spans="1:8" s="1404" customFormat="1">
      <c r="A81" s="1731" t="s">
        <v>484</v>
      </c>
      <c r="B81" s="1440"/>
      <c r="C81" s="1444">
        <v>2019</v>
      </c>
      <c r="D81" s="1441">
        <v>423</v>
      </c>
      <c r="E81" s="1442">
        <v>54</v>
      </c>
      <c r="F81" s="1443">
        <v>168</v>
      </c>
      <c r="G81" s="1461">
        <v>135</v>
      </c>
      <c r="H81" s="1442">
        <v>0</v>
      </c>
    </row>
    <row r="82" spans="1:8" s="1404" customFormat="1">
      <c r="A82" s="1731" t="s">
        <v>484</v>
      </c>
      <c r="B82" s="1440"/>
      <c r="C82" s="1444">
        <v>2020</v>
      </c>
      <c r="D82" s="1441">
        <v>417</v>
      </c>
      <c r="E82" s="1442">
        <v>57</v>
      </c>
      <c r="F82" s="1443">
        <v>159</v>
      </c>
      <c r="G82" s="1461">
        <v>126</v>
      </c>
      <c r="H82" s="1442">
        <v>0</v>
      </c>
    </row>
    <row r="83" spans="1:8" s="1404" customFormat="1">
      <c r="A83" s="1731"/>
      <c r="B83" s="1440"/>
      <c r="C83" s="1472">
        <v>2021</v>
      </c>
      <c r="D83" s="1441">
        <v>426</v>
      </c>
      <c r="E83" s="1442">
        <v>63</v>
      </c>
      <c r="F83" s="1443">
        <v>171</v>
      </c>
      <c r="G83" s="1461">
        <v>126</v>
      </c>
      <c r="H83" s="1442">
        <v>0</v>
      </c>
    </row>
    <row r="84" spans="1:8" s="1404" customFormat="1">
      <c r="A84" s="1731"/>
      <c r="B84" s="1440"/>
      <c r="C84" s="1472">
        <v>2022</v>
      </c>
      <c r="D84" s="1441">
        <v>408</v>
      </c>
      <c r="E84" s="1442">
        <v>51</v>
      </c>
      <c r="F84" s="1443">
        <v>150</v>
      </c>
      <c r="G84" s="1461">
        <v>126</v>
      </c>
      <c r="H84" s="1442">
        <v>0</v>
      </c>
    </row>
    <row r="85" spans="1:8" s="1404" customFormat="1">
      <c r="A85" s="1731"/>
      <c r="B85" s="1440"/>
      <c r="C85" s="1472">
        <v>2023</v>
      </c>
      <c r="D85" s="1441">
        <v>405</v>
      </c>
      <c r="E85" s="1442">
        <v>57</v>
      </c>
      <c r="F85" s="1443">
        <v>150</v>
      </c>
      <c r="G85" s="1461">
        <v>123</v>
      </c>
      <c r="H85" s="1442">
        <v>0</v>
      </c>
    </row>
    <row r="86" spans="1:8" s="1404" customFormat="1">
      <c r="A86" s="1734" t="s">
        <v>484</v>
      </c>
      <c r="B86" s="1653"/>
      <c r="C86" s="1481">
        <v>2024</v>
      </c>
      <c r="D86" s="1447">
        <v>402</v>
      </c>
      <c r="E86" s="1448">
        <v>51</v>
      </c>
      <c r="F86" s="1449">
        <v>162</v>
      </c>
      <c r="G86" s="1483">
        <v>141</v>
      </c>
      <c r="H86" s="1815">
        <v>0</v>
      </c>
    </row>
    <row r="87" spans="1:8" s="1404" customFormat="1">
      <c r="A87" s="1647" t="s">
        <v>76</v>
      </c>
      <c r="B87" s="1440"/>
      <c r="C87" s="1444">
        <v>2002</v>
      </c>
      <c r="D87" s="1441">
        <v>1355</v>
      </c>
      <c r="E87" s="1442">
        <v>655</v>
      </c>
      <c r="F87" s="1443">
        <v>525</v>
      </c>
      <c r="G87" s="1461">
        <v>318</v>
      </c>
      <c r="H87" s="1442">
        <v>70</v>
      </c>
    </row>
    <row r="88" spans="1:8" s="1404" customFormat="1">
      <c r="A88" s="1731" t="s">
        <v>76</v>
      </c>
      <c r="B88" s="1440"/>
      <c r="C88" s="1444">
        <v>2003</v>
      </c>
      <c r="D88" s="1441">
        <v>1422</v>
      </c>
      <c r="E88" s="1442">
        <v>676</v>
      </c>
      <c r="F88" s="1443">
        <v>582</v>
      </c>
      <c r="G88" s="1461">
        <v>437</v>
      </c>
      <c r="H88" s="1442">
        <v>34</v>
      </c>
    </row>
    <row r="89" spans="1:8" s="1404" customFormat="1">
      <c r="A89" s="1731" t="s">
        <v>76</v>
      </c>
      <c r="B89" s="1652"/>
      <c r="C89" s="1444">
        <v>2004</v>
      </c>
      <c r="D89" s="1441">
        <v>1590</v>
      </c>
      <c r="E89" s="1442">
        <v>722</v>
      </c>
      <c r="F89" s="1443">
        <v>585</v>
      </c>
      <c r="G89" s="1461">
        <v>291</v>
      </c>
      <c r="H89" s="1442">
        <v>52</v>
      </c>
    </row>
    <row r="90" spans="1:8" s="1404" customFormat="1">
      <c r="A90" s="1731" t="s">
        <v>76</v>
      </c>
      <c r="B90" s="1652"/>
      <c r="C90" s="1444">
        <v>2005</v>
      </c>
      <c r="D90" s="1441">
        <v>1616</v>
      </c>
      <c r="E90" s="1442">
        <v>739</v>
      </c>
      <c r="F90" s="1443">
        <v>575</v>
      </c>
      <c r="G90" s="1461">
        <v>431</v>
      </c>
      <c r="H90" s="1442">
        <v>7</v>
      </c>
    </row>
    <row r="91" spans="1:8" s="1404" customFormat="1">
      <c r="A91" s="1731" t="s">
        <v>76</v>
      </c>
      <c r="B91" s="1652"/>
      <c r="C91" s="1444">
        <v>2006</v>
      </c>
      <c r="D91" s="1441">
        <v>1716</v>
      </c>
      <c r="E91" s="1442">
        <v>746</v>
      </c>
      <c r="F91" s="1443">
        <v>673</v>
      </c>
      <c r="G91" s="1461">
        <v>459</v>
      </c>
      <c r="H91" s="1442">
        <v>23</v>
      </c>
    </row>
    <row r="92" spans="1:8" s="1404" customFormat="1">
      <c r="A92" s="1731" t="s">
        <v>76</v>
      </c>
      <c r="B92" s="1652"/>
      <c r="C92" s="1454">
        <v>2007</v>
      </c>
      <c r="D92" s="1455">
        <v>1759</v>
      </c>
      <c r="E92" s="1456">
        <v>820</v>
      </c>
      <c r="F92" s="1457">
        <v>627</v>
      </c>
      <c r="G92" s="1703" t="s">
        <v>195</v>
      </c>
      <c r="H92" s="1445" t="s">
        <v>195</v>
      </c>
    </row>
    <row r="93" spans="1:8" s="1404" customFormat="1">
      <c r="A93" s="1731" t="s">
        <v>76</v>
      </c>
      <c r="B93" s="1473"/>
      <c r="C93" s="1458">
        <v>2008</v>
      </c>
      <c r="D93" s="1455">
        <v>1718</v>
      </c>
      <c r="E93" s="1456">
        <v>809</v>
      </c>
      <c r="F93" s="1457">
        <v>598</v>
      </c>
      <c r="G93" s="1461">
        <v>444</v>
      </c>
      <c r="H93" s="1445" t="s">
        <v>195</v>
      </c>
    </row>
    <row r="94" spans="1:8" s="1404" customFormat="1">
      <c r="A94" s="1731" t="s">
        <v>76</v>
      </c>
      <c r="B94" s="1473"/>
      <c r="C94" s="1458">
        <v>2009</v>
      </c>
      <c r="D94" s="1455">
        <v>1522</v>
      </c>
      <c r="E94" s="1456">
        <v>745</v>
      </c>
      <c r="F94" s="1457">
        <v>508</v>
      </c>
      <c r="G94" s="1461">
        <v>389</v>
      </c>
      <c r="H94" s="1445" t="s">
        <v>195</v>
      </c>
    </row>
    <row r="95" spans="1:8" s="1404" customFormat="1">
      <c r="A95" s="1731" t="s">
        <v>76</v>
      </c>
      <c r="B95" s="1473"/>
      <c r="C95" s="1458">
        <v>2010</v>
      </c>
      <c r="D95" s="1455">
        <v>1359</v>
      </c>
      <c r="E95" s="1456">
        <v>681</v>
      </c>
      <c r="F95" s="1457">
        <v>456</v>
      </c>
      <c r="G95" s="1461">
        <v>456</v>
      </c>
      <c r="H95" s="1442">
        <v>45</v>
      </c>
    </row>
    <row r="96" spans="1:8" s="1404" customFormat="1">
      <c r="A96" s="1731" t="s">
        <v>76</v>
      </c>
      <c r="B96" s="1473"/>
      <c r="C96" s="1458">
        <v>2011</v>
      </c>
      <c r="D96" s="1455">
        <v>1125</v>
      </c>
      <c r="E96" s="1456">
        <v>576</v>
      </c>
      <c r="F96" s="1457">
        <v>393</v>
      </c>
      <c r="G96" s="1461">
        <v>453</v>
      </c>
      <c r="H96" s="1442">
        <v>12</v>
      </c>
    </row>
    <row r="97" spans="1:8" s="1404" customFormat="1">
      <c r="A97" s="1731" t="s">
        <v>76</v>
      </c>
      <c r="B97" s="1473"/>
      <c r="C97" s="1458">
        <v>2012</v>
      </c>
      <c r="D97" s="1455">
        <v>987</v>
      </c>
      <c r="E97" s="1456">
        <v>489</v>
      </c>
      <c r="F97" s="1457">
        <v>399</v>
      </c>
      <c r="G97" s="1461">
        <v>366</v>
      </c>
      <c r="H97" s="1442">
        <v>3</v>
      </c>
    </row>
    <row r="98" spans="1:8" s="1404" customFormat="1">
      <c r="A98" s="1731" t="s">
        <v>76</v>
      </c>
      <c r="B98" s="1473"/>
      <c r="C98" s="1458">
        <v>2013</v>
      </c>
      <c r="D98" s="1455">
        <v>930</v>
      </c>
      <c r="E98" s="1456">
        <v>435</v>
      </c>
      <c r="F98" s="1457">
        <v>393</v>
      </c>
      <c r="G98" s="1461">
        <v>285</v>
      </c>
      <c r="H98" s="1442">
        <v>18</v>
      </c>
    </row>
    <row r="99" spans="1:8" s="1404" customFormat="1">
      <c r="A99" s="1731" t="s">
        <v>76</v>
      </c>
      <c r="B99" s="1473"/>
      <c r="C99" s="1458">
        <v>2014</v>
      </c>
      <c r="D99" s="1455">
        <v>930</v>
      </c>
      <c r="E99" s="1456">
        <v>447</v>
      </c>
      <c r="F99" s="1457">
        <v>393</v>
      </c>
      <c r="G99" s="1461">
        <v>249</v>
      </c>
      <c r="H99" s="1442">
        <v>18</v>
      </c>
    </row>
    <row r="100" spans="1:8" s="1404" customFormat="1">
      <c r="A100" s="1731" t="s">
        <v>76</v>
      </c>
      <c r="B100" s="1473"/>
      <c r="C100" s="1458">
        <v>2015</v>
      </c>
      <c r="D100" s="1455">
        <v>930</v>
      </c>
      <c r="E100" s="1456">
        <v>492</v>
      </c>
      <c r="F100" s="1457">
        <v>402</v>
      </c>
      <c r="G100" s="1461">
        <v>243</v>
      </c>
      <c r="H100" s="1442">
        <v>42</v>
      </c>
    </row>
    <row r="101" spans="1:8" s="1404" customFormat="1">
      <c r="A101" s="1731" t="s">
        <v>76</v>
      </c>
      <c r="B101" s="1473"/>
      <c r="C101" s="1458">
        <v>2016</v>
      </c>
      <c r="D101" s="1455">
        <v>837</v>
      </c>
      <c r="E101" s="1456">
        <v>447</v>
      </c>
      <c r="F101" s="1457">
        <v>327</v>
      </c>
      <c r="G101" s="1461">
        <v>234</v>
      </c>
      <c r="H101" s="1442">
        <v>18</v>
      </c>
    </row>
    <row r="102" spans="1:8" s="1404" customFormat="1">
      <c r="A102" s="1731" t="s">
        <v>76</v>
      </c>
      <c r="B102" s="1473"/>
      <c r="C102" s="1458">
        <v>2017</v>
      </c>
      <c r="D102" s="1455">
        <v>810</v>
      </c>
      <c r="E102" s="1456">
        <v>423</v>
      </c>
      <c r="F102" s="1457">
        <v>336</v>
      </c>
      <c r="G102" s="1461">
        <v>231</v>
      </c>
      <c r="H102" s="1442">
        <v>9</v>
      </c>
    </row>
    <row r="103" spans="1:8" s="1404" customFormat="1">
      <c r="A103" s="1731" t="s">
        <v>76</v>
      </c>
      <c r="B103" s="1473"/>
      <c r="C103" s="1458">
        <v>2018</v>
      </c>
      <c r="D103" s="1455">
        <v>819</v>
      </c>
      <c r="E103" s="1456">
        <v>396</v>
      </c>
      <c r="F103" s="1457">
        <v>357</v>
      </c>
      <c r="G103" s="1461">
        <v>237</v>
      </c>
      <c r="H103" s="1442">
        <v>0</v>
      </c>
    </row>
    <row r="104" spans="1:8" s="1404" customFormat="1">
      <c r="A104" s="1731" t="s">
        <v>76</v>
      </c>
      <c r="B104" s="1473"/>
      <c r="C104" s="1458">
        <v>2019</v>
      </c>
      <c r="D104" s="1455">
        <v>801</v>
      </c>
      <c r="E104" s="1456">
        <v>408</v>
      </c>
      <c r="F104" s="1457">
        <v>336</v>
      </c>
      <c r="G104" s="1461">
        <v>201</v>
      </c>
      <c r="H104" s="1442">
        <v>48</v>
      </c>
    </row>
    <row r="105" spans="1:8" s="1404" customFormat="1">
      <c r="A105" s="1731" t="s">
        <v>76</v>
      </c>
      <c r="B105" s="1473"/>
      <c r="C105" s="1458">
        <v>2020</v>
      </c>
      <c r="D105" s="1455">
        <v>801</v>
      </c>
      <c r="E105" s="1456">
        <v>393</v>
      </c>
      <c r="F105" s="1457">
        <v>348</v>
      </c>
      <c r="G105" s="1461">
        <v>216</v>
      </c>
      <c r="H105" s="1442">
        <v>9</v>
      </c>
    </row>
    <row r="106" spans="1:8" s="1404" customFormat="1">
      <c r="A106" s="1731"/>
      <c r="B106" s="1473"/>
      <c r="C106" s="1458">
        <v>2021</v>
      </c>
      <c r="D106" s="1455">
        <v>792</v>
      </c>
      <c r="E106" s="1456">
        <v>405</v>
      </c>
      <c r="F106" s="1457">
        <v>327</v>
      </c>
      <c r="G106" s="1461">
        <v>201</v>
      </c>
      <c r="H106" s="1442">
        <v>15</v>
      </c>
    </row>
    <row r="107" spans="1:8" s="1404" customFormat="1">
      <c r="A107" s="1731"/>
      <c r="B107" s="1473"/>
      <c r="C107" s="1458">
        <v>2022</v>
      </c>
      <c r="D107" s="1455">
        <v>753</v>
      </c>
      <c r="E107" s="1456">
        <v>414</v>
      </c>
      <c r="F107" s="1457">
        <v>282</v>
      </c>
      <c r="G107" s="1461">
        <v>183</v>
      </c>
      <c r="H107" s="1442">
        <v>18</v>
      </c>
    </row>
    <row r="108" spans="1:8" s="1404" customFormat="1">
      <c r="A108" s="1731"/>
      <c r="B108" s="1473"/>
      <c r="C108" s="1458">
        <v>2023</v>
      </c>
      <c r="D108" s="1455">
        <v>726</v>
      </c>
      <c r="E108" s="1456">
        <v>393</v>
      </c>
      <c r="F108" s="1457">
        <v>306</v>
      </c>
      <c r="G108" s="1461">
        <v>198</v>
      </c>
      <c r="H108" s="1442">
        <v>15</v>
      </c>
    </row>
    <row r="109" spans="1:8" s="1404" customFormat="1">
      <c r="A109" s="1734" t="s">
        <v>76</v>
      </c>
      <c r="B109" s="1420"/>
      <c r="C109" s="1459">
        <v>2024</v>
      </c>
      <c r="D109" s="1803">
        <v>678</v>
      </c>
      <c r="E109" s="1804">
        <v>360</v>
      </c>
      <c r="F109" s="1946">
        <v>243</v>
      </c>
      <c r="G109" s="1483">
        <v>162</v>
      </c>
      <c r="H109" s="1815">
        <v>0</v>
      </c>
    </row>
    <row r="110" spans="1:8" s="1404" customFormat="1">
      <c r="A110" s="1647" t="s">
        <v>79</v>
      </c>
      <c r="B110" s="1440"/>
      <c r="C110" s="1444">
        <v>2002</v>
      </c>
      <c r="D110" s="1441">
        <v>287</v>
      </c>
      <c r="E110" s="1442">
        <v>10</v>
      </c>
      <c r="F110" s="1443">
        <v>115</v>
      </c>
      <c r="G110" s="1461">
        <v>90</v>
      </c>
      <c r="H110" s="1442">
        <v>0</v>
      </c>
    </row>
    <row r="111" spans="1:8" s="1404" customFormat="1">
      <c r="A111" s="1731" t="s">
        <v>79</v>
      </c>
      <c r="B111" s="1440"/>
      <c r="C111" s="1444">
        <v>2003</v>
      </c>
      <c r="D111" s="1441">
        <v>288</v>
      </c>
      <c r="E111" s="1442">
        <v>12</v>
      </c>
      <c r="F111" s="1443">
        <v>117</v>
      </c>
      <c r="G111" s="1461">
        <v>80</v>
      </c>
      <c r="H111" s="1442">
        <v>31</v>
      </c>
    </row>
    <row r="112" spans="1:8" s="1404" customFormat="1">
      <c r="A112" s="1731" t="s">
        <v>79</v>
      </c>
      <c r="B112" s="1652"/>
      <c r="C112" s="1444">
        <v>2004</v>
      </c>
      <c r="D112" s="1441">
        <v>314</v>
      </c>
      <c r="E112" s="1442">
        <v>9</v>
      </c>
      <c r="F112" s="1443">
        <v>123</v>
      </c>
      <c r="G112" s="1461">
        <v>103</v>
      </c>
      <c r="H112" s="1442">
        <v>25</v>
      </c>
    </row>
    <row r="113" spans="1:8" s="1404" customFormat="1">
      <c r="A113" s="1731" t="s">
        <v>79</v>
      </c>
      <c r="B113" s="1652"/>
      <c r="C113" s="1444">
        <v>2005</v>
      </c>
      <c r="D113" s="1441">
        <v>302</v>
      </c>
      <c r="E113" s="1442">
        <v>9</v>
      </c>
      <c r="F113" s="1443">
        <v>114</v>
      </c>
      <c r="G113" s="1461">
        <v>110</v>
      </c>
      <c r="H113" s="1442">
        <v>8</v>
      </c>
    </row>
    <row r="114" spans="1:8" s="1404" customFormat="1">
      <c r="A114" s="1731" t="s">
        <v>79</v>
      </c>
      <c r="B114" s="1652"/>
      <c r="C114" s="1444">
        <v>2006</v>
      </c>
      <c r="D114" s="1441">
        <v>329</v>
      </c>
      <c r="E114" s="1442">
        <v>11</v>
      </c>
      <c r="F114" s="1443">
        <v>123</v>
      </c>
      <c r="G114" s="1461">
        <v>88</v>
      </c>
      <c r="H114" s="1442">
        <v>23</v>
      </c>
    </row>
    <row r="115" spans="1:8" s="1404" customFormat="1">
      <c r="A115" s="1731" t="s">
        <v>79</v>
      </c>
      <c r="B115" s="1652"/>
      <c r="C115" s="1444">
        <v>2007</v>
      </c>
      <c r="D115" s="1441">
        <v>286</v>
      </c>
      <c r="E115" s="1442">
        <v>13</v>
      </c>
      <c r="F115" s="1443">
        <v>99</v>
      </c>
      <c r="G115" s="1703" t="s">
        <v>195</v>
      </c>
      <c r="H115" s="1445" t="s">
        <v>195</v>
      </c>
    </row>
    <row r="116" spans="1:8" s="1404" customFormat="1">
      <c r="A116" s="1731" t="s">
        <v>79</v>
      </c>
      <c r="B116" s="1652"/>
      <c r="C116" s="1444">
        <v>2008</v>
      </c>
      <c r="D116" s="1441">
        <v>260</v>
      </c>
      <c r="E116" s="1442">
        <v>7</v>
      </c>
      <c r="F116" s="1443">
        <v>89</v>
      </c>
      <c r="G116" s="1461">
        <v>103</v>
      </c>
      <c r="H116" s="1445" t="s">
        <v>195</v>
      </c>
    </row>
    <row r="117" spans="1:8" s="1404" customFormat="1">
      <c r="A117" s="1731" t="s">
        <v>79</v>
      </c>
      <c r="B117" s="1652"/>
      <c r="C117" s="1444">
        <v>2009</v>
      </c>
      <c r="D117" s="1441">
        <v>245</v>
      </c>
      <c r="E117" s="1442">
        <v>7</v>
      </c>
      <c r="F117" s="1443">
        <v>103</v>
      </c>
      <c r="G117" s="1461">
        <v>35</v>
      </c>
      <c r="H117" s="1445" t="s">
        <v>195</v>
      </c>
    </row>
    <row r="118" spans="1:8" s="1404" customFormat="1">
      <c r="A118" s="1731" t="s">
        <v>79</v>
      </c>
      <c r="B118" s="1652"/>
      <c r="C118" s="1444">
        <v>2010</v>
      </c>
      <c r="D118" s="1441">
        <v>237</v>
      </c>
      <c r="E118" s="1442">
        <v>6</v>
      </c>
      <c r="F118" s="1443">
        <v>81</v>
      </c>
      <c r="G118" s="1461">
        <v>87</v>
      </c>
      <c r="H118" s="1442">
        <v>9</v>
      </c>
    </row>
    <row r="119" spans="1:8" s="1404" customFormat="1">
      <c r="A119" s="1731" t="s">
        <v>79</v>
      </c>
      <c r="B119" s="1652"/>
      <c r="C119" s="1444">
        <v>2011</v>
      </c>
      <c r="D119" s="1441">
        <v>240</v>
      </c>
      <c r="E119" s="1442">
        <v>6</v>
      </c>
      <c r="F119" s="1443">
        <v>99</v>
      </c>
      <c r="G119" s="1461">
        <v>63</v>
      </c>
      <c r="H119" s="1442">
        <v>18</v>
      </c>
    </row>
    <row r="120" spans="1:8" s="1404" customFormat="1">
      <c r="A120" s="1731" t="s">
        <v>79</v>
      </c>
      <c r="B120" s="1652"/>
      <c r="C120" s="1444">
        <v>2012</v>
      </c>
      <c r="D120" s="1441">
        <v>213</v>
      </c>
      <c r="E120" s="1442">
        <v>3</v>
      </c>
      <c r="F120" s="1443">
        <v>78</v>
      </c>
      <c r="G120" s="1461">
        <v>69</v>
      </c>
      <c r="H120" s="1442">
        <v>18</v>
      </c>
    </row>
    <row r="121" spans="1:8" s="1404" customFormat="1">
      <c r="A121" s="1731" t="s">
        <v>79</v>
      </c>
      <c r="B121" s="1652"/>
      <c r="C121" s="1444">
        <v>2013</v>
      </c>
      <c r="D121" s="1441">
        <v>228</v>
      </c>
      <c r="E121" s="1442">
        <v>6</v>
      </c>
      <c r="F121" s="1443">
        <v>96</v>
      </c>
      <c r="G121" s="1461">
        <v>54</v>
      </c>
      <c r="H121" s="1442">
        <v>12</v>
      </c>
    </row>
    <row r="122" spans="1:8" s="1404" customFormat="1">
      <c r="A122" s="1731" t="s">
        <v>79</v>
      </c>
      <c r="B122" s="1652"/>
      <c r="C122" s="1444">
        <v>2014</v>
      </c>
      <c r="D122" s="1441">
        <v>219</v>
      </c>
      <c r="E122" s="1442">
        <v>3</v>
      </c>
      <c r="F122" s="1443">
        <v>90</v>
      </c>
      <c r="G122" s="1461">
        <v>72</v>
      </c>
      <c r="H122" s="1442">
        <v>12</v>
      </c>
    </row>
    <row r="123" spans="1:8" s="1404" customFormat="1">
      <c r="A123" s="1731" t="s">
        <v>79</v>
      </c>
      <c r="B123" s="1652"/>
      <c r="C123" s="1444">
        <v>2015</v>
      </c>
      <c r="D123" s="1441">
        <v>213</v>
      </c>
      <c r="E123" s="1442">
        <v>6</v>
      </c>
      <c r="F123" s="1443">
        <v>78</v>
      </c>
      <c r="G123" s="1461">
        <v>57</v>
      </c>
      <c r="H123" s="1442">
        <v>15</v>
      </c>
    </row>
    <row r="124" spans="1:8" s="1404" customFormat="1">
      <c r="A124" s="1731" t="s">
        <v>79</v>
      </c>
      <c r="B124" s="1652"/>
      <c r="C124" s="1444">
        <v>2016</v>
      </c>
      <c r="D124" s="1441">
        <v>207</v>
      </c>
      <c r="E124" s="1442">
        <v>6</v>
      </c>
      <c r="F124" s="1443">
        <v>78</v>
      </c>
      <c r="G124" s="1461">
        <v>51</v>
      </c>
      <c r="H124" s="1442">
        <v>18</v>
      </c>
    </row>
    <row r="125" spans="1:8" s="1404" customFormat="1">
      <c r="A125" s="1731" t="s">
        <v>79</v>
      </c>
      <c r="B125" s="1652"/>
      <c r="C125" s="1444">
        <v>2017</v>
      </c>
      <c r="D125" s="1441">
        <v>189</v>
      </c>
      <c r="E125" s="1442">
        <v>15</v>
      </c>
      <c r="F125" s="1443">
        <v>78</v>
      </c>
      <c r="G125" s="1461">
        <v>66</v>
      </c>
      <c r="H125" s="1442">
        <v>6</v>
      </c>
    </row>
    <row r="126" spans="1:8" s="1404" customFormat="1">
      <c r="A126" s="1731" t="s">
        <v>79</v>
      </c>
      <c r="B126" s="1652"/>
      <c r="C126" s="1444">
        <v>2018</v>
      </c>
      <c r="D126" s="1441">
        <v>189</v>
      </c>
      <c r="E126" s="1442">
        <v>15</v>
      </c>
      <c r="F126" s="1443">
        <v>72</v>
      </c>
      <c r="G126" s="1461">
        <v>63</v>
      </c>
      <c r="H126" s="1442">
        <v>15</v>
      </c>
    </row>
    <row r="127" spans="1:8" s="1404" customFormat="1">
      <c r="A127" s="1731" t="s">
        <v>79</v>
      </c>
      <c r="B127" s="1652"/>
      <c r="C127" s="1444">
        <v>2019</v>
      </c>
      <c r="D127" s="1441">
        <v>189</v>
      </c>
      <c r="E127" s="1442">
        <v>15</v>
      </c>
      <c r="F127" s="1443">
        <v>78</v>
      </c>
      <c r="G127" s="1461">
        <v>57</v>
      </c>
      <c r="H127" s="1442">
        <v>9</v>
      </c>
    </row>
    <row r="128" spans="1:8" s="1404" customFormat="1">
      <c r="A128" s="1731" t="s">
        <v>79</v>
      </c>
      <c r="B128" s="1652"/>
      <c r="C128" s="1444">
        <v>2020</v>
      </c>
      <c r="D128" s="1441">
        <v>189</v>
      </c>
      <c r="E128" s="1442">
        <v>12</v>
      </c>
      <c r="F128" s="1443">
        <v>81</v>
      </c>
      <c r="G128" s="1461">
        <v>63</v>
      </c>
      <c r="H128" s="1442">
        <v>6</v>
      </c>
    </row>
    <row r="129" spans="1:8" s="1404" customFormat="1">
      <c r="A129" s="1731"/>
      <c r="B129" s="1652"/>
      <c r="C129" s="1472">
        <v>2021</v>
      </c>
      <c r="D129" s="1441">
        <v>177</v>
      </c>
      <c r="E129" s="1442">
        <v>12</v>
      </c>
      <c r="F129" s="1443">
        <v>57</v>
      </c>
      <c r="G129" s="1461">
        <v>51</v>
      </c>
      <c r="H129" s="1442">
        <v>12</v>
      </c>
    </row>
    <row r="130" spans="1:8" s="1404" customFormat="1">
      <c r="A130" s="1731"/>
      <c r="B130" s="1652"/>
      <c r="C130" s="1472">
        <v>2022</v>
      </c>
      <c r="D130" s="1441">
        <v>159</v>
      </c>
      <c r="E130" s="1442">
        <v>6</v>
      </c>
      <c r="F130" s="1443">
        <v>57</v>
      </c>
      <c r="G130" s="1461">
        <v>63</v>
      </c>
      <c r="H130" s="1442">
        <v>12</v>
      </c>
    </row>
    <row r="131" spans="1:8" s="1404" customFormat="1">
      <c r="A131" s="1731"/>
      <c r="B131" s="1652"/>
      <c r="C131" s="1472">
        <v>2023</v>
      </c>
      <c r="D131" s="1441">
        <v>135</v>
      </c>
      <c r="E131" s="1442">
        <v>3</v>
      </c>
      <c r="F131" s="1443">
        <v>54</v>
      </c>
      <c r="G131" s="1461">
        <v>54</v>
      </c>
      <c r="H131" s="1442">
        <v>12</v>
      </c>
    </row>
    <row r="132" spans="1:8" s="1404" customFormat="1">
      <c r="A132" s="1734" t="s">
        <v>79</v>
      </c>
      <c r="B132" s="1655"/>
      <c r="C132" s="1481">
        <v>2024</v>
      </c>
      <c r="D132" s="1447">
        <v>135</v>
      </c>
      <c r="E132" s="1448">
        <v>6</v>
      </c>
      <c r="F132" s="1449">
        <v>57</v>
      </c>
      <c r="G132" s="1483">
        <v>48</v>
      </c>
      <c r="H132" s="1448">
        <v>24</v>
      </c>
    </row>
    <row r="133" spans="1:8" s="1404" customFormat="1">
      <c r="A133" s="1647" t="s">
        <v>483</v>
      </c>
      <c r="B133" s="1668">
        <v>1</v>
      </c>
      <c r="C133" s="1444">
        <v>2002</v>
      </c>
      <c r="D133" s="1441">
        <v>2134</v>
      </c>
      <c r="E133" s="1442">
        <v>1718</v>
      </c>
      <c r="F133" s="1443">
        <v>890</v>
      </c>
      <c r="G133" s="1461">
        <v>675</v>
      </c>
      <c r="H133" s="1442">
        <v>144</v>
      </c>
    </row>
    <row r="134" spans="1:8" s="1404" customFormat="1">
      <c r="A134" s="1731" t="s">
        <v>511</v>
      </c>
      <c r="B134" s="1440"/>
      <c r="C134" s="1444">
        <v>2003</v>
      </c>
      <c r="D134" s="1441">
        <v>2083</v>
      </c>
      <c r="E134" s="1442">
        <v>1702</v>
      </c>
      <c r="F134" s="1443">
        <v>830</v>
      </c>
      <c r="G134" s="1461">
        <v>666</v>
      </c>
      <c r="H134" s="1442">
        <v>169</v>
      </c>
    </row>
    <row r="135" spans="1:8" s="1404" customFormat="1">
      <c r="A135" s="1731" t="s">
        <v>511</v>
      </c>
      <c r="B135" s="1440"/>
      <c r="C135" s="1444">
        <v>2004</v>
      </c>
      <c r="D135" s="1441">
        <v>2099</v>
      </c>
      <c r="E135" s="1442">
        <v>1709</v>
      </c>
      <c r="F135" s="1443">
        <v>873</v>
      </c>
      <c r="G135" s="1461">
        <v>687</v>
      </c>
      <c r="H135" s="1442">
        <v>115</v>
      </c>
    </row>
    <row r="136" spans="1:8" s="1404" customFormat="1">
      <c r="A136" s="1731" t="s">
        <v>511</v>
      </c>
      <c r="B136" s="1440"/>
      <c r="C136" s="1444">
        <v>2005</v>
      </c>
      <c r="D136" s="1441">
        <v>2143</v>
      </c>
      <c r="E136" s="1442">
        <v>1714</v>
      </c>
      <c r="F136" s="1443">
        <v>901</v>
      </c>
      <c r="G136" s="1461">
        <v>702</v>
      </c>
      <c r="H136" s="1442">
        <v>129</v>
      </c>
    </row>
    <row r="137" spans="1:8" s="1404" customFormat="1">
      <c r="A137" s="1731" t="s">
        <v>511</v>
      </c>
      <c r="B137" s="1440"/>
      <c r="C137" s="1444">
        <v>2006</v>
      </c>
      <c r="D137" s="1441">
        <v>2119</v>
      </c>
      <c r="E137" s="1442">
        <v>1692</v>
      </c>
      <c r="F137" s="1443">
        <v>882</v>
      </c>
      <c r="G137" s="1461">
        <v>683</v>
      </c>
      <c r="H137" s="1442">
        <v>96</v>
      </c>
    </row>
    <row r="138" spans="1:8" s="1404" customFormat="1">
      <c r="A138" s="1731" t="s">
        <v>511</v>
      </c>
      <c r="B138" s="1440"/>
      <c r="C138" s="1444">
        <v>2007</v>
      </c>
      <c r="D138" s="1441">
        <v>2194</v>
      </c>
      <c r="E138" s="1442">
        <v>1767</v>
      </c>
      <c r="F138" s="1443">
        <v>1005</v>
      </c>
      <c r="G138" s="1703" t="s">
        <v>195</v>
      </c>
      <c r="H138" s="1445" t="s">
        <v>195</v>
      </c>
    </row>
    <row r="139" spans="1:8" s="1404" customFormat="1">
      <c r="A139" s="1731" t="s">
        <v>511</v>
      </c>
      <c r="B139" s="1440"/>
      <c r="C139" s="1444">
        <v>2008</v>
      </c>
      <c r="D139" s="1441">
        <v>2198</v>
      </c>
      <c r="E139" s="1442">
        <v>1808</v>
      </c>
      <c r="F139" s="1443">
        <v>968</v>
      </c>
      <c r="G139" s="1461">
        <v>597</v>
      </c>
      <c r="H139" s="1445" t="s">
        <v>195</v>
      </c>
    </row>
    <row r="140" spans="1:8" s="1404" customFormat="1">
      <c r="A140" s="1731" t="s">
        <v>511</v>
      </c>
      <c r="B140" s="1440"/>
      <c r="C140" s="1444">
        <v>2009</v>
      </c>
      <c r="D140" s="1441">
        <v>2154</v>
      </c>
      <c r="E140" s="1442">
        <v>1773</v>
      </c>
      <c r="F140" s="1443">
        <v>902</v>
      </c>
      <c r="G140" s="1461">
        <v>271</v>
      </c>
      <c r="H140" s="1442">
        <v>80</v>
      </c>
    </row>
    <row r="141" spans="1:8" s="1404" customFormat="1">
      <c r="A141" s="1731" t="s">
        <v>511</v>
      </c>
      <c r="B141" s="1440"/>
      <c r="C141" s="1444">
        <v>2010</v>
      </c>
      <c r="D141" s="1441">
        <v>1932</v>
      </c>
      <c r="E141" s="1442">
        <v>1626</v>
      </c>
      <c r="F141" s="1443">
        <v>780</v>
      </c>
      <c r="G141" s="1461">
        <v>627</v>
      </c>
      <c r="H141" s="1442">
        <v>108</v>
      </c>
    </row>
    <row r="142" spans="1:8" s="1404" customFormat="1">
      <c r="A142" s="1731" t="s">
        <v>511</v>
      </c>
      <c r="B142" s="1440"/>
      <c r="C142" s="1444">
        <v>2011</v>
      </c>
      <c r="D142" s="1441">
        <v>1875</v>
      </c>
      <c r="E142" s="1442">
        <v>1575</v>
      </c>
      <c r="F142" s="1443">
        <v>867</v>
      </c>
      <c r="G142" s="1461">
        <v>618</v>
      </c>
      <c r="H142" s="1442">
        <v>117</v>
      </c>
    </row>
    <row r="143" spans="1:8" s="1404" customFormat="1">
      <c r="A143" s="1731" t="s">
        <v>511</v>
      </c>
      <c r="B143" s="1440"/>
      <c r="C143" s="1444">
        <v>2012</v>
      </c>
      <c r="D143" s="1441">
        <v>1689</v>
      </c>
      <c r="E143" s="1442">
        <v>1446</v>
      </c>
      <c r="F143" s="1443">
        <v>807</v>
      </c>
      <c r="G143" s="1461">
        <v>540</v>
      </c>
      <c r="H143" s="1442">
        <v>63</v>
      </c>
    </row>
    <row r="144" spans="1:8" s="1404" customFormat="1">
      <c r="A144" s="1731" t="s">
        <v>511</v>
      </c>
      <c r="B144" s="1440"/>
      <c r="C144" s="1444">
        <v>2013</v>
      </c>
      <c r="D144" s="1441">
        <v>1728</v>
      </c>
      <c r="E144" s="1442">
        <v>1461</v>
      </c>
      <c r="F144" s="1443">
        <v>759</v>
      </c>
      <c r="G144" s="1461">
        <v>519</v>
      </c>
      <c r="H144" s="1442">
        <v>96</v>
      </c>
    </row>
    <row r="145" spans="1:8" s="1404" customFormat="1">
      <c r="A145" s="1731" t="s">
        <v>511</v>
      </c>
      <c r="B145" s="1440"/>
      <c r="C145" s="1444">
        <v>2014</v>
      </c>
      <c r="D145" s="1441">
        <v>1686</v>
      </c>
      <c r="E145" s="1442">
        <v>1422</v>
      </c>
      <c r="F145" s="1443">
        <v>768</v>
      </c>
      <c r="G145" s="1461">
        <v>528</v>
      </c>
      <c r="H145" s="1442">
        <v>102</v>
      </c>
    </row>
    <row r="146" spans="1:8" s="1404" customFormat="1">
      <c r="A146" s="1731" t="s">
        <v>511</v>
      </c>
      <c r="B146" s="1440"/>
      <c r="C146" s="1444">
        <v>2015</v>
      </c>
      <c r="D146" s="1441">
        <v>1668</v>
      </c>
      <c r="E146" s="1442">
        <v>1416</v>
      </c>
      <c r="F146" s="1443">
        <v>777</v>
      </c>
      <c r="G146" s="1461">
        <v>516</v>
      </c>
      <c r="H146" s="1442">
        <v>81</v>
      </c>
    </row>
    <row r="147" spans="1:8" s="1404" customFormat="1">
      <c r="A147" s="1731" t="s">
        <v>511</v>
      </c>
      <c r="B147" s="1440"/>
      <c r="C147" s="1444">
        <v>2016</v>
      </c>
      <c r="D147" s="1441">
        <v>1632</v>
      </c>
      <c r="E147" s="1442">
        <v>1419</v>
      </c>
      <c r="F147" s="1443">
        <v>771</v>
      </c>
      <c r="G147" s="1461">
        <v>525</v>
      </c>
      <c r="H147" s="1442">
        <v>90</v>
      </c>
    </row>
    <row r="148" spans="1:8" s="1404" customFormat="1">
      <c r="A148" s="1731" t="s">
        <v>511</v>
      </c>
      <c r="B148" s="1440"/>
      <c r="C148" s="1444">
        <v>2017</v>
      </c>
      <c r="D148" s="1441">
        <v>1617</v>
      </c>
      <c r="E148" s="1442">
        <v>1395</v>
      </c>
      <c r="F148" s="1443">
        <v>759</v>
      </c>
      <c r="G148" s="1461">
        <v>501</v>
      </c>
      <c r="H148" s="1442">
        <v>24</v>
      </c>
    </row>
    <row r="149" spans="1:8" s="1404" customFormat="1">
      <c r="A149" s="1731" t="s">
        <v>511</v>
      </c>
      <c r="B149" s="1440"/>
      <c r="C149" s="1444">
        <v>2018</v>
      </c>
      <c r="D149" s="1441">
        <v>1617</v>
      </c>
      <c r="E149" s="1442">
        <v>1398</v>
      </c>
      <c r="F149" s="1443">
        <v>780</v>
      </c>
      <c r="G149" s="1461">
        <v>510</v>
      </c>
      <c r="H149" s="1442">
        <v>51</v>
      </c>
    </row>
    <row r="150" spans="1:8" s="1404" customFormat="1">
      <c r="A150" s="1731" t="s">
        <v>511</v>
      </c>
      <c r="B150" s="1440"/>
      <c r="C150" s="1444">
        <v>2019</v>
      </c>
      <c r="D150" s="1441">
        <v>1617</v>
      </c>
      <c r="E150" s="1442">
        <v>1410</v>
      </c>
      <c r="F150" s="1443">
        <v>717</v>
      </c>
      <c r="G150" s="1461">
        <v>477</v>
      </c>
      <c r="H150" s="1442">
        <v>75</v>
      </c>
    </row>
    <row r="151" spans="1:8" s="1404" customFormat="1">
      <c r="A151" s="1731" t="s">
        <v>511</v>
      </c>
      <c r="B151" s="1440"/>
      <c r="C151" s="1444">
        <v>2020</v>
      </c>
      <c r="D151" s="1441">
        <v>1617</v>
      </c>
      <c r="E151" s="1442">
        <v>1422</v>
      </c>
      <c r="F151" s="1443">
        <v>804</v>
      </c>
      <c r="G151" s="1461">
        <v>507</v>
      </c>
      <c r="H151" s="1442">
        <v>69</v>
      </c>
    </row>
    <row r="152" spans="1:8" s="1404" customFormat="1">
      <c r="A152" s="1731"/>
      <c r="B152" s="1440"/>
      <c r="C152" s="1472">
        <v>2021</v>
      </c>
      <c r="D152" s="1441">
        <v>1617</v>
      </c>
      <c r="E152" s="1442">
        <v>1440</v>
      </c>
      <c r="F152" s="1443">
        <v>744</v>
      </c>
      <c r="G152" s="1461">
        <v>480</v>
      </c>
      <c r="H152" s="1442">
        <v>69</v>
      </c>
    </row>
    <row r="153" spans="1:8" s="1404" customFormat="1">
      <c r="A153" s="1731"/>
      <c r="B153" s="1440"/>
      <c r="C153" s="1472">
        <v>2022</v>
      </c>
      <c r="D153" s="1441">
        <v>1686</v>
      </c>
      <c r="E153" s="1442">
        <v>1464</v>
      </c>
      <c r="F153" s="1443">
        <v>822</v>
      </c>
      <c r="G153" s="1461">
        <v>480</v>
      </c>
      <c r="H153" s="1442">
        <v>114</v>
      </c>
    </row>
    <row r="154" spans="1:8" s="1404" customFormat="1">
      <c r="A154" s="1731"/>
      <c r="B154" s="1440"/>
      <c r="C154" s="1472">
        <v>2023</v>
      </c>
      <c r="D154" s="1441">
        <v>1629</v>
      </c>
      <c r="E154" s="1442">
        <v>1392</v>
      </c>
      <c r="F154" s="1443">
        <v>759</v>
      </c>
      <c r="G154" s="1461">
        <v>513</v>
      </c>
      <c r="H154" s="1442">
        <v>87</v>
      </c>
    </row>
    <row r="155" spans="1:8" s="1404" customFormat="1">
      <c r="A155" s="1734" t="s">
        <v>511</v>
      </c>
      <c r="B155" s="1653"/>
      <c r="C155" s="1481">
        <v>2024</v>
      </c>
      <c r="D155" s="1447">
        <v>1536</v>
      </c>
      <c r="E155" s="1448">
        <v>1344</v>
      </c>
      <c r="F155" s="1449">
        <v>708</v>
      </c>
      <c r="G155" s="1483">
        <v>474</v>
      </c>
      <c r="H155" s="1448">
        <v>75</v>
      </c>
    </row>
    <row r="156" spans="1:8" s="1404" customFormat="1">
      <c r="A156" s="1647" t="s">
        <v>78</v>
      </c>
      <c r="B156" s="1440"/>
      <c r="C156" s="1444">
        <v>2002</v>
      </c>
      <c r="D156" s="1441">
        <v>16610</v>
      </c>
      <c r="E156" s="1442">
        <v>4419</v>
      </c>
      <c r="F156" s="1443">
        <v>6632</v>
      </c>
      <c r="G156" s="1461">
        <v>5063</v>
      </c>
      <c r="H156" s="1442">
        <v>574</v>
      </c>
    </row>
    <row r="157" spans="1:8" s="1404" customFormat="1">
      <c r="A157" s="1731" t="s">
        <v>78</v>
      </c>
      <c r="B157" s="1440"/>
      <c r="C157" s="1444">
        <v>2003</v>
      </c>
      <c r="D157" s="1441">
        <v>16719</v>
      </c>
      <c r="E157" s="1442">
        <v>4197</v>
      </c>
      <c r="F157" s="1443">
        <v>6298</v>
      </c>
      <c r="G157" s="1461">
        <v>4610</v>
      </c>
      <c r="H157" s="1442">
        <v>593</v>
      </c>
    </row>
    <row r="158" spans="1:8" s="1404" customFormat="1">
      <c r="A158" s="1731" t="s">
        <v>78</v>
      </c>
      <c r="B158" s="1652"/>
      <c r="C158" s="1444">
        <v>2004</v>
      </c>
      <c r="D158" s="1441">
        <v>17417</v>
      </c>
      <c r="E158" s="1442">
        <v>4116</v>
      </c>
      <c r="F158" s="1443">
        <v>6624</v>
      </c>
      <c r="G158" s="1461">
        <v>4462</v>
      </c>
      <c r="H158" s="1442">
        <v>608</v>
      </c>
    </row>
    <row r="159" spans="1:8" s="1404" customFormat="1">
      <c r="A159" s="1731" t="s">
        <v>78</v>
      </c>
      <c r="B159" s="1652"/>
      <c r="C159" s="1444">
        <v>2005</v>
      </c>
      <c r="D159" s="1441">
        <v>17521</v>
      </c>
      <c r="E159" s="1442">
        <v>3928</v>
      </c>
      <c r="F159" s="1443">
        <v>6251</v>
      </c>
      <c r="G159" s="1461">
        <v>4631</v>
      </c>
      <c r="H159" s="1442">
        <v>483</v>
      </c>
    </row>
    <row r="160" spans="1:8" s="1404" customFormat="1">
      <c r="A160" s="1731" t="s">
        <v>78</v>
      </c>
      <c r="B160" s="1652"/>
      <c r="C160" s="1444">
        <v>2006</v>
      </c>
      <c r="D160" s="1441">
        <v>17750</v>
      </c>
      <c r="E160" s="1442">
        <v>3737</v>
      </c>
      <c r="F160" s="1443">
        <v>6566</v>
      </c>
      <c r="G160" s="1461">
        <v>4738</v>
      </c>
      <c r="H160" s="1442">
        <v>476</v>
      </c>
    </row>
    <row r="161" spans="1:8" s="1404" customFormat="1">
      <c r="A161" s="1731" t="s">
        <v>78</v>
      </c>
      <c r="B161" s="1440"/>
      <c r="C161" s="1444">
        <v>2007</v>
      </c>
      <c r="D161" s="1441">
        <v>18366</v>
      </c>
      <c r="E161" s="1442">
        <v>3778</v>
      </c>
      <c r="F161" s="1443">
        <v>7109</v>
      </c>
      <c r="G161" s="1703" t="s">
        <v>195</v>
      </c>
      <c r="H161" s="1445" t="s">
        <v>195</v>
      </c>
    </row>
    <row r="162" spans="1:8" s="1404" customFormat="1">
      <c r="A162" s="1731" t="s">
        <v>78</v>
      </c>
      <c r="B162" s="1652"/>
      <c r="C162" s="1444">
        <v>2008</v>
      </c>
      <c r="D162" s="1441">
        <v>18022</v>
      </c>
      <c r="E162" s="1442">
        <v>3755</v>
      </c>
      <c r="F162" s="1443">
        <v>6243</v>
      </c>
      <c r="G162" s="1461">
        <v>4536</v>
      </c>
      <c r="H162" s="1445" t="s">
        <v>195</v>
      </c>
    </row>
    <row r="163" spans="1:8" s="1404" customFormat="1">
      <c r="A163" s="1731" t="s">
        <v>78</v>
      </c>
      <c r="B163" s="1652"/>
      <c r="C163" s="1444">
        <v>2009</v>
      </c>
      <c r="D163" s="1441">
        <v>17201</v>
      </c>
      <c r="E163" s="1442">
        <v>3579</v>
      </c>
      <c r="F163" s="1443">
        <v>5886</v>
      </c>
      <c r="G163" s="1461">
        <v>4406</v>
      </c>
      <c r="H163" s="1442">
        <v>297</v>
      </c>
    </row>
    <row r="164" spans="1:8" s="1404" customFormat="1">
      <c r="A164" s="1731" t="s">
        <v>78</v>
      </c>
      <c r="B164" s="1652"/>
      <c r="C164" s="1444">
        <v>2010</v>
      </c>
      <c r="D164" s="1441">
        <v>16239</v>
      </c>
      <c r="E164" s="1442">
        <v>3372</v>
      </c>
      <c r="F164" s="1443">
        <v>5715</v>
      </c>
      <c r="G164" s="1461">
        <v>5097</v>
      </c>
      <c r="H164" s="1442">
        <v>480</v>
      </c>
    </row>
    <row r="165" spans="1:8" s="1404" customFormat="1">
      <c r="A165" s="1731" t="s">
        <v>78</v>
      </c>
      <c r="B165" s="1652"/>
      <c r="C165" s="1444">
        <v>2011</v>
      </c>
      <c r="D165" s="1441">
        <v>15273</v>
      </c>
      <c r="E165" s="1442">
        <v>3054</v>
      </c>
      <c r="F165" s="1443">
        <v>5259</v>
      </c>
      <c r="G165" s="1461">
        <v>4593</v>
      </c>
      <c r="H165" s="1442">
        <v>474</v>
      </c>
    </row>
    <row r="166" spans="1:8" s="1404" customFormat="1">
      <c r="A166" s="1731" t="s">
        <v>78</v>
      </c>
      <c r="B166" s="1652"/>
      <c r="C166" s="1444">
        <v>2012</v>
      </c>
      <c r="D166" s="1441">
        <v>14217</v>
      </c>
      <c r="E166" s="1442">
        <v>2778</v>
      </c>
      <c r="F166" s="1443">
        <v>5046</v>
      </c>
      <c r="G166" s="1461">
        <v>4128</v>
      </c>
      <c r="H166" s="1442">
        <v>648</v>
      </c>
    </row>
    <row r="167" spans="1:8" s="1404" customFormat="1">
      <c r="A167" s="1731" t="s">
        <v>78</v>
      </c>
      <c r="B167" s="1652"/>
      <c r="C167" s="1444">
        <v>2013</v>
      </c>
      <c r="D167" s="1441">
        <v>13149</v>
      </c>
      <c r="E167" s="1442">
        <v>2631</v>
      </c>
      <c r="F167" s="1443">
        <v>4740</v>
      </c>
      <c r="G167" s="1461">
        <v>4002</v>
      </c>
      <c r="H167" s="1442">
        <v>555</v>
      </c>
    </row>
    <row r="168" spans="1:8" s="1404" customFormat="1">
      <c r="A168" s="1731" t="s">
        <v>78</v>
      </c>
      <c r="B168" s="1652"/>
      <c r="C168" s="1444">
        <v>2014</v>
      </c>
      <c r="D168" s="1441">
        <v>12804</v>
      </c>
      <c r="E168" s="1442">
        <v>2586</v>
      </c>
      <c r="F168" s="1443">
        <v>4812</v>
      </c>
      <c r="G168" s="1461">
        <v>3879</v>
      </c>
      <c r="H168" s="1442">
        <v>636</v>
      </c>
    </row>
    <row r="169" spans="1:8" s="1404" customFormat="1">
      <c r="A169" s="1731" t="s">
        <v>78</v>
      </c>
      <c r="B169" s="1652"/>
      <c r="C169" s="1444">
        <v>2015</v>
      </c>
      <c r="D169" s="1441">
        <v>12561</v>
      </c>
      <c r="E169" s="1442">
        <v>2475</v>
      </c>
      <c r="F169" s="1443">
        <v>4758</v>
      </c>
      <c r="G169" s="1461">
        <v>3696</v>
      </c>
      <c r="H169" s="1442">
        <v>600</v>
      </c>
    </row>
    <row r="170" spans="1:8" s="1404" customFormat="1">
      <c r="A170" s="1731" t="s">
        <v>78</v>
      </c>
      <c r="B170" s="1652"/>
      <c r="C170" s="1444">
        <v>2016</v>
      </c>
      <c r="D170" s="1441">
        <v>12264</v>
      </c>
      <c r="E170" s="1442">
        <v>2439</v>
      </c>
      <c r="F170" s="1443">
        <v>4830</v>
      </c>
      <c r="G170" s="1461">
        <v>3537</v>
      </c>
      <c r="H170" s="1442">
        <v>618</v>
      </c>
    </row>
    <row r="171" spans="1:8" s="1404" customFormat="1">
      <c r="A171" s="1731" t="s">
        <v>78</v>
      </c>
      <c r="B171" s="1652"/>
      <c r="C171" s="1444">
        <v>2017</v>
      </c>
      <c r="D171" s="1441">
        <v>12555</v>
      </c>
      <c r="E171" s="1442">
        <v>2421</v>
      </c>
      <c r="F171" s="1443">
        <v>5022</v>
      </c>
      <c r="G171" s="1461">
        <v>3381</v>
      </c>
      <c r="H171" s="1442">
        <v>582</v>
      </c>
    </row>
    <row r="172" spans="1:8" s="1404" customFormat="1">
      <c r="A172" s="1731" t="s">
        <v>78</v>
      </c>
      <c r="B172" s="1652"/>
      <c r="C172" s="1444">
        <v>2018</v>
      </c>
      <c r="D172" s="1441">
        <v>12975</v>
      </c>
      <c r="E172" s="1442">
        <v>2430</v>
      </c>
      <c r="F172" s="1443">
        <v>5043</v>
      </c>
      <c r="G172" s="1461">
        <v>3390</v>
      </c>
      <c r="H172" s="1442">
        <v>678</v>
      </c>
    </row>
    <row r="173" spans="1:8" s="1404" customFormat="1">
      <c r="A173" s="1731" t="s">
        <v>78</v>
      </c>
      <c r="B173" s="1652"/>
      <c r="C173" s="1444">
        <v>2019</v>
      </c>
      <c r="D173" s="1441">
        <v>13050</v>
      </c>
      <c r="E173" s="1442">
        <v>2466</v>
      </c>
      <c r="F173" s="1443">
        <v>4971</v>
      </c>
      <c r="G173" s="1461">
        <v>3546</v>
      </c>
      <c r="H173" s="1442">
        <v>525</v>
      </c>
    </row>
    <row r="174" spans="1:8" s="1404" customFormat="1">
      <c r="A174" s="1731" t="s">
        <v>78</v>
      </c>
      <c r="B174" s="1652"/>
      <c r="C174" s="1444">
        <v>2020</v>
      </c>
      <c r="D174" s="1441">
        <v>13395</v>
      </c>
      <c r="E174" s="1442">
        <v>2565</v>
      </c>
      <c r="F174" s="1443">
        <v>5307</v>
      </c>
      <c r="G174" s="1461">
        <v>3660</v>
      </c>
      <c r="H174" s="1442">
        <v>504</v>
      </c>
    </row>
    <row r="175" spans="1:8" s="1404" customFormat="1">
      <c r="A175" s="1731"/>
      <c r="B175" s="1652"/>
      <c r="C175" s="1472">
        <v>2021</v>
      </c>
      <c r="D175" s="1441">
        <v>14208</v>
      </c>
      <c r="E175" s="1442">
        <v>2874</v>
      </c>
      <c r="F175" s="1443">
        <v>5625</v>
      </c>
      <c r="G175" s="1461">
        <v>3630</v>
      </c>
      <c r="H175" s="1442">
        <v>546</v>
      </c>
    </row>
    <row r="176" spans="1:8" s="1404" customFormat="1">
      <c r="A176" s="1731"/>
      <c r="B176" s="1652"/>
      <c r="C176" s="1472">
        <v>2022</v>
      </c>
      <c r="D176" s="1441">
        <v>13827</v>
      </c>
      <c r="E176" s="1442">
        <v>2892</v>
      </c>
      <c r="F176" s="1443">
        <v>5022</v>
      </c>
      <c r="G176" s="1461">
        <v>3567</v>
      </c>
      <c r="H176" s="1442">
        <v>522</v>
      </c>
    </row>
    <row r="177" spans="1:8" s="1404" customFormat="1">
      <c r="A177" s="1731"/>
      <c r="B177" s="1652"/>
      <c r="C177" s="1472">
        <v>2023</v>
      </c>
      <c r="D177" s="1441">
        <v>13080</v>
      </c>
      <c r="E177" s="1442">
        <v>2823</v>
      </c>
      <c r="F177" s="1443">
        <v>4728</v>
      </c>
      <c r="G177" s="1461">
        <v>3810</v>
      </c>
      <c r="H177" s="1442">
        <v>540</v>
      </c>
    </row>
    <row r="178" spans="1:8" s="1404" customFormat="1">
      <c r="A178" s="1734" t="s">
        <v>78</v>
      </c>
      <c r="B178" s="1655"/>
      <c r="C178" s="1481">
        <v>2024</v>
      </c>
      <c r="D178" s="1447">
        <v>12237</v>
      </c>
      <c r="E178" s="1448">
        <v>2709</v>
      </c>
      <c r="F178" s="1449">
        <v>4515</v>
      </c>
      <c r="G178" s="1483">
        <v>3876</v>
      </c>
      <c r="H178" s="1448">
        <v>585</v>
      </c>
    </row>
    <row r="179" spans="1:8" s="1404" customFormat="1" ht="15" customHeight="1">
      <c r="A179" s="1647" t="s">
        <v>412</v>
      </c>
      <c r="B179" s="1668">
        <v>1</v>
      </c>
      <c r="C179" s="1460">
        <v>2002</v>
      </c>
      <c r="D179" s="1441">
        <v>4315</v>
      </c>
      <c r="E179" s="1442">
        <v>1149</v>
      </c>
      <c r="F179" s="1443">
        <v>1556</v>
      </c>
      <c r="G179" s="1461">
        <v>1169</v>
      </c>
      <c r="H179" s="1442">
        <v>0</v>
      </c>
    </row>
    <row r="180" spans="1:8" s="1404" customFormat="1" ht="15" customHeight="1">
      <c r="A180" s="1731" t="s">
        <v>412</v>
      </c>
      <c r="B180" s="1656"/>
      <c r="C180" s="1444">
        <v>2003</v>
      </c>
      <c r="D180" s="1441">
        <v>4674</v>
      </c>
      <c r="E180" s="1442">
        <v>1147</v>
      </c>
      <c r="F180" s="1443">
        <v>1787</v>
      </c>
      <c r="G180" s="1461">
        <v>1070</v>
      </c>
      <c r="H180" s="1442">
        <v>0</v>
      </c>
    </row>
    <row r="181" spans="1:8" s="1404" customFormat="1" ht="15" customHeight="1">
      <c r="A181" s="1731" t="s">
        <v>412</v>
      </c>
      <c r="B181" s="1656"/>
      <c r="C181" s="1444">
        <v>2004</v>
      </c>
      <c r="D181" s="1441">
        <v>5025</v>
      </c>
      <c r="E181" s="1442">
        <v>1231</v>
      </c>
      <c r="F181" s="1443">
        <v>1866</v>
      </c>
      <c r="G181" s="1461">
        <v>1227</v>
      </c>
      <c r="H181" s="1442">
        <v>0</v>
      </c>
    </row>
    <row r="182" spans="1:8" s="1404" customFormat="1" ht="15" customHeight="1">
      <c r="A182" s="1731" t="s">
        <v>412</v>
      </c>
      <c r="B182" s="1652"/>
      <c r="C182" s="1444">
        <v>2005</v>
      </c>
      <c r="D182" s="1441">
        <v>5201</v>
      </c>
      <c r="E182" s="1442">
        <v>1210</v>
      </c>
      <c r="F182" s="1443">
        <v>1769</v>
      </c>
      <c r="G182" s="1461">
        <v>1289</v>
      </c>
      <c r="H182" s="1442">
        <v>0</v>
      </c>
    </row>
    <row r="183" spans="1:8" s="1404" customFormat="1" ht="15" customHeight="1">
      <c r="A183" s="1731" t="s">
        <v>412</v>
      </c>
      <c r="B183" s="1652"/>
      <c r="C183" s="1444">
        <v>2006</v>
      </c>
      <c r="D183" s="1441">
        <v>5207</v>
      </c>
      <c r="E183" s="1442">
        <v>1182</v>
      </c>
      <c r="F183" s="1443">
        <v>1811</v>
      </c>
      <c r="G183" s="1461">
        <v>1463</v>
      </c>
      <c r="H183" s="1442">
        <v>0</v>
      </c>
    </row>
    <row r="184" spans="1:8" s="1404" customFormat="1" ht="15" customHeight="1">
      <c r="A184" s="1731" t="s">
        <v>412</v>
      </c>
      <c r="B184" s="1440"/>
      <c r="C184" s="1444">
        <v>2007</v>
      </c>
      <c r="D184" s="1441">
        <v>5371</v>
      </c>
      <c r="E184" s="1442">
        <v>1201</v>
      </c>
      <c r="F184" s="1443">
        <v>2046</v>
      </c>
      <c r="G184" s="1703" t="s">
        <v>195</v>
      </c>
      <c r="H184" s="1442">
        <v>0</v>
      </c>
    </row>
    <row r="185" spans="1:8" s="1404" customFormat="1" ht="15" customHeight="1">
      <c r="A185" s="1731" t="s">
        <v>412</v>
      </c>
      <c r="B185" s="1652"/>
      <c r="C185" s="1444">
        <v>2008</v>
      </c>
      <c r="D185" s="1441">
        <v>5170</v>
      </c>
      <c r="E185" s="1442">
        <v>1143</v>
      </c>
      <c r="F185" s="1443">
        <v>1801</v>
      </c>
      <c r="G185" s="1461">
        <v>1415</v>
      </c>
      <c r="H185" s="1442">
        <v>0</v>
      </c>
    </row>
    <row r="186" spans="1:8" s="1404" customFormat="1" ht="15" customHeight="1">
      <c r="A186" s="1731" t="s">
        <v>412</v>
      </c>
      <c r="B186" s="1652"/>
      <c r="C186" s="1444">
        <v>2009</v>
      </c>
      <c r="D186" s="1441">
        <v>5198</v>
      </c>
      <c r="E186" s="1442">
        <v>1095</v>
      </c>
      <c r="F186" s="1443">
        <v>1781</v>
      </c>
      <c r="G186" s="1461">
        <v>1343</v>
      </c>
      <c r="H186" s="1442">
        <v>0</v>
      </c>
    </row>
    <row r="187" spans="1:8" s="1404" customFormat="1" ht="15" customHeight="1">
      <c r="A187" s="1731" t="s">
        <v>412</v>
      </c>
      <c r="B187" s="1652"/>
      <c r="C187" s="1444">
        <v>2010</v>
      </c>
      <c r="D187" s="1441">
        <v>4812</v>
      </c>
      <c r="E187" s="1442">
        <v>1038</v>
      </c>
      <c r="F187" s="1443">
        <v>1557</v>
      </c>
      <c r="G187" s="1461">
        <v>1443</v>
      </c>
      <c r="H187" s="1442">
        <v>0</v>
      </c>
    </row>
    <row r="188" spans="1:8" s="1404" customFormat="1" ht="15" customHeight="1">
      <c r="A188" s="1731" t="s">
        <v>412</v>
      </c>
      <c r="B188" s="1652"/>
      <c r="C188" s="1444">
        <v>2011</v>
      </c>
      <c r="D188" s="1441">
        <v>4422</v>
      </c>
      <c r="E188" s="1442">
        <v>924</v>
      </c>
      <c r="F188" s="1443">
        <v>1467</v>
      </c>
      <c r="G188" s="1461">
        <v>1326</v>
      </c>
      <c r="H188" s="1442">
        <v>0</v>
      </c>
    </row>
    <row r="189" spans="1:8" s="1404" customFormat="1" ht="15" customHeight="1">
      <c r="A189" s="1731" t="s">
        <v>412</v>
      </c>
      <c r="B189" s="1652"/>
      <c r="C189" s="1444">
        <v>2012</v>
      </c>
      <c r="D189" s="1441">
        <v>3987</v>
      </c>
      <c r="E189" s="1442">
        <v>801</v>
      </c>
      <c r="F189" s="1443">
        <v>1335</v>
      </c>
      <c r="G189" s="1461">
        <v>1296</v>
      </c>
      <c r="H189" s="1442">
        <v>0</v>
      </c>
    </row>
    <row r="190" spans="1:8" s="1404" customFormat="1" ht="15" customHeight="1">
      <c r="A190" s="1731" t="s">
        <v>412</v>
      </c>
      <c r="B190" s="1652"/>
      <c r="C190" s="1444">
        <v>2013</v>
      </c>
      <c r="D190" s="1441">
        <v>3753</v>
      </c>
      <c r="E190" s="1442">
        <v>729</v>
      </c>
      <c r="F190" s="1443">
        <v>1320</v>
      </c>
      <c r="G190" s="1461">
        <v>1158</v>
      </c>
      <c r="H190" s="1442">
        <v>0</v>
      </c>
    </row>
    <row r="191" spans="1:8" s="1404" customFormat="1" ht="15" customHeight="1">
      <c r="A191" s="1731" t="s">
        <v>412</v>
      </c>
      <c r="B191" s="1652"/>
      <c r="C191" s="1444">
        <v>2014</v>
      </c>
      <c r="D191" s="1441">
        <v>3537</v>
      </c>
      <c r="E191" s="1442">
        <v>693</v>
      </c>
      <c r="F191" s="1443">
        <v>1254</v>
      </c>
      <c r="G191" s="1461">
        <v>1101</v>
      </c>
      <c r="H191" s="1442">
        <v>0</v>
      </c>
    </row>
    <row r="192" spans="1:8" s="1404" customFormat="1" ht="15" customHeight="1">
      <c r="A192" s="1731" t="s">
        <v>412</v>
      </c>
      <c r="B192" s="1652"/>
      <c r="C192" s="1444">
        <v>2015</v>
      </c>
      <c r="D192" s="1441">
        <v>3435</v>
      </c>
      <c r="E192" s="1442">
        <v>678</v>
      </c>
      <c r="F192" s="1443">
        <v>1209</v>
      </c>
      <c r="G192" s="1461">
        <v>996</v>
      </c>
      <c r="H192" s="1442">
        <v>0</v>
      </c>
    </row>
    <row r="193" spans="1:8" s="1404" customFormat="1" ht="15" customHeight="1">
      <c r="A193" s="1731" t="s">
        <v>412</v>
      </c>
      <c r="B193" s="1652"/>
      <c r="C193" s="1444">
        <v>2016</v>
      </c>
      <c r="D193" s="1441">
        <v>3180</v>
      </c>
      <c r="E193" s="1442">
        <v>621</v>
      </c>
      <c r="F193" s="1443">
        <v>1107</v>
      </c>
      <c r="G193" s="1461">
        <v>966</v>
      </c>
      <c r="H193" s="1442">
        <v>0</v>
      </c>
    </row>
    <row r="194" spans="1:8" s="1404" customFormat="1" ht="15" customHeight="1">
      <c r="A194" s="1731" t="s">
        <v>412</v>
      </c>
      <c r="B194" s="1652"/>
      <c r="C194" s="1444">
        <v>2017</v>
      </c>
      <c r="D194" s="1441">
        <v>2952</v>
      </c>
      <c r="E194" s="1442">
        <v>594</v>
      </c>
      <c r="F194" s="1443">
        <v>1059</v>
      </c>
      <c r="G194" s="1461">
        <v>912</v>
      </c>
      <c r="H194" s="1442">
        <v>0</v>
      </c>
    </row>
    <row r="195" spans="1:8" s="1404" customFormat="1" ht="15" customHeight="1">
      <c r="A195" s="1731" t="s">
        <v>412</v>
      </c>
      <c r="B195" s="1652"/>
      <c r="C195" s="1444">
        <v>2018</v>
      </c>
      <c r="D195" s="1441">
        <v>2817</v>
      </c>
      <c r="E195" s="1442">
        <v>561</v>
      </c>
      <c r="F195" s="1443">
        <v>954</v>
      </c>
      <c r="G195" s="1461">
        <v>861</v>
      </c>
      <c r="H195" s="1442">
        <v>0</v>
      </c>
    </row>
    <row r="196" spans="1:8" s="1404" customFormat="1" ht="15" customHeight="1">
      <c r="A196" s="1731" t="s">
        <v>412</v>
      </c>
      <c r="B196" s="1652"/>
      <c r="C196" s="1444">
        <v>2019</v>
      </c>
      <c r="D196" s="1441">
        <v>2868</v>
      </c>
      <c r="E196" s="1442">
        <v>555</v>
      </c>
      <c r="F196" s="1443">
        <v>1035</v>
      </c>
      <c r="G196" s="1461">
        <v>843</v>
      </c>
      <c r="H196" s="1442">
        <v>0</v>
      </c>
    </row>
    <row r="197" spans="1:8" s="1404" customFormat="1" ht="15" customHeight="1">
      <c r="A197" s="1731" t="s">
        <v>412</v>
      </c>
      <c r="B197" s="1652"/>
      <c r="C197" s="1444">
        <v>2020</v>
      </c>
      <c r="D197" s="1441">
        <v>2793</v>
      </c>
      <c r="E197" s="1442">
        <v>552</v>
      </c>
      <c r="F197" s="1443">
        <v>1032</v>
      </c>
      <c r="G197" s="1461">
        <v>855</v>
      </c>
      <c r="H197" s="1442">
        <v>0</v>
      </c>
    </row>
    <row r="198" spans="1:8" s="1404" customFormat="1" ht="15" customHeight="1">
      <c r="A198" s="1731"/>
      <c r="B198" s="1652"/>
      <c r="C198" s="1472">
        <v>2021</v>
      </c>
      <c r="D198" s="1441">
        <v>2634</v>
      </c>
      <c r="E198" s="1442">
        <v>510</v>
      </c>
      <c r="F198" s="1443">
        <v>933</v>
      </c>
      <c r="G198" s="1461">
        <v>708</v>
      </c>
      <c r="H198" s="1442">
        <v>0</v>
      </c>
    </row>
    <row r="199" spans="1:8" s="1404" customFormat="1" ht="15" customHeight="1">
      <c r="A199" s="1731"/>
      <c r="B199" s="1652"/>
      <c r="C199" s="1472">
        <v>2022</v>
      </c>
      <c r="D199" s="1441">
        <v>2574</v>
      </c>
      <c r="E199" s="1442">
        <v>480</v>
      </c>
      <c r="F199" s="1443">
        <v>855</v>
      </c>
      <c r="G199" s="1461">
        <v>783</v>
      </c>
      <c r="H199" s="1442">
        <v>0</v>
      </c>
    </row>
    <row r="200" spans="1:8" s="1404" customFormat="1" ht="15" customHeight="1">
      <c r="A200" s="1731"/>
      <c r="B200" s="1652"/>
      <c r="C200" s="1472">
        <v>2023</v>
      </c>
      <c r="D200" s="1441">
        <v>2451</v>
      </c>
      <c r="E200" s="1442">
        <v>441</v>
      </c>
      <c r="F200" s="1443">
        <v>849</v>
      </c>
      <c r="G200" s="1461">
        <v>744</v>
      </c>
      <c r="H200" s="1442">
        <v>0</v>
      </c>
    </row>
    <row r="201" spans="1:8" s="1404" customFormat="1" ht="15" customHeight="1">
      <c r="A201" s="1734" t="s">
        <v>412</v>
      </c>
      <c r="B201" s="1655"/>
      <c r="C201" s="1481">
        <v>2024</v>
      </c>
      <c r="D201" s="1447">
        <v>2346</v>
      </c>
      <c r="E201" s="1448">
        <v>423</v>
      </c>
      <c r="F201" s="1449">
        <v>837</v>
      </c>
      <c r="G201" s="1483">
        <v>696</v>
      </c>
      <c r="H201" s="1815">
        <v>0</v>
      </c>
    </row>
    <row r="202" spans="1:8" s="1404" customFormat="1" ht="16.5" customHeight="1">
      <c r="A202" s="1744"/>
      <c r="B202" s="1744"/>
      <c r="C202" s="1744"/>
      <c r="D202" s="1744"/>
      <c r="E202" s="1744"/>
      <c r="F202" s="1744"/>
      <c r="G202" s="1410"/>
      <c r="H202" s="1410"/>
    </row>
    <row r="203" spans="1:8" s="1404" customFormat="1" ht="16.5" customHeight="1">
      <c r="A203" s="1746"/>
      <c r="B203" s="1410"/>
      <c r="C203" s="1410"/>
      <c r="D203" s="1410"/>
      <c r="E203" s="1410"/>
      <c r="F203" s="1410"/>
      <c r="G203" s="1410"/>
      <c r="H203" s="1410"/>
    </row>
    <row r="204" spans="1:8" ht="16.5" customHeight="1">
      <c r="A204" s="1529"/>
      <c r="B204" s="1578"/>
      <c r="C204" s="1474"/>
      <c r="D204" s="1475"/>
      <c r="F204" s="1475"/>
      <c r="G204" s="1475"/>
      <c r="H204" s="1475"/>
    </row>
    <row r="205" spans="1:8" s="1404" customFormat="1">
      <c r="A205" s="1529"/>
      <c r="B205" s="1578"/>
      <c r="C205" s="1476"/>
      <c r="D205" s="1476"/>
      <c r="E205" s="1476"/>
      <c r="F205" s="1476"/>
      <c r="G205" s="1475"/>
      <c r="H205" s="1475"/>
    </row>
    <row r="206" spans="1:8" s="1404" customFormat="1">
      <c r="A206" s="1402"/>
      <c r="B206" s="1473"/>
      <c r="C206" s="1474"/>
      <c r="D206" s="1475"/>
      <c r="E206" s="1475"/>
      <c r="F206" s="1475"/>
      <c r="G206" s="1475"/>
      <c r="H206" s="1475"/>
    </row>
    <row r="207" spans="1:8" s="1404" customFormat="1">
      <c r="A207" s="1473"/>
      <c r="B207" s="1473"/>
      <c r="D207" s="1438"/>
      <c r="E207" s="1438"/>
      <c r="F207" s="1438"/>
      <c r="G207" s="1438"/>
      <c r="H207" s="1438"/>
    </row>
    <row r="208" spans="1:8" s="1404" customFormat="1">
      <c r="A208" s="1477"/>
      <c r="B208" s="1477"/>
      <c r="D208" s="1438"/>
      <c r="E208" s="1438"/>
      <c r="F208" s="1438"/>
      <c r="G208" s="1438"/>
      <c r="H208" s="1438"/>
    </row>
    <row r="209" spans="1:8" s="1404" customFormat="1">
      <c r="A209" s="1477"/>
      <c r="B209" s="1477"/>
      <c r="D209" s="1438"/>
      <c r="E209" s="1438"/>
      <c r="F209" s="1438"/>
      <c r="G209" s="1438"/>
      <c r="H209" s="1438"/>
    </row>
    <row r="210" spans="1:8" s="1404" customFormat="1">
      <c r="A210" s="1477"/>
      <c r="B210" s="1477"/>
      <c r="D210" s="1438"/>
      <c r="E210" s="1438"/>
      <c r="F210" s="1438"/>
      <c r="G210" s="1438"/>
      <c r="H210" s="1438"/>
    </row>
    <row r="211" spans="1:8" s="1404" customFormat="1">
      <c r="A211" s="1477"/>
      <c r="B211" s="1477"/>
      <c r="D211" s="1438"/>
      <c r="E211" s="1438"/>
      <c r="F211" s="1438"/>
      <c r="G211" s="1438"/>
      <c r="H211" s="1438"/>
    </row>
    <row r="212" spans="1:8" s="1404" customFormat="1">
      <c r="A212" s="1477"/>
      <c r="B212" s="1477"/>
      <c r="D212" s="1438"/>
      <c r="E212" s="1438"/>
      <c r="F212" s="1438"/>
      <c r="G212" s="1438"/>
      <c r="H212" s="1438"/>
    </row>
    <row r="213" spans="1:8" s="1404" customFormat="1">
      <c r="A213" s="1477"/>
      <c r="B213" s="1477"/>
      <c r="D213" s="1438"/>
      <c r="E213" s="1438"/>
      <c r="F213" s="1438"/>
      <c r="G213" s="1438"/>
      <c r="H213" s="1438"/>
    </row>
    <row r="214" spans="1:8" s="1404" customFormat="1">
      <c r="A214" s="1477"/>
      <c r="B214" s="1477"/>
      <c r="D214" s="1438"/>
      <c r="E214" s="1438"/>
      <c r="F214" s="1438"/>
      <c r="G214" s="1438"/>
      <c r="H214" s="1438"/>
    </row>
    <row r="215" spans="1:8" s="1404" customFormat="1">
      <c r="A215" s="1477"/>
      <c r="B215" s="1477"/>
      <c r="D215" s="1438"/>
      <c r="E215" s="1438"/>
      <c r="F215" s="1438"/>
      <c r="G215" s="1438"/>
      <c r="H215" s="1438"/>
    </row>
    <row r="216" spans="1:8" s="1404" customFormat="1">
      <c r="A216" s="1477"/>
      <c r="B216" s="1477"/>
      <c r="D216" s="1438"/>
      <c r="E216" s="1438"/>
      <c r="F216" s="1438"/>
      <c r="G216" s="1438"/>
      <c r="H216" s="1438"/>
    </row>
    <row r="217" spans="1:8" s="1404" customFormat="1">
      <c r="A217" s="1477"/>
      <c r="B217" s="1477"/>
      <c r="D217" s="1438"/>
      <c r="E217" s="1438"/>
      <c r="F217" s="1438"/>
      <c r="G217" s="1438"/>
      <c r="H217" s="1438"/>
    </row>
    <row r="218" spans="1:8" s="1404" customFormat="1">
      <c r="A218" s="1477"/>
      <c r="B218" s="1477"/>
      <c r="D218" s="1438"/>
      <c r="E218" s="1438"/>
      <c r="F218" s="1438"/>
      <c r="G218" s="1438"/>
      <c r="H218" s="1438"/>
    </row>
    <row r="219" spans="1:8" s="1404" customFormat="1">
      <c r="A219" s="1477"/>
      <c r="B219" s="1477"/>
      <c r="D219" s="1438"/>
      <c r="E219" s="1438"/>
      <c r="F219" s="1438"/>
      <c r="G219" s="1438"/>
      <c r="H219" s="1438"/>
    </row>
    <row r="220" spans="1:8" s="1404" customFormat="1">
      <c r="A220" s="1477"/>
      <c r="B220" s="1477"/>
      <c r="D220" s="1438"/>
      <c r="E220" s="1438"/>
      <c r="F220" s="1438"/>
      <c r="G220" s="1438"/>
      <c r="H220" s="1438"/>
    </row>
    <row r="221" spans="1:8" s="1404" customFormat="1">
      <c r="A221" s="1477"/>
      <c r="B221" s="1477"/>
      <c r="D221" s="1438"/>
      <c r="E221" s="1438"/>
      <c r="F221" s="1438"/>
      <c r="G221" s="1438"/>
      <c r="H221" s="1438"/>
    </row>
    <row r="222" spans="1:8" s="1404" customFormat="1">
      <c r="A222" s="1477"/>
      <c r="B222" s="1477"/>
      <c r="D222" s="1438"/>
      <c r="E222" s="1438"/>
      <c r="F222" s="1438"/>
      <c r="G222" s="1438"/>
      <c r="H222" s="1438"/>
    </row>
    <row r="223" spans="1:8" s="1404" customFormat="1">
      <c r="A223" s="1477"/>
      <c r="B223" s="1477"/>
      <c r="D223" s="1438"/>
      <c r="E223" s="1438"/>
      <c r="F223" s="1438"/>
      <c r="G223" s="1438"/>
      <c r="H223" s="1438"/>
    </row>
    <row r="224" spans="1:8" s="1404" customFormat="1">
      <c r="A224" s="1477"/>
      <c r="B224" s="1477"/>
      <c r="D224" s="1438"/>
      <c r="E224" s="1438"/>
      <c r="F224" s="1438"/>
      <c r="G224" s="1438"/>
      <c r="H224" s="1438"/>
    </row>
    <row r="225" spans="1:8" s="1404" customFormat="1">
      <c r="A225" s="1477"/>
      <c r="B225" s="1477"/>
      <c r="D225" s="1438"/>
      <c r="E225" s="1438"/>
      <c r="F225" s="1438"/>
      <c r="G225" s="1438"/>
      <c r="H225" s="1438"/>
    </row>
    <row r="226" spans="1:8" s="1404" customFormat="1">
      <c r="A226" s="1477"/>
      <c r="B226" s="1477"/>
      <c r="D226" s="1438"/>
      <c r="E226" s="1438"/>
      <c r="F226" s="1438"/>
      <c r="G226" s="1438"/>
      <c r="H226" s="1438"/>
    </row>
    <row r="227" spans="1:8" s="1404" customFormat="1">
      <c r="A227" s="1477"/>
      <c r="B227" s="1477"/>
      <c r="D227" s="1438"/>
      <c r="E227" s="1438"/>
      <c r="F227" s="1438"/>
      <c r="G227" s="1438"/>
      <c r="H227" s="1438"/>
    </row>
    <row r="228" spans="1:8" s="1404" customFormat="1">
      <c r="A228" s="1477"/>
      <c r="B228" s="1477"/>
      <c r="D228" s="1478"/>
      <c r="E228" s="1478"/>
      <c r="F228" s="1478"/>
      <c r="G228" s="1478"/>
      <c r="H228" s="1478"/>
    </row>
    <row r="229" spans="1:8" s="1404" customFormat="1">
      <c r="A229" s="1477"/>
      <c r="B229" s="1477"/>
      <c r="D229" s="1478"/>
      <c r="E229" s="1478"/>
      <c r="F229" s="1478"/>
      <c r="G229" s="1478"/>
      <c r="H229" s="1478"/>
    </row>
    <row r="230" spans="1:8" s="1404" customFormat="1">
      <c r="A230" s="1477"/>
      <c r="B230" s="1477"/>
      <c r="D230" s="1478"/>
      <c r="E230" s="1478"/>
      <c r="F230" s="1478"/>
      <c r="G230" s="1478"/>
      <c r="H230" s="1478"/>
    </row>
    <row r="231" spans="1:8" s="1404" customFormat="1">
      <c r="A231" s="1477"/>
      <c r="B231" s="1477"/>
      <c r="D231" s="1478"/>
      <c r="E231" s="1478"/>
      <c r="F231" s="1478"/>
      <c r="G231" s="1478"/>
      <c r="H231" s="1478"/>
    </row>
    <row r="232" spans="1:8" s="1404" customFormat="1">
      <c r="A232" s="1477"/>
      <c r="B232" s="1477"/>
      <c r="D232" s="1478"/>
      <c r="E232" s="1478"/>
      <c r="F232" s="1478"/>
      <c r="G232" s="1478"/>
      <c r="H232" s="1478"/>
    </row>
    <row r="233" spans="1:8" s="1404" customFormat="1">
      <c r="A233" s="1477"/>
      <c r="B233" s="1477"/>
    </row>
    <row r="234" spans="1:8" s="1404" customFormat="1">
      <c r="A234" s="1477"/>
      <c r="B234" s="1477"/>
      <c r="D234" s="1438"/>
      <c r="E234" s="1438"/>
      <c r="F234" s="1438"/>
      <c r="G234" s="1438"/>
      <c r="H234" s="1438"/>
    </row>
    <row r="235" spans="1:8" s="1404" customFormat="1">
      <c r="A235" s="1477"/>
      <c r="B235" s="1477"/>
      <c r="D235" s="1438"/>
      <c r="E235" s="1438"/>
      <c r="F235" s="1438"/>
      <c r="G235" s="1438"/>
      <c r="H235" s="1438"/>
    </row>
    <row r="236" spans="1:8" s="1404" customFormat="1">
      <c r="A236" s="1477"/>
      <c r="B236" s="1477"/>
      <c r="D236" s="1438"/>
      <c r="E236" s="1438"/>
      <c r="F236" s="1438"/>
      <c r="G236" s="1438"/>
      <c r="H236" s="1438"/>
    </row>
    <row r="237" spans="1:8" s="1404" customFormat="1">
      <c r="A237" s="1477"/>
      <c r="B237" s="1477"/>
      <c r="D237" s="1438"/>
      <c r="E237" s="1438"/>
      <c r="F237" s="1438"/>
      <c r="G237" s="1438"/>
      <c r="H237" s="1438"/>
    </row>
    <row r="238" spans="1:8" s="1404" customFormat="1">
      <c r="A238" s="1477"/>
      <c r="B238" s="1477"/>
      <c r="D238" s="1438"/>
      <c r="E238" s="1438"/>
      <c r="F238" s="1438"/>
      <c r="G238" s="1438"/>
      <c r="H238" s="1438"/>
    </row>
    <row r="239" spans="1:8" s="1404" customFormat="1">
      <c r="A239" s="1477"/>
      <c r="B239" s="1477"/>
      <c r="D239" s="1438"/>
      <c r="E239" s="1438"/>
      <c r="F239" s="1438"/>
      <c r="G239" s="1438"/>
      <c r="H239" s="1438"/>
    </row>
    <row r="240" spans="1:8" s="1404" customFormat="1">
      <c r="A240" s="1477"/>
      <c r="B240" s="1477"/>
      <c r="D240" s="1438"/>
      <c r="E240" s="1438"/>
      <c r="F240" s="1438"/>
      <c r="G240" s="1438"/>
      <c r="H240" s="1438"/>
    </row>
    <row r="241" spans="1:8" s="1404" customFormat="1">
      <c r="A241" s="1477"/>
      <c r="B241" s="1477"/>
      <c r="D241" s="1438"/>
      <c r="E241" s="1438"/>
      <c r="F241" s="1438"/>
      <c r="G241" s="1438"/>
      <c r="H241" s="1438"/>
    </row>
    <row r="242" spans="1:8" s="1404" customFormat="1">
      <c r="A242" s="1477"/>
      <c r="B242" s="1477"/>
      <c r="D242" s="1438"/>
      <c r="E242" s="1438"/>
      <c r="F242" s="1438"/>
      <c r="G242" s="1438"/>
      <c r="H242" s="1438"/>
    </row>
    <row r="243" spans="1:8" s="1404" customFormat="1">
      <c r="A243" s="1477"/>
      <c r="B243" s="1477"/>
      <c r="D243" s="1438"/>
      <c r="E243" s="1438"/>
      <c r="F243" s="1438"/>
      <c r="G243" s="1438"/>
      <c r="H243" s="1438"/>
    </row>
    <row r="244" spans="1:8" s="1404" customFormat="1">
      <c r="A244" s="1477"/>
      <c r="B244" s="1477"/>
      <c r="D244" s="1438"/>
      <c r="E244" s="1438"/>
      <c r="F244" s="1438"/>
      <c r="G244" s="1438"/>
      <c r="H244" s="1438"/>
    </row>
    <row r="245" spans="1:8" s="1404" customFormat="1">
      <c r="A245" s="1477"/>
      <c r="B245" s="1477"/>
      <c r="D245" s="1438"/>
      <c r="E245" s="1438"/>
      <c r="F245" s="1438"/>
      <c r="G245" s="1438"/>
      <c r="H245" s="1438"/>
    </row>
    <row r="246" spans="1:8" s="1404" customFormat="1">
      <c r="A246" s="1477"/>
      <c r="B246" s="1477"/>
      <c r="D246" s="1438"/>
      <c r="E246" s="1438"/>
      <c r="F246" s="1438"/>
      <c r="G246" s="1438"/>
      <c r="H246" s="1438"/>
    </row>
    <row r="247" spans="1:8" s="1404" customFormat="1">
      <c r="A247" s="1477"/>
      <c r="B247" s="1477"/>
      <c r="D247" s="1438"/>
      <c r="E247" s="1438"/>
      <c r="F247" s="1438"/>
      <c r="G247" s="1438"/>
      <c r="H247" s="1438"/>
    </row>
    <row r="248" spans="1:8" s="1404" customFormat="1">
      <c r="A248" s="1477"/>
      <c r="B248" s="1477"/>
      <c r="D248" s="1438"/>
      <c r="E248" s="1438"/>
      <c r="F248" s="1438"/>
      <c r="G248" s="1438"/>
      <c r="H248" s="1438"/>
    </row>
    <row r="249" spans="1:8" s="1404" customFormat="1">
      <c r="A249" s="1477"/>
      <c r="B249" s="1477"/>
      <c r="D249" s="1438"/>
      <c r="E249" s="1438"/>
      <c r="F249" s="1438"/>
      <c r="G249" s="1438"/>
      <c r="H249" s="1438"/>
    </row>
    <row r="250" spans="1:8" s="1404" customFormat="1">
      <c r="A250" s="1477"/>
      <c r="B250" s="1477"/>
      <c r="D250" s="1438"/>
      <c r="E250" s="1438"/>
      <c r="F250" s="1438"/>
      <c r="G250" s="1438"/>
      <c r="H250" s="1438"/>
    </row>
    <row r="251" spans="1:8" s="1404" customFormat="1">
      <c r="A251" s="1477"/>
      <c r="B251" s="1477"/>
      <c r="D251" s="1438"/>
      <c r="E251" s="1438"/>
      <c r="F251" s="1438"/>
      <c r="G251" s="1438"/>
      <c r="H251" s="1438"/>
    </row>
    <row r="252" spans="1:8" s="1404" customFormat="1">
      <c r="A252" s="1477"/>
      <c r="B252" s="1477"/>
      <c r="D252" s="1438"/>
      <c r="E252" s="1438"/>
      <c r="F252" s="1438"/>
      <c r="G252" s="1438"/>
      <c r="H252" s="1438"/>
    </row>
    <row r="253" spans="1:8" s="1404" customFormat="1">
      <c r="A253" s="1477"/>
      <c r="B253" s="1477"/>
      <c r="D253" s="1438"/>
      <c r="E253" s="1438"/>
      <c r="F253" s="1438"/>
      <c r="G253" s="1438"/>
      <c r="H253" s="1438"/>
    </row>
    <row r="254" spans="1:8" s="1404" customFormat="1">
      <c r="A254" s="1477"/>
      <c r="B254" s="1477"/>
      <c r="D254" s="1438"/>
      <c r="E254" s="1438"/>
      <c r="F254" s="1438"/>
      <c r="G254" s="1438"/>
      <c r="H254" s="1438"/>
    </row>
    <row r="255" spans="1:8" s="1404" customFormat="1">
      <c r="A255" s="1477"/>
      <c r="B255" s="1477"/>
      <c r="D255" s="1438"/>
      <c r="E255" s="1438"/>
      <c r="F255" s="1438"/>
      <c r="G255" s="1438"/>
      <c r="H255" s="1438"/>
    </row>
    <row r="256" spans="1:8" s="1404" customFormat="1">
      <c r="A256" s="1477"/>
      <c r="B256" s="1477"/>
      <c r="D256" s="1438"/>
      <c r="E256" s="1438"/>
      <c r="F256" s="1438"/>
      <c r="G256" s="1438"/>
      <c r="H256" s="1438"/>
    </row>
    <row r="257" spans="1:8" s="1404" customFormat="1">
      <c r="A257" s="1477"/>
      <c r="B257" s="1477"/>
      <c r="D257" s="1438"/>
      <c r="E257" s="1438"/>
      <c r="F257" s="1438"/>
      <c r="G257" s="1438"/>
      <c r="H257" s="1438"/>
    </row>
    <row r="258" spans="1:8" s="1404" customFormat="1">
      <c r="A258" s="1477"/>
      <c r="B258" s="1477"/>
      <c r="D258" s="1438"/>
      <c r="E258" s="1438"/>
      <c r="F258" s="1438"/>
      <c r="G258" s="1438"/>
      <c r="H258" s="1438"/>
    </row>
    <row r="259" spans="1:8" s="1404" customFormat="1">
      <c r="A259" s="1477"/>
      <c r="B259" s="1477"/>
      <c r="D259" s="1438"/>
      <c r="E259" s="1438"/>
      <c r="F259" s="1438"/>
      <c r="G259" s="1438"/>
      <c r="H259" s="1438"/>
    </row>
    <row r="260" spans="1:8" s="1404" customFormat="1">
      <c r="A260" s="1477"/>
      <c r="B260" s="1477"/>
      <c r="D260" s="1438"/>
      <c r="E260" s="1438"/>
      <c r="F260" s="1438"/>
      <c r="G260" s="1438"/>
      <c r="H260" s="1438"/>
    </row>
    <row r="261" spans="1:8" s="1404" customFormat="1">
      <c r="A261" s="1477"/>
      <c r="B261" s="1477"/>
      <c r="D261" s="1438"/>
      <c r="E261" s="1438"/>
      <c r="F261" s="1438"/>
      <c r="G261" s="1438"/>
      <c r="H261" s="1438"/>
    </row>
    <row r="262" spans="1:8" s="1404" customFormat="1">
      <c r="A262" s="1477"/>
      <c r="B262" s="1477"/>
      <c r="D262" s="1438"/>
      <c r="E262" s="1438"/>
      <c r="F262" s="1438"/>
      <c r="G262" s="1438"/>
      <c r="H262" s="1438"/>
    </row>
    <row r="263" spans="1:8" s="1404" customFormat="1">
      <c r="A263" s="1477"/>
      <c r="B263" s="1477"/>
      <c r="D263" s="1438"/>
      <c r="E263" s="1438"/>
      <c r="F263" s="1438"/>
      <c r="G263" s="1438"/>
      <c r="H263" s="1438"/>
    </row>
    <row r="264" spans="1:8" s="1404" customFormat="1">
      <c r="A264" s="1477"/>
      <c r="B264" s="1477"/>
      <c r="D264" s="1438"/>
      <c r="E264" s="1438"/>
      <c r="F264" s="1438"/>
      <c r="G264" s="1438"/>
      <c r="H264" s="1438"/>
    </row>
    <row r="265" spans="1:8" s="1404" customFormat="1">
      <c r="A265" s="1477"/>
      <c r="B265" s="1477"/>
      <c r="D265" s="1438"/>
      <c r="E265" s="1438"/>
      <c r="F265" s="1438"/>
      <c r="G265" s="1438"/>
      <c r="H265" s="1438"/>
    </row>
    <row r="266" spans="1:8" s="1404" customFormat="1">
      <c r="A266" s="1477"/>
      <c r="B266" s="1477"/>
      <c r="D266" s="1438"/>
      <c r="E266" s="1438"/>
      <c r="F266" s="1438"/>
      <c r="G266" s="1438"/>
      <c r="H266" s="1438"/>
    </row>
    <row r="267" spans="1:8" s="1404" customFormat="1">
      <c r="A267" s="1477"/>
      <c r="B267" s="1477"/>
      <c r="D267" s="1438"/>
      <c r="E267" s="1438"/>
      <c r="F267" s="1438"/>
      <c r="G267" s="1438"/>
      <c r="H267" s="1438"/>
    </row>
    <row r="268" spans="1:8" s="1404" customFormat="1">
      <c r="A268" s="1477"/>
      <c r="B268" s="1477"/>
      <c r="D268" s="1438"/>
      <c r="E268" s="1438"/>
      <c r="F268" s="1438"/>
      <c r="G268" s="1438"/>
      <c r="H268" s="1438"/>
    </row>
    <row r="269" spans="1:8" s="1404" customFormat="1">
      <c r="A269" s="1477"/>
      <c r="B269" s="1477"/>
      <c r="D269" s="1438"/>
      <c r="E269" s="1438"/>
      <c r="F269" s="1438"/>
      <c r="G269" s="1438"/>
      <c r="H269" s="1438"/>
    </row>
    <row r="270" spans="1:8" s="1404" customFormat="1">
      <c r="A270" s="1477"/>
      <c r="B270" s="1477"/>
      <c r="D270" s="1438"/>
      <c r="E270" s="1438"/>
      <c r="F270" s="1438"/>
      <c r="G270" s="1438"/>
      <c r="H270" s="1438"/>
    </row>
    <row r="271" spans="1:8" s="1404" customFormat="1">
      <c r="A271" s="1477"/>
      <c r="B271" s="1477"/>
      <c r="D271" s="1438"/>
      <c r="E271" s="1438"/>
      <c r="F271" s="1438"/>
      <c r="G271" s="1438"/>
      <c r="H271" s="1438"/>
    </row>
    <row r="272" spans="1:8" s="1404" customFormat="1">
      <c r="A272" s="1477"/>
      <c r="B272" s="1477"/>
      <c r="D272" s="1438"/>
      <c r="E272" s="1438"/>
      <c r="F272" s="1438"/>
      <c r="G272" s="1438"/>
      <c r="H272" s="1438"/>
    </row>
    <row r="273" spans="1:8" s="1404" customFormat="1">
      <c r="A273" s="1477"/>
      <c r="B273" s="1477"/>
      <c r="D273" s="1438"/>
      <c r="E273" s="1438"/>
      <c r="F273" s="1438"/>
      <c r="G273" s="1438"/>
      <c r="H273" s="1438"/>
    </row>
    <row r="274" spans="1:8" s="1404" customFormat="1">
      <c r="A274" s="1477"/>
      <c r="B274" s="1477"/>
      <c r="D274" s="1438"/>
      <c r="E274" s="1438"/>
      <c r="F274" s="1438"/>
      <c r="G274" s="1438"/>
      <c r="H274" s="1438"/>
    </row>
    <row r="275" spans="1:8" s="1404" customFormat="1">
      <c r="A275" s="1477"/>
      <c r="B275" s="1477"/>
      <c r="D275" s="1438"/>
      <c r="E275" s="1438"/>
      <c r="F275" s="1438"/>
      <c r="G275" s="1438"/>
      <c r="H275" s="1438"/>
    </row>
    <row r="276" spans="1:8" s="1404" customFormat="1">
      <c r="A276" s="1477"/>
      <c r="B276" s="1477"/>
      <c r="D276" s="1438"/>
      <c r="E276" s="1438"/>
      <c r="F276" s="1438"/>
      <c r="G276" s="1438"/>
      <c r="H276" s="1438"/>
    </row>
    <row r="277" spans="1:8" s="1404" customFormat="1">
      <c r="A277" s="1477"/>
      <c r="B277" s="1477"/>
      <c r="D277" s="1438"/>
      <c r="E277" s="1438"/>
      <c r="F277" s="1438"/>
      <c r="G277" s="1438"/>
      <c r="H277" s="1438"/>
    </row>
    <row r="278" spans="1:8" s="1404" customFormat="1">
      <c r="A278" s="1477"/>
      <c r="B278" s="1477"/>
      <c r="D278" s="1438"/>
      <c r="E278" s="1438"/>
      <c r="F278" s="1438"/>
      <c r="G278" s="1438"/>
      <c r="H278" s="1438"/>
    </row>
    <row r="279" spans="1:8" s="1404" customFormat="1">
      <c r="A279" s="1477"/>
      <c r="B279" s="1477"/>
      <c r="D279" s="1438"/>
      <c r="E279" s="1438"/>
      <c r="F279" s="1438"/>
      <c r="G279" s="1438"/>
      <c r="H279" s="1438"/>
    </row>
    <row r="280" spans="1:8" s="1404" customFormat="1">
      <c r="A280" s="1477"/>
      <c r="B280" s="1477"/>
      <c r="D280" s="1438"/>
      <c r="E280" s="1438"/>
      <c r="F280" s="1438"/>
      <c r="G280" s="1438"/>
      <c r="H280" s="1438"/>
    </row>
    <row r="281" spans="1:8" s="1404" customFormat="1">
      <c r="A281" s="1477"/>
      <c r="B281" s="1477"/>
      <c r="D281" s="1438"/>
      <c r="E281" s="1438"/>
      <c r="F281" s="1438"/>
      <c r="G281" s="1438"/>
      <c r="H281" s="1438"/>
    </row>
    <row r="282" spans="1:8" s="1404" customFormat="1">
      <c r="A282" s="1477"/>
      <c r="B282" s="1477"/>
      <c r="D282" s="1438"/>
      <c r="E282" s="1438"/>
      <c r="F282" s="1438"/>
      <c r="G282" s="1438"/>
      <c r="H282" s="1438"/>
    </row>
    <row r="283" spans="1:8" s="1404" customFormat="1">
      <c r="A283" s="1477"/>
      <c r="B283" s="1477"/>
      <c r="D283" s="1438"/>
      <c r="E283" s="1438"/>
      <c r="F283" s="1438"/>
      <c r="G283" s="1438"/>
      <c r="H283" s="1438"/>
    </row>
    <row r="284" spans="1:8" s="1404" customFormat="1">
      <c r="A284" s="1477"/>
      <c r="B284" s="1477"/>
      <c r="D284" s="1438"/>
      <c r="E284" s="1438"/>
      <c r="F284" s="1438"/>
      <c r="G284" s="1438"/>
      <c r="H284" s="1438"/>
    </row>
    <row r="285" spans="1:8" s="1404" customFormat="1">
      <c r="A285" s="1477"/>
      <c r="B285" s="1477"/>
      <c r="D285" s="1438"/>
      <c r="E285" s="1438"/>
      <c r="F285" s="1438"/>
      <c r="G285" s="1438"/>
      <c r="H285" s="1438"/>
    </row>
    <row r="286" spans="1:8" s="1404" customFormat="1">
      <c r="A286" s="1477"/>
      <c r="B286" s="1477"/>
      <c r="D286" s="1438"/>
      <c r="E286" s="1438"/>
      <c r="F286" s="1438"/>
      <c r="G286" s="1438"/>
      <c r="H286" s="1438"/>
    </row>
    <row r="287" spans="1:8" s="1404" customFormat="1">
      <c r="A287" s="1477"/>
      <c r="B287" s="1477"/>
      <c r="D287" s="1438"/>
      <c r="E287" s="1438"/>
      <c r="F287" s="1438"/>
      <c r="G287" s="1438"/>
      <c r="H287" s="1438"/>
    </row>
    <row r="288" spans="1:8" s="1404" customFormat="1">
      <c r="A288" s="1477"/>
      <c r="B288" s="1477"/>
      <c r="D288" s="1438"/>
      <c r="E288" s="1438"/>
      <c r="F288" s="1438"/>
      <c r="G288" s="1438"/>
      <c r="H288" s="1438"/>
    </row>
    <row r="289" spans="1:8" s="1404" customFormat="1">
      <c r="A289" s="1477"/>
      <c r="B289" s="1477"/>
      <c r="D289" s="1438"/>
      <c r="E289" s="1438"/>
      <c r="F289" s="1438"/>
      <c r="G289" s="1438"/>
      <c r="H289" s="1438"/>
    </row>
    <row r="290" spans="1:8" s="1404" customFormat="1">
      <c r="A290" s="1477"/>
      <c r="B290" s="1477"/>
      <c r="D290" s="1438"/>
      <c r="E290" s="1438"/>
      <c r="F290" s="1438"/>
      <c r="G290" s="1438"/>
      <c r="H290" s="1438"/>
    </row>
    <row r="291" spans="1:8" s="1404" customFormat="1">
      <c r="A291" s="1477"/>
      <c r="B291" s="1477"/>
      <c r="D291" s="1438"/>
      <c r="E291" s="1438"/>
      <c r="F291" s="1438"/>
      <c r="G291" s="1438"/>
      <c r="H291" s="1438"/>
    </row>
    <row r="292" spans="1:8" s="1404" customFormat="1">
      <c r="A292" s="1477"/>
      <c r="B292" s="1477"/>
      <c r="D292" s="1438"/>
      <c r="E292" s="1438"/>
      <c r="F292" s="1438"/>
      <c r="G292" s="1438"/>
      <c r="H292" s="1438"/>
    </row>
    <row r="293" spans="1:8" s="1404" customFormat="1">
      <c r="A293" s="1477"/>
      <c r="B293" s="1477"/>
      <c r="D293" s="1438"/>
      <c r="E293" s="1438"/>
      <c r="F293" s="1438"/>
      <c r="G293" s="1438"/>
      <c r="H293" s="1438"/>
    </row>
    <row r="294" spans="1:8" s="1404" customFormat="1">
      <c r="A294" s="1477"/>
      <c r="B294" s="1477"/>
      <c r="D294" s="1438"/>
      <c r="E294" s="1438"/>
      <c r="F294" s="1438"/>
      <c r="G294" s="1438"/>
      <c r="H294" s="1438"/>
    </row>
    <row r="295" spans="1:8" s="1404" customFormat="1">
      <c r="A295" s="1477"/>
      <c r="B295" s="1477"/>
      <c r="D295" s="1438"/>
      <c r="E295" s="1438"/>
      <c r="F295" s="1438"/>
      <c r="G295" s="1438"/>
      <c r="H295" s="1438"/>
    </row>
    <row r="296" spans="1:8" s="1404" customFormat="1">
      <c r="A296" s="1477"/>
      <c r="B296" s="1477"/>
      <c r="D296" s="1438"/>
      <c r="E296" s="1438"/>
      <c r="F296" s="1438"/>
      <c r="G296" s="1438"/>
      <c r="H296" s="1438"/>
    </row>
    <row r="297" spans="1:8" s="1404" customFormat="1">
      <c r="A297" s="1477"/>
      <c r="B297" s="1477"/>
      <c r="D297" s="1438"/>
      <c r="E297" s="1438"/>
      <c r="F297" s="1438"/>
      <c r="G297" s="1438"/>
      <c r="H297" s="1438"/>
    </row>
    <row r="298" spans="1:8" s="1404" customFormat="1">
      <c r="A298" s="1477"/>
      <c r="B298" s="1477"/>
      <c r="D298" s="1438"/>
      <c r="E298" s="1438"/>
      <c r="F298" s="1438"/>
      <c r="G298" s="1438"/>
      <c r="H298" s="1438"/>
    </row>
    <row r="299" spans="1:8" s="1404" customFormat="1">
      <c r="A299" s="1477"/>
      <c r="B299" s="1477"/>
      <c r="D299" s="1438"/>
      <c r="E299" s="1438"/>
      <c r="F299" s="1438"/>
      <c r="G299" s="1438"/>
      <c r="H299" s="1438"/>
    </row>
    <row r="300" spans="1:8" s="1404" customFormat="1">
      <c r="A300" s="1477"/>
      <c r="B300" s="1477"/>
      <c r="D300" s="1438"/>
      <c r="E300" s="1438"/>
      <c r="F300" s="1438"/>
      <c r="G300" s="1438"/>
      <c r="H300" s="1438"/>
    </row>
    <row r="301" spans="1:8" s="1404" customFormat="1">
      <c r="A301" s="1477"/>
      <c r="B301" s="1477"/>
      <c r="D301" s="1438"/>
      <c r="E301" s="1438"/>
      <c r="F301" s="1438"/>
      <c r="G301" s="1438"/>
      <c r="H301" s="1438"/>
    </row>
    <row r="302" spans="1:8" s="1404" customFormat="1">
      <c r="A302" s="1477"/>
      <c r="B302" s="1477"/>
      <c r="D302" s="1438"/>
      <c r="E302" s="1438"/>
      <c r="F302" s="1438"/>
      <c r="G302" s="1438"/>
      <c r="H302" s="1438"/>
    </row>
    <row r="303" spans="1:8" s="1404" customFormat="1">
      <c r="A303" s="1477"/>
      <c r="B303" s="1477"/>
      <c r="D303" s="1438"/>
      <c r="E303" s="1438"/>
      <c r="F303" s="1438"/>
      <c r="G303" s="1438"/>
      <c r="H303" s="1438"/>
    </row>
    <row r="304" spans="1:8" s="1404" customFormat="1">
      <c r="A304" s="1477"/>
      <c r="B304" s="1477"/>
      <c r="D304" s="1438"/>
      <c r="E304" s="1438"/>
      <c r="F304" s="1438"/>
      <c r="G304" s="1438"/>
      <c r="H304" s="1438"/>
    </row>
    <row r="305" spans="1:8" s="1404" customFormat="1">
      <c r="A305" s="1477"/>
      <c r="B305" s="1477"/>
      <c r="D305" s="1438"/>
      <c r="E305" s="1438"/>
      <c r="F305" s="1438"/>
      <c r="G305" s="1438"/>
      <c r="H305" s="1438"/>
    </row>
    <row r="306" spans="1:8" s="1404" customFormat="1">
      <c r="A306" s="1477"/>
      <c r="B306" s="1477"/>
      <c r="D306" s="1438"/>
      <c r="E306" s="1438"/>
      <c r="F306" s="1438"/>
      <c r="G306" s="1438"/>
      <c r="H306" s="1438"/>
    </row>
    <row r="307" spans="1:8" s="1404" customFormat="1">
      <c r="A307" s="1477"/>
      <c r="B307" s="1477"/>
      <c r="D307" s="1438"/>
      <c r="E307" s="1438"/>
      <c r="F307" s="1438"/>
      <c r="G307" s="1438"/>
      <c r="H307" s="1438"/>
    </row>
    <row r="308" spans="1:8" s="1404" customFormat="1">
      <c r="A308" s="1477"/>
      <c r="B308" s="1477"/>
      <c r="D308" s="1438"/>
      <c r="E308" s="1438"/>
      <c r="F308" s="1438"/>
      <c r="G308" s="1438"/>
      <c r="H308" s="1438"/>
    </row>
    <row r="309" spans="1:8" s="1404" customFormat="1">
      <c r="A309" s="1477"/>
      <c r="B309" s="1477"/>
      <c r="D309" s="1438"/>
      <c r="E309" s="1438"/>
      <c r="F309" s="1438"/>
      <c r="G309" s="1438"/>
      <c r="H309" s="1438"/>
    </row>
    <row r="310" spans="1:8" s="1404" customFormat="1">
      <c r="A310" s="1477"/>
      <c r="B310" s="1477"/>
      <c r="D310" s="1438"/>
      <c r="E310" s="1438"/>
      <c r="F310" s="1438"/>
      <c r="G310" s="1438"/>
      <c r="H310" s="1438"/>
    </row>
    <row r="311" spans="1:8" s="1404" customFormat="1">
      <c r="A311" s="1477"/>
      <c r="B311" s="1477"/>
      <c r="D311" s="1438"/>
      <c r="E311" s="1438"/>
      <c r="F311" s="1438"/>
      <c r="G311" s="1438"/>
      <c r="H311" s="1438"/>
    </row>
    <row r="312" spans="1:8" s="1404" customFormat="1">
      <c r="A312" s="1477"/>
      <c r="B312" s="1477"/>
      <c r="D312" s="1438"/>
      <c r="E312" s="1438"/>
      <c r="F312" s="1438"/>
      <c r="G312" s="1438"/>
      <c r="H312" s="1438"/>
    </row>
    <row r="313" spans="1:8" s="1404" customFormat="1">
      <c r="A313" s="1477"/>
      <c r="B313" s="1477"/>
      <c r="D313" s="1438"/>
      <c r="E313" s="1438"/>
      <c r="F313" s="1438"/>
      <c r="G313" s="1438"/>
      <c r="H313" s="1438"/>
    </row>
    <row r="314" spans="1:8" s="1404" customFormat="1">
      <c r="A314" s="1477"/>
      <c r="B314" s="1477"/>
      <c r="D314" s="1438"/>
      <c r="E314" s="1438"/>
      <c r="F314" s="1438"/>
      <c r="G314" s="1438"/>
      <c r="H314" s="1438"/>
    </row>
    <row r="315" spans="1:8" s="1404" customFormat="1">
      <c r="A315" s="1477"/>
      <c r="B315" s="1477"/>
      <c r="D315" s="1438"/>
      <c r="E315" s="1438"/>
      <c r="F315" s="1438"/>
      <c r="G315" s="1438"/>
      <c r="H315" s="1438"/>
    </row>
    <row r="316" spans="1:8" s="1404" customFormat="1">
      <c r="A316" s="1477"/>
      <c r="B316" s="1477"/>
      <c r="D316" s="1438"/>
      <c r="E316" s="1438"/>
      <c r="F316" s="1438"/>
      <c r="G316" s="1438"/>
      <c r="H316" s="1438"/>
    </row>
    <row r="317" spans="1:8" s="1404" customFormat="1">
      <c r="A317" s="1477"/>
      <c r="B317" s="1477"/>
      <c r="D317" s="1438"/>
      <c r="E317" s="1438"/>
      <c r="F317" s="1438"/>
      <c r="G317" s="1438"/>
      <c r="H317" s="1438"/>
    </row>
    <row r="318" spans="1:8" s="1404" customFormat="1">
      <c r="A318" s="1477"/>
      <c r="B318" s="1477"/>
      <c r="D318" s="1438"/>
      <c r="E318" s="1438"/>
      <c r="F318" s="1438"/>
      <c r="G318" s="1438"/>
      <c r="H318" s="1438"/>
    </row>
    <row r="319" spans="1:8" s="1404" customFormat="1">
      <c r="A319" s="1477"/>
      <c r="B319" s="1477"/>
      <c r="D319" s="1438"/>
      <c r="E319" s="1438"/>
      <c r="F319" s="1438"/>
      <c r="G319" s="1438"/>
      <c r="H319" s="1438"/>
    </row>
    <row r="320" spans="1:8" s="1404" customFormat="1">
      <c r="A320" s="1477"/>
      <c r="B320" s="1477"/>
      <c r="D320" s="1438"/>
      <c r="E320" s="1438"/>
      <c r="F320" s="1438"/>
      <c r="G320" s="1438"/>
      <c r="H320" s="1438"/>
    </row>
    <row r="321" spans="1:8" s="1404" customFormat="1">
      <c r="A321" s="1477"/>
      <c r="B321" s="1477"/>
      <c r="D321" s="1438"/>
      <c r="E321" s="1438"/>
      <c r="F321" s="1438"/>
      <c r="G321" s="1438"/>
      <c r="H321" s="1438"/>
    </row>
    <row r="322" spans="1:8" s="1404" customFormat="1">
      <c r="A322" s="1477"/>
      <c r="B322" s="1477"/>
      <c r="D322" s="1438"/>
      <c r="E322" s="1438"/>
      <c r="F322" s="1438"/>
      <c r="G322" s="1438"/>
      <c r="H322" s="1438"/>
    </row>
    <row r="323" spans="1:8" s="1404" customFormat="1">
      <c r="A323" s="1477"/>
      <c r="B323" s="1477"/>
      <c r="D323" s="1438"/>
      <c r="E323" s="1438"/>
      <c r="F323" s="1438"/>
      <c r="G323" s="1438"/>
      <c r="H323" s="1438"/>
    </row>
    <row r="324" spans="1:8" s="1404" customFormat="1">
      <c r="A324" s="1477"/>
      <c r="B324" s="1477"/>
      <c r="D324" s="1438"/>
      <c r="E324" s="1438"/>
      <c r="F324" s="1438"/>
      <c r="G324" s="1438"/>
      <c r="H324" s="1438"/>
    </row>
    <row r="325" spans="1:8" s="1404" customFormat="1">
      <c r="A325" s="1477"/>
      <c r="B325" s="1477"/>
      <c r="D325" s="1438"/>
      <c r="E325" s="1438"/>
      <c r="F325" s="1438"/>
      <c r="G325" s="1438"/>
      <c r="H325" s="1438"/>
    </row>
    <row r="326" spans="1:8" s="1404" customFormat="1">
      <c r="A326" s="1477"/>
      <c r="B326" s="1477"/>
      <c r="D326" s="1438"/>
      <c r="E326" s="1438"/>
      <c r="F326" s="1438"/>
      <c r="G326" s="1438"/>
      <c r="H326" s="1438"/>
    </row>
    <row r="327" spans="1:8" s="1404" customFormat="1">
      <c r="A327" s="1477"/>
      <c r="B327" s="1477"/>
      <c r="D327" s="1438"/>
      <c r="E327" s="1438"/>
      <c r="F327" s="1438"/>
      <c r="G327" s="1438"/>
      <c r="H327" s="1438"/>
    </row>
    <row r="328" spans="1:8" s="1404" customFormat="1">
      <c r="A328" s="1477"/>
      <c r="B328" s="1477"/>
      <c r="D328" s="1438"/>
      <c r="E328" s="1438"/>
      <c r="F328" s="1438"/>
      <c r="G328" s="1438"/>
      <c r="H328" s="1438"/>
    </row>
    <row r="329" spans="1:8" s="1404" customFormat="1">
      <c r="A329" s="1477"/>
      <c r="B329" s="1477"/>
      <c r="D329" s="1438"/>
      <c r="E329" s="1438"/>
      <c r="F329" s="1438"/>
      <c r="G329" s="1438"/>
      <c r="H329" s="1438"/>
    </row>
    <row r="330" spans="1:8" s="1404" customFormat="1">
      <c r="A330" s="1477"/>
      <c r="B330" s="1477"/>
      <c r="D330" s="1438"/>
      <c r="E330" s="1438"/>
      <c r="F330" s="1438"/>
      <c r="G330" s="1438"/>
      <c r="H330" s="1438"/>
    </row>
    <row r="331" spans="1:8" s="1404" customFormat="1">
      <c r="A331" s="1477"/>
      <c r="B331" s="1477"/>
      <c r="D331" s="1438"/>
      <c r="E331" s="1438"/>
      <c r="F331" s="1438"/>
      <c r="G331" s="1438"/>
      <c r="H331" s="1438"/>
    </row>
    <row r="332" spans="1:8" s="1404" customFormat="1">
      <c r="A332" s="1477"/>
      <c r="B332" s="1477"/>
      <c r="D332" s="1438"/>
      <c r="E332" s="1438"/>
      <c r="F332" s="1438"/>
      <c r="G332" s="1438"/>
      <c r="H332" s="1438"/>
    </row>
    <row r="333" spans="1:8" s="1404" customFormat="1">
      <c r="A333" s="1477"/>
      <c r="B333" s="1477"/>
      <c r="D333" s="1438"/>
      <c r="E333" s="1438"/>
      <c r="F333" s="1438"/>
      <c r="G333" s="1438"/>
      <c r="H333" s="1438"/>
    </row>
    <row r="334" spans="1:8" s="1404" customFormat="1">
      <c r="A334" s="1477"/>
      <c r="B334" s="1477"/>
      <c r="D334" s="1438"/>
      <c r="E334" s="1438"/>
      <c r="F334" s="1438"/>
      <c r="G334" s="1438"/>
      <c r="H334" s="1438"/>
    </row>
    <row r="335" spans="1:8" s="1404" customFormat="1">
      <c r="A335" s="1477"/>
      <c r="B335" s="1477"/>
      <c r="D335" s="1438"/>
      <c r="E335" s="1438"/>
      <c r="F335" s="1438"/>
      <c r="G335" s="1438"/>
      <c r="H335" s="1438"/>
    </row>
    <row r="336" spans="1:8" s="1404" customFormat="1">
      <c r="A336" s="1477"/>
      <c r="B336" s="1477"/>
      <c r="D336" s="1438"/>
      <c r="E336" s="1438"/>
      <c r="F336" s="1438"/>
      <c r="G336" s="1438"/>
      <c r="H336" s="1438"/>
    </row>
    <row r="337" spans="1:8" s="1404" customFormat="1">
      <c r="A337" s="1477"/>
      <c r="B337" s="1477"/>
      <c r="D337" s="1438"/>
      <c r="E337" s="1438"/>
      <c r="F337" s="1438"/>
      <c r="G337" s="1438"/>
      <c r="H337" s="1438"/>
    </row>
    <row r="338" spans="1:8" s="1404" customFormat="1">
      <c r="A338" s="1477"/>
      <c r="B338" s="1477"/>
      <c r="D338" s="1438"/>
      <c r="E338" s="1438"/>
      <c r="F338" s="1438"/>
      <c r="G338" s="1438"/>
      <c r="H338" s="1438"/>
    </row>
    <row r="339" spans="1:8" s="1404" customFormat="1">
      <c r="A339" s="1477"/>
      <c r="B339" s="1477"/>
      <c r="D339" s="1438"/>
      <c r="E339" s="1438"/>
      <c r="F339" s="1438"/>
      <c r="G339" s="1438"/>
      <c r="H339" s="1438"/>
    </row>
    <row r="340" spans="1:8" s="1404" customFormat="1">
      <c r="A340" s="1477"/>
      <c r="B340" s="1477"/>
      <c r="D340" s="1438"/>
      <c r="E340" s="1438"/>
      <c r="F340" s="1438"/>
      <c r="G340" s="1438"/>
      <c r="H340" s="1438"/>
    </row>
    <row r="341" spans="1:8" s="1404" customFormat="1">
      <c r="A341" s="1477"/>
      <c r="B341" s="1477"/>
      <c r="D341" s="1438"/>
      <c r="E341" s="1438"/>
      <c r="F341" s="1438"/>
      <c r="G341" s="1438"/>
      <c r="H341" s="1438"/>
    </row>
    <row r="342" spans="1:8" s="1404" customFormat="1">
      <c r="A342" s="1477"/>
      <c r="B342" s="1477"/>
      <c r="D342" s="1438"/>
      <c r="E342" s="1438"/>
      <c r="F342" s="1438"/>
      <c r="G342" s="1438"/>
      <c r="H342" s="1438"/>
    </row>
    <row r="343" spans="1:8" s="1404" customFormat="1">
      <c r="A343" s="1477"/>
      <c r="B343" s="1477"/>
      <c r="D343" s="1438"/>
      <c r="E343" s="1438"/>
      <c r="F343" s="1438"/>
      <c r="G343" s="1438"/>
      <c r="H343" s="1438"/>
    </row>
    <row r="344" spans="1:8" s="1404" customFormat="1">
      <c r="A344" s="1477"/>
      <c r="B344" s="1477"/>
      <c r="D344" s="1438"/>
      <c r="E344" s="1438"/>
      <c r="F344" s="1438"/>
      <c r="G344" s="1438"/>
      <c r="H344" s="1438"/>
    </row>
    <row r="345" spans="1:8" s="1404" customFormat="1">
      <c r="A345" s="1477"/>
      <c r="B345" s="1477"/>
      <c r="D345" s="1438"/>
      <c r="E345" s="1438"/>
      <c r="F345" s="1438"/>
      <c r="G345" s="1438"/>
      <c r="H345" s="1438"/>
    </row>
    <row r="346" spans="1:8" s="1404" customFormat="1">
      <c r="A346" s="1477"/>
      <c r="B346" s="1477"/>
      <c r="D346" s="1438"/>
      <c r="E346" s="1438"/>
      <c r="F346" s="1438"/>
      <c r="G346" s="1438"/>
      <c r="H346" s="1438"/>
    </row>
    <row r="347" spans="1:8" s="1404" customFormat="1">
      <c r="A347" s="1477"/>
      <c r="B347" s="1477"/>
      <c r="D347" s="1438"/>
      <c r="E347" s="1438"/>
      <c r="F347" s="1438"/>
      <c r="G347" s="1438"/>
      <c r="H347" s="1438"/>
    </row>
    <row r="348" spans="1:8" s="1404" customFormat="1">
      <c r="A348" s="1477"/>
      <c r="B348" s="1477"/>
      <c r="D348" s="1438"/>
      <c r="E348" s="1438"/>
      <c r="F348" s="1438"/>
      <c r="G348" s="1438"/>
      <c r="H348" s="1438"/>
    </row>
    <row r="349" spans="1:8" s="1404" customFormat="1">
      <c r="A349" s="1477"/>
      <c r="B349" s="1477"/>
      <c r="D349" s="1438"/>
      <c r="E349" s="1438"/>
      <c r="F349" s="1438"/>
      <c r="G349" s="1438"/>
      <c r="H349" s="1438"/>
    </row>
    <row r="350" spans="1:8" s="1404" customFormat="1">
      <c r="A350" s="1477"/>
      <c r="B350" s="1477"/>
      <c r="D350" s="1438"/>
      <c r="E350" s="1438"/>
      <c r="F350" s="1438"/>
      <c r="G350" s="1438"/>
      <c r="H350" s="1438"/>
    </row>
    <row r="351" spans="1:8" s="1404" customFormat="1">
      <c r="A351" s="1477"/>
      <c r="B351" s="1477"/>
      <c r="D351" s="1438"/>
      <c r="E351" s="1438"/>
      <c r="F351" s="1438"/>
      <c r="G351" s="1438"/>
      <c r="H351" s="1438"/>
    </row>
    <row r="352" spans="1:8" s="1404" customFormat="1">
      <c r="A352" s="1477"/>
      <c r="B352" s="1477"/>
      <c r="D352" s="1438"/>
      <c r="E352" s="1438"/>
      <c r="F352" s="1438"/>
      <c r="G352" s="1438"/>
      <c r="H352" s="1438"/>
    </row>
    <row r="353" spans="1:8" s="1404" customFormat="1">
      <c r="A353" s="1477"/>
      <c r="B353" s="1477"/>
      <c r="D353" s="1438"/>
      <c r="E353" s="1438"/>
      <c r="F353" s="1438"/>
      <c r="G353" s="1438"/>
      <c r="H353" s="1438"/>
    </row>
    <row r="354" spans="1:8" s="1404" customFormat="1">
      <c r="A354" s="1477"/>
      <c r="B354" s="1477"/>
      <c r="D354" s="1438"/>
      <c r="E354" s="1438"/>
      <c r="F354" s="1438"/>
      <c r="G354" s="1438"/>
      <c r="H354" s="1438"/>
    </row>
    <row r="355" spans="1:8" s="1404" customFormat="1">
      <c r="A355" s="1477"/>
      <c r="B355" s="1477"/>
      <c r="D355" s="1438"/>
      <c r="E355" s="1438"/>
      <c r="F355" s="1438"/>
      <c r="G355" s="1438"/>
      <c r="H355" s="1438"/>
    </row>
    <row r="356" spans="1:8" s="1404" customFormat="1">
      <c r="A356" s="1477"/>
      <c r="B356" s="1477"/>
      <c r="D356" s="1438"/>
      <c r="E356" s="1438"/>
      <c r="F356" s="1438"/>
      <c r="G356" s="1438"/>
      <c r="H356" s="1438"/>
    </row>
    <row r="357" spans="1:8" s="1404" customFormat="1">
      <c r="A357" s="1477"/>
      <c r="B357" s="1477"/>
      <c r="D357" s="1438"/>
      <c r="E357" s="1438"/>
      <c r="F357" s="1438"/>
      <c r="G357" s="1438"/>
      <c r="H357" s="1438"/>
    </row>
    <row r="358" spans="1:8" s="1404" customFormat="1">
      <c r="A358" s="1477"/>
      <c r="B358" s="1477"/>
      <c r="D358" s="1438"/>
      <c r="E358" s="1438"/>
      <c r="F358" s="1438"/>
      <c r="G358" s="1438"/>
      <c r="H358" s="1438"/>
    </row>
    <row r="359" spans="1:8" s="1404" customFormat="1">
      <c r="A359" s="1477"/>
      <c r="B359" s="1477"/>
      <c r="D359" s="1438"/>
      <c r="E359" s="1438"/>
      <c r="F359" s="1438"/>
      <c r="G359" s="1438"/>
      <c r="H359" s="1438"/>
    </row>
    <row r="360" spans="1:8" s="1404" customFormat="1">
      <c r="A360" s="1477"/>
      <c r="B360" s="1477"/>
      <c r="D360" s="1438"/>
      <c r="E360" s="1438"/>
      <c r="F360" s="1438"/>
      <c r="G360" s="1438"/>
      <c r="H360" s="1438"/>
    </row>
    <row r="361" spans="1:8" s="1404" customFormat="1">
      <c r="A361" s="1477"/>
      <c r="B361" s="1477"/>
      <c r="D361" s="1438"/>
      <c r="E361" s="1438"/>
      <c r="F361" s="1438"/>
      <c r="G361" s="1438"/>
      <c r="H361" s="1438"/>
    </row>
    <row r="362" spans="1:8" s="1404" customFormat="1">
      <c r="A362" s="1477"/>
      <c r="B362" s="1477"/>
      <c r="D362" s="1438"/>
      <c r="E362" s="1438"/>
      <c r="F362" s="1438"/>
      <c r="G362" s="1438"/>
      <c r="H362" s="1438"/>
    </row>
    <row r="363" spans="1:8" s="1404" customFormat="1">
      <c r="A363" s="1477"/>
      <c r="B363" s="1477"/>
      <c r="D363" s="1438"/>
      <c r="E363" s="1438"/>
      <c r="F363" s="1438"/>
      <c r="G363" s="1438"/>
      <c r="H363" s="1438"/>
    </row>
    <row r="364" spans="1:8" s="1404" customFormat="1">
      <c r="A364" s="1477"/>
      <c r="B364" s="1477"/>
      <c r="D364" s="1438"/>
      <c r="E364" s="1438"/>
      <c r="F364" s="1438"/>
      <c r="G364" s="1438"/>
      <c r="H364" s="1438"/>
    </row>
    <row r="365" spans="1:8" s="1404" customFormat="1">
      <c r="A365" s="1477"/>
      <c r="B365" s="1477"/>
      <c r="D365" s="1438"/>
      <c r="E365" s="1438"/>
      <c r="F365" s="1438"/>
      <c r="G365" s="1438"/>
      <c r="H365" s="1438"/>
    </row>
    <row r="366" spans="1:8" s="1404" customFormat="1">
      <c r="A366" s="1477"/>
      <c r="B366" s="1477"/>
      <c r="D366" s="1438"/>
      <c r="E366" s="1438"/>
      <c r="F366" s="1438"/>
      <c r="G366" s="1438"/>
      <c r="H366" s="1438"/>
    </row>
    <row r="367" spans="1:8" s="1404" customFormat="1">
      <c r="A367" s="1477"/>
      <c r="B367" s="1477"/>
      <c r="D367" s="1438"/>
      <c r="E367" s="1438"/>
      <c r="F367" s="1438"/>
      <c r="G367" s="1438"/>
      <c r="H367" s="1438"/>
    </row>
    <row r="368" spans="1:8" s="1404" customFormat="1">
      <c r="A368" s="1477"/>
      <c r="B368" s="1477"/>
      <c r="D368" s="1438"/>
      <c r="E368" s="1438"/>
      <c r="F368" s="1438"/>
      <c r="G368" s="1438"/>
      <c r="H368" s="1438"/>
    </row>
    <row r="369" spans="1:8" s="1404" customFormat="1">
      <c r="A369" s="1477"/>
      <c r="B369" s="1477"/>
      <c r="D369" s="1438"/>
      <c r="E369" s="1438"/>
      <c r="F369" s="1438"/>
      <c r="G369" s="1438"/>
      <c r="H369" s="1438"/>
    </row>
    <row r="370" spans="1:8" s="1404" customFormat="1">
      <c r="A370" s="1477"/>
      <c r="B370" s="1477"/>
      <c r="D370" s="1438"/>
      <c r="E370" s="1438"/>
      <c r="F370" s="1438"/>
      <c r="G370" s="1438"/>
      <c r="H370" s="1438"/>
    </row>
    <row r="371" spans="1:8" s="1404" customFormat="1">
      <c r="A371" s="1477"/>
      <c r="B371" s="1477"/>
      <c r="D371" s="1438"/>
      <c r="E371" s="1438"/>
      <c r="F371" s="1438"/>
      <c r="G371" s="1438"/>
      <c r="H371" s="1438"/>
    </row>
    <row r="372" spans="1:8" s="1404" customFormat="1">
      <c r="A372" s="1477"/>
      <c r="B372" s="1477"/>
      <c r="D372" s="1438"/>
      <c r="E372" s="1438"/>
      <c r="F372" s="1438"/>
      <c r="G372" s="1438"/>
      <c r="H372" s="1438"/>
    </row>
    <row r="373" spans="1:8" s="1404" customFormat="1">
      <c r="A373" s="1477"/>
      <c r="B373" s="1477"/>
      <c r="D373" s="1438"/>
      <c r="E373" s="1438"/>
      <c r="F373" s="1438"/>
      <c r="G373" s="1438"/>
      <c r="H373" s="1438"/>
    </row>
    <row r="374" spans="1:8" s="1404" customFormat="1">
      <c r="A374" s="1477"/>
      <c r="B374" s="1477"/>
      <c r="D374" s="1438"/>
      <c r="E374" s="1438"/>
      <c r="F374" s="1438"/>
      <c r="G374" s="1438"/>
      <c r="H374" s="1438"/>
    </row>
    <row r="375" spans="1:8" s="1404" customFormat="1">
      <c r="A375" s="1477"/>
      <c r="B375" s="1477"/>
      <c r="D375" s="1438"/>
      <c r="E375" s="1438"/>
      <c r="F375" s="1438"/>
      <c r="G375" s="1438"/>
      <c r="H375" s="1438"/>
    </row>
    <row r="376" spans="1:8" s="1404" customFormat="1">
      <c r="A376" s="1477"/>
      <c r="B376" s="1477"/>
      <c r="D376" s="1438"/>
      <c r="E376" s="1438"/>
      <c r="F376" s="1438"/>
      <c r="G376" s="1438"/>
      <c r="H376" s="1438"/>
    </row>
    <row r="377" spans="1:8" s="1404" customFormat="1">
      <c r="A377" s="1477"/>
      <c r="B377" s="1477"/>
      <c r="D377" s="1438"/>
      <c r="E377" s="1438"/>
      <c r="F377" s="1438"/>
      <c r="G377" s="1438"/>
      <c r="H377" s="1438"/>
    </row>
    <row r="378" spans="1:8" s="1404" customFormat="1">
      <c r="A378" s="1477"/>
      <c r="B378" s="1477"/>
      <c r="D378" s="1438"/>
      <c r="E378" s="1438"/>
      <c r="F378" s="1438"/>
      <c r="G378" s="1438"/>
      <c r="H378" s="1438"/>
    </row>
    <row r="379" spans="1:8" s="1404" customFormat="1">
      <c r="A379" s="1477"/>
      <c r="B379" s="1477"/>
      <c r="D379" s="1438"/>
      <c r="E379" s="1438"/>
      <c r="F379" s="1438"/>
      <c r="G379" s="1438"/>
      <c r="H379" s="1438"/>
    </row>
    <row r="380" spans="1:8" s="1404" customFormat="1">
      <c r="A380" s="1477"/>
      <c r="B380" s="1477"/>
      <c r="D380" s="1438"/>
      <c r="E380" s="1438"/>
      <c r="F380" s="1438"/>
      <c r="G380" s="1438"/>
      <c r="H380" s="1438"/>
    </row>
    <row r="381" spans="1:8" s="1404" customFormat="1">
      <c r="A381" s="1477"/>
      <c r="B381" s="1477"/>
      <c r="D381" s="1438"/>
      <c r="E381" s="1438"/>
      <c r="F381" s="1438"/>
      <c r="G381" s="1438"/>
      <c r="H381" s="1438"/>
    </row>
    <row r="382" spans="1:8" s="1404" customFormat="1">
      <c r="A382" s="1477"/>
      <c r="B382" s="1477"/>
      <c r="D382" s="1438"/>
      <c r="E382" s="1438"/>
      <c r="F382" s="1438"/>
      <c r="G382" s="1438"/>
      <c r="H382" s="1438"/>
    </row>
    <row r="383" spans="1:8" s="1404" customFormat="1">
      <c r="A383" s="1477"/>
      <c r="B383" s="1477"/>
      <c r="D383" s="1438"/>
      <c r="E383" s="1438"/>
      <c r="F383" s="1438"/>
      <c r="G383" s="1438"/>
      <c r="H383" s="1438"/>
    </row>
    <row r="384" spans="1:8" s="1404" customFormat="1">
      <c r="A384" s="1477"/>
      <c r="B384" s="1477"/>
      <c r="D384" s="1438"/>
      <c r="E384" s="1438"/>
      <c r="F384" s="1438"/>
      <c r="G384" s="1438"/>
      <c r="H384" s="1438"/>
    </row>
    <row r="385" spans="1:8" s="1404" customFormat="1">
      <c r="A385" s="1477"/>
      <c r="B385" s="1477"/>
      <c r="D385" s="1438"/>
      <c r="E385" s="1438"/>
      <c r="F385" s="1438"/>
      <c r="G385" s="1438"/>
      <c r="H385" s="1438"/>
    </row>
    <row r="386" spans="1:8" s="1404" customFormat="1">
      <c r="A386" s="1477"/>
      <c r="B386" s="1477"/>
      <c r="D386" s="1438"/>
      <c r="E386" s="1438"/>
      <c r="F386" s="1438"/>
      <c r="G386" s="1438"/>
      <c r="H386" s="1438"/>
    </row>
    <row r="387" spans="1:8" s="1404" customFormat="1">
      <c r="A387" s="1477"/>
      <c r="B387" s="1477"/>
      <c r="D387" s="1438"/>
      <c r="E387" s="1438"/>
      <c r="F387" s="1438"/>
      <c r="G387" s="1438"/>
      <c r="H387" s="1438"/>
    </row>
    <row r="388" spans="1:8" s="1404" customFormat="1">
      <c r="A388" s="1477"/>
      <c r="B388" s="1477"/>
      <c r="D388" s="1438"/>
      <c r="E388" s="1438"/>
      <c r="F388" s="1438"/>
      <c r="G388" s="1438"/>
      <c r="H388" s="1438"/>
    </row>
    <row r="389" spans="1:8" s="1404" customFormat="1">
      <c r="A389" s="1477"/>
      <c r="B389" s="1477"/>
      <c r="D389" s="1438"/>
      <c r="E389" s="1438"/>
      <c r="F389" s="1438"/>
      <c r="G389" s="1438"/>
      <c r="H389" s="1438"/>
    </row>
    <row r="390" spans="1:8" s="1404" customFormat="1">
      <c r="A390" s="1477"/>
      <c r="B390" s="1477"/>
      <c r="D390" s="1438"/>
      <c r="E390" s="1438"/>
      <c r="F390" s="1438"/>
      <c r="G390" s="1438"/>
      <c r="H390" s="1438"/>
    </row>
    <row r="391" spans="1:8" s="1404" customFormat="1">
      <c r="A391" s="1477"/>
      <c r="B391" s="1477"/>
      <c r="D391" s="1438"/>
      <c r="E391" s="1438"/>
      <c r="F391" s="1438"/>
      <c r="G391" s="1438"/>
      <c r="H391" s="1438"/>
    </row>
    <row r="392" spans="1:8" s="1404" customFormat="1">
      <c r="A392" s="1477"/>
      <c r="B392" s="1477"/>
      <c r="D392" s="1438"/>
      <c r="E392" s="1438"/>
      <c r="F392" s="1438"/>
      <c r="G392" s="1438"/>
      <c r="H392" s="1438"/>
    </row>
    <row r="393" spans="1:8" s="1404" customFormat="1">
      <c r="A393" s="1477"/>
      <c r="B393" s="1477"/>
      <c r="D393" s="1438"/>
      <c r="E393" s="1438"/>
      <c r="F393" s="1438"/>
      <c r="G393" s="1438"/>
      <c r="H393" s="1438"/>
    </row>
    <row r="394" spans="1:8" s="1404" customFormat="1">
      <c r="A394" s="1477"/>
      <c r="B394" s="1477"/>
      <c r="D394" s="1438"/>
      <c r="E394" s="1438"/>
      <c r="F394" s="1438"/>
      <c r="G394" s="1438"/>
      <c r="H394" s="1438"/>
    </row>
    <row r="395" spans="1:8" s="1404" customFormat="1">
      <c r="A395" s="1477"/>
      <c r="B395" s="1477"/>
      <c r="D395" s="1438"/>
      <c r="E395" s="1438"/>
      <c r="F395" s="1438"/>
      <c r="G395" s="1438"/>
      <c r="H395" s="1438"/>
    </row>
    <row r="396" spans="1:8" s="1404" customFormat="1">
      <c r="A396" s="1477"/>
      <c r="B396" s="1477"/>
      <c r="D396" s="1438"/>
      <c r="E396" s="1438"/>
      <c r="F396" s="1438"/>
      <c r="G396" s="1438"/>
      <c r="H396" s="1438"/>
    </row>
    <row r="397" spans="1:8" s="1404" customFormat="1">
      <c r="A397" s="1477"/>
      <c r="B397" s="1477"/>
      <c r="D397" s="1438"/>
      <c r="E397" s="1438"/>
      <c r="F397" s="1438"/>
      <c r="G397" s="1438"/>
      <c r="H397" s="1438"/>
    </row>
    <row r="398" spans="1:8" s="1404" customFormat="1">
      <c r="A398" s="1477"/>
      <c r="B398" s="1477"/>
      <c r="D398" s="1438"/>
      <c r="E398" s="1438"/>
      <c r="F398" s="1438"/>
      <c r="G398" s="1438"/>
      <c r="H398" s="1438"/>
    </row>
    <row r="399" spans="1:8" s="1404" customFormat="1">
      <c r="A399" s="1477"/>
      <c r="B399" s="1477"/>
      <c r="D399" s="1438"/>
      <c r="E399" s="1438"/>
      <c r="F399" s="1438"/>
      <c r="G399" s="1438"/>
      <c r="H399" s="1438"/>
    </row>
    <row r="400" spans="1:8" s="1404" customFormat="1">
      <c r="A400" s="1477"/>
      <c r="B400" s="1477"/>
      <c r="D400" s="1438"/>
      <c r="E400" s="1438"/>
      <c r="F400" s="1438"/>
      <c r="G400" s="1438"/>
      <c r="H400" s="1438"/>
    </row>
    <row r="401" spans="1:8" s="1404" customFormat="1">
      <c r="A401" s="1477"/>
      <c r="B401" s="1477"/>
      <c r="D401" s="1438"/>
      <c r="E401" s="1438"/>
      <c r="F401" s="1438"/>
      <c r="G401" s="1438"/>
      <c r="H401" s="1438"/>
    </row>
    <row r="402" spans="1:8" s="1404" customFormat="1">
      <c r="A402" s="1477"/>
      <c r="B402" s="1477"/>
      <c r="D402" s="1438"/>
      <c r="E402" s="1438"/>
      <c r="F402" s="1438"/>
      <c r="G402" s="1438"/>
      <c r="H402" s="1438"/>
    </row>
    <row r="403" spans="1:8" s="1404" customFormat="1">
      <c r="A403" s="1477"/>
      <c r="B403" s="1477"/>
      <c r="D403" s="1438"/>
      <c r="E403" s="1438"/>
      <c r="F403" s="1438"/>
      <c r="G403" s="1438"/>
      <c r="H403" s="1438"/>
    </row>
    <row r="404" spans="1:8" s="1404" customFormat="1">
      <c r="A404" s="1477"/>
      <c r="B404" s="1477"/>
      <c r="D404" s="1438"/>
      <c r="E404" s="1438"/>
      <c r="F404" s="1438"/>
      <c r="G404" s="1438"/>
      <c r="H404" s="1438"/>
    </row>
    <row r="405" spans="1:8" s="1404" customFormat="1">
      <c r="A405" s="1477"/>
      <c r="B405" s="1477"/>
      <c r="D405" s="1438"/>
      <c r="E405" s="1438"/>
      <c r="F405" s="1438"/>
      <c r="G405" s="1438"/>
      <c r="H405" s="1438"/>
    </row>
    <row r="406" spans="1:8" s="1404" customFormat="1">
      <c r="A406" s="1477"/>
      <c r="B406" s="1477"/>
      <c r="D406" s="1438"/>
      <c r="E406" s="1438"/>
      <c r="F406" s="1438"/>
      <c r="G406" s="1438"/>
      <c r="H406" s="1438"/>
    </row>
    <row r="407" spans="1:8" s="1404" customFormat="1">
      <c r="A407" s="1477"/>
      <c r="B407" s="1477"/>
      <c r="D407" s="1438"/>
      <c r="E407" s="1438"/>
      <c r="F407" s="1438"/>
      <c r="G407" s="1438"/>
      <c r="H407" s="1438"/>
    </row>
    <row r="408" spans="1:8" s="1404" customFormat="1">
      <c r="A408" s="1477"/>
      <c r="B408" s="1477"/>
      <c r="D408" s="1438"/>
      <c r="E408" s="1438"/>
      <c r="F408" s="1438"/>
      <c r="G408" s="1438"/>
      <c r="H408" s="1438"/>
    </row>
    <row r="409" spans="1:8" s="1404" customFormat="1">
      <c r="A409" s="1477"/>
      <c r="B409" s="1477"/>
      <c r="D409" s="1438"/>
      <c r="E409" s="1438"/>
      <c r="F409" s="1438"/>
      <c r="G409" s="1438"/>
      <c r="H409" s="1438"/>
    </row>
    <row r="410" spans="1:8" s="1404" customFormat="1">
      <c r="A410" s="1477"/>
      <c r="B410" s="1477"/>
      <c r="D410" s="1438"/>
      <c r="E410" s="1438"/>
      <c r="F410" s="1438"/>
      <c r="G410" s="1438"/>
      <c r="H410" s="1438"/>
    </row>
    <row r="411" spans="1:8" s="1404" customFormat="1">
      <c r="A411" s="1477"/>
      <c r="B411" s="1477"/>
      <c r="D411" s="1438"/>
      <c r="E411" s="1438"/>
      <c r="F411" s="1438"/>
      <c r="G411" s="1438"/>
      <c r="H411" s="1438"/>
    </row>
    <row r="412" spans="1:8" s="1404" customFormat="1">
      <c r="A412" s="1477"/>
      <c r="B412" s="1477"/>
      <c r="D412" s="1438"/>
      <c r="E412" s="1438"/>
      <c r="F412" s="1438"/>
      <c r="G412" s="1438"/>
      <c r="H412" s="1438"/>
    </row>
    <row r="413" spans="1:8" s="1404" customFormat="1">
      <c r="A413" s="1477"/>
      <c r="B413" s="1477"/>
      <c r="D413" s="1438"/>
      <c r="E413" s="1438"/>
      <c r="F413" s="1438"/>
      <c r="G413" s="1438"/>
      <c r="H413" s="1438"/>
    </row>
    <row r="414" spans="1:8" s="1404" customFormat="1">
      <c r="A414" s="1477"/>
      <c r="B414" s="1477"/>
      <c r="D414" s="1438"/>
      <c r="E414" s="1438"/>
      <c r="F414" s="1438"/>
      <c r="G414" s="1438"/>
      <c r="H414" s="1438"/>
    </row>
    <row r="415" spans="1:8" s="1404" customFormat="1">
      <c r="A415" s="1477"/>
      <c r="B415" s="1477"/>
      <c r="D415" s="1438"/>
      <c r="E415" s="1438"/>
      <c r="F415" s="1438"/>
      <c r="G415" s="1438"/>
      <c r="H415" s="1438"/>
    </row>
    <row r="416" spans="1:8" s="1404" customFormat="1">
      <c r="A416" s="1477"/>
      <c r="B416" s="1477"/>
      <c r="D416" s="1438"/>
      <c r="E416" s="1438"/>
      <c r="F416" s="1438"/>
      <c r="G416" s="1438"/>
      <c r="H416" s="1438"/>
    </row>
    <row r="417" spans="1:8" s="1404" customFormat="1">
      <c r="A417" s="1477"/>
      <c r="B417" s="1477"/>
      <c r="D417" s="1438"/>
      <c r="E417" s="1438"/>
      <c r="F417" s="1438"/>
      <c r="G417" s="1438"/>
      <c r="H417" s="1438"/>
    </row>
    <row r="418" spans="1:8" s="1404" customFormat="1">
      <c r="A418" s="1477"/>
      <c r="B418" s="1477"/>
      <c r="D418" s="1438"/>
      <c r="E418" s="1438"/>
      <c r="F418" s="1438"/>
      <c r="G418" s="1438"/>
      <c r="H418" s="1438"/>
    </row>
    <row r="419" spans="1:8" s="1404" customFormat="1">
      <c r="A419" s="1477"/>
      <c r="B419" s="1477"/>
      <c r="D419" s="1438"/>
      <c r="E419" s="1438"/>
      <c r="F419" s="1438"/>
      <c r="G419" s="1438"/>
      <c r="H419" s="1438"/>
    </row>
    <row r="420" spans="1:8" s="1404" customFormat="1">
      <c r="A420" s="1477"/>
      <c r="B420" s="1477"/>
      <c r="D420" s="1438"/>
      <c r="E420" s="1438"/>
      <c r="F420" s="1438"/>
      <c r="G420" s="1438"/>
      <c r="H420" s="1438"/>
    </row>
    <row r="421" spans="1:8" s="1404" customFormat="1">
      <c r="A421" s="1477"/>
      <c r="B421" s="1477"/>
      <c r="D421" s="1438"/>
      <c r="E421" s="1438"/>
      <c r="F421" s="1438"/>
      <c r="G421" s="1438"/>
      <c r="H421" s="1438"/>
    </row>
    <row r="422" spans="1:8" s="1404" customFormat="1">
      <c r="A422" s="1477"/>
      <c r="B422" s="1477"/>
      <c r="D422" s="1438"/>
      <c r="E422" s="1438"/>
      <c r="F422" s="1438"/>
      <c r="G422" s="1438"/>
      <c r="H422" s="1438"/>
    </row>
    <row r="423" spans="1:8" s="1404" customFormat="1">
      <c r="A423" s="1477"/>
      <c r="B423" s="1477"/>
      <c r="D423" s="1438"/>
      <c r="E423" s="1438"/>
      <c r="F423" s="1438"/>
      <c r="G423" s="1438"/>
      <c r="H423" s="1438"/>
    </row>
    <row r="424" spans="1:8" s="1404" customFormat="1">
      <c r="A424" s="1477"/>
      <c r="B424" s="1477"/>
      <c r="D424" s="1438"/>
      <c r="E424" s="1438"/>
      <c r="F424" s="1438"/>
      <c r="G424" s="1438"/>
      <c r="H424" s="1438"/>
    </row>
    <row r="425" spans="1:8" s="1404" customFormat="1">
      <c r="A425" s="1477"/>
      <c r="B425" s="1477"/>
      <c r="D425" s="1438"/>
      <c r="E425" s="1438"/>
      <c r="F425" s="1438"/>
      <c r="G425" s="1438"/>
      <c r="H425" s="1438"/>
    </row>
    <row r="426" spans="1:8" s="1404" customFormat="1">
      <c r="A426" s="1477"/>
      <c r="B426" s="1477"/>
      <c r="D426" s="1438"/>
      <c r="E426" s="1438"/>
      <c r="F426" s="1438"/>
      <c r="G426" s="1438"/>
      <c r="H426" s="1438"/>
    </row>
    <row r="427" spans="1:8" s="1404" customFormat="1">
      <c r="A427" s="1477"/>
      <c r="B427" s="1477"/>
      <c r="D427" s="1438"/>
      <c r="E427" s="1438"/>
      <c r="F427" s="1438"/>
      <c r="G427" s="1438"/>
      <c r="H427" s="1438"/>
    </row>
    <row r="428" spans="1:8" s="1404" customFormat="1">
      <c r="A428" s="1477"/>
      <c r="B428" s="1477"/>
      <c r="D428" s="1438"/>
      <c r="E428" s="1438"/>
      <c r="F428" s="1438"/>
      <c r="G428" s="1438"/>
      <c r="H428" s="1438"/>
    </row>
    <row r="429" spans="1:8" s="1404" customFormat="1">
      <c r="A429" s="1477"/>
      <c r="B429" s="1477"/>
      <c r="D429" s="1438"/>
      <c r="E429" s="1438"/>
      <c r="F429" s="1438"/>
      <c r="G429" s="1438"/>
      <c r="H429" s="1438"/>
    </row>
    <row r="430" spans="1:8" s="1404" customFormat="1">
      <c r="A430" s="1477"/>
      <c r="B430" s="1477"/>
      <c r="D430" s="1438"/>
      <c r="E430" s="1438"/>
      <c r="F430" s="1438"/>
      <c r="G430" s="1438"/>
      <c r="H430" s="1438"/>
    </row>
    <row r="431" spans="1:8" s="1404" customFormat="1">
      <c r="A431" s="1477"/>
      <c r="B431" s="1477"/>
      <c r="D431" s="1438"/>
      <c r="E431" s="1438"/>
      <c r="F431" s="1438"/>
      <c r="G431" s="1438"/>
      <c r="H431" s="1438"/>
    </row>
    <row r="432" spans="1:8" s="1404" customFormat="1">
      <c r="A432" s="1477"/>
      <c r="B432" s="1477"/>
      <c r="D432" s="1438"/>
      <c r="E432" s="1438"/>
      <c r="F432" s="1438"/>
      <c r="G432" s="1438"/>
      <c r="H432" s="1438"/>
    </row>
    <row r="433" spans="1:8" s="1404" customFormat="1">
      <c r="A433" s="1477"/>
      <c r="B433" s="1477"/>
      <c r="D433" s="1438"/>
      <c r="E433" s="1438"/>
      <c r="F433" s="1438"/>
      <c r="G433" s="1438"/>
      <c r="H433" s="1438"/>
    </row>
    <row r="434" spans="1:8" s="1404" customFormat="1">
      <c r="A434" s="1477"/>
      <c r="B434" s="1477"/>
      <c r="D434" s="1438"/>
      <c r="E434" s="1438"/>
      <c r="F434" s="1438"/>
      <c r="G434" s="1438"/>
      <c r="H434" s="1438"/>
    </row>
    <row r="435" spans="1:8" s="1404" customFormat="1">
      <c r="A435" s="1477"/>
      <c r="B435" s="1477"/>
      <c r="D435" s="1438"/>
      <c r="E435" s="1438"/>
      <c r="F435" s="1438"/>
      <c r="G435" s="1438"/>
      <c r="H435" s="1438"/>
    </row>
    <row r="436" spans="1:8" s="1404" customFormat="1">
      <c r="A436" s="1477"/>
      <c r="B436" s="1477"/>
      <c r="D436" s="1438"/>
      <c r="E436" s="1438"/>
      <c r="F436" s="1438"/>
      <c r="G436" s="1438"/>
      <c r="H436" s="1438"/>
    </row>
    <row r="437" spans="1:8" s="1404" customFormat="1">
      <c r="A437" s="1477"/>
      <c r="B437" s="1477"/>
      <c r="D437" s="1438"/>
      <c r="E437" s="1438"/>
      <c r="F437" s="1438"/>
      <c r="G437" s="1438"/>
      <c r="H437" s="1438"/>
    </row>
    <row r="438" spans="1:8" s="1404" customFormat="1">
      <c r="A438" s="1477"/>
      <c r="B438" s="1477"/>
      <c r="D438" s="1438"/>
      <c r="E438" s="1438"/>
      <c r="F438" s="1438"/>
      <c r="G438" s="1438"/>
      <c r="H438" s="1438"/>
    </row>
    <row r="439" spans="1:8" s="1404" customFormat="1">
      <c r="A439" s="1477"/>
      <c r="B439" s="1477"/>
      <c r="D439" s="1438"/>
      <c r="E439" s="1438"/>
      <c r="F439" s="1438"/>
      <c r="G439" s="1438"/>
      <c r="H439" s="1438"/>
    </row>
    <row r="440" spans="1:8" s="1404" customFormat="1">
      <c r="A440" s="1477"/>
      <c r="B440" s="1477"/>
      <c r="D440" s="1438"/>
      <c r="E440" s="1438"/>
      <c r="F440" s="1438"/>
      <c r="G440" s="1438"/>
      <c r="H440" s="1438"/>
    </row>
    <row r="441" spans="1:8" s="1404" customFormat="1">
      <c r="A441" s="1477"/>
      <c r="B441" s="1477"/>
      <c r="D441" s="1438"/>
      <c r="E441" s="1438"/>
      <c r="F441" s="1438"/>
      <c r="G441" s="1438"/>
      <c r="H441" s="1438"/>
    </row>
    <row r="442" spans="1:8" s="1404" customFormat="1">
      <c r="A442" s="1477"/>
      <c r="B442" s="1477"/>
      <c r="D442" s="1438"/>
      <c r="E442" s="1438"/>
      <c r="F442" s="1438"/>
      <c r="G442" s="1438"/>
      <c r="H442" s="1438"/>
    </row>
    <row r="443" spans="1:8" s="1404" customFormat="1">
      <c r="A443" s="1477"/>
      <c r="B443" s="1477"/>
      <c r="D443" s="1438"/>
      <c r="E443" s="1438"/>
      <c r="F443" s="1438"/>
      <c r="G443" s="1438"/>
      <c r="H443" s="1438"/>
    </row>
    <row r="444" spans="1:8" s="1404" customFormat="1">
      <c r="A444" s="1477"/>
      <c r="B444" s="1477"/>
      <c r="D444" s="1438"/>
      <c r="E444" s="1438"/>
      <c r="F444" s="1438"/>
      <c r="G444" s="1438"/>
      <c r="H444" s="1438"/>
    </row>
    <row r="445" spans="1:8" s="1404" customFormat="1">
      <c r="A445" s="1477"/>
      <c r="B445" s="1477"/>
      <c r="D445" s="1438"/>
      <c r="E445" s="1438"/>
      <c r="F445" s="1438"/>
      <c r="G445" s="1438"/>
      <c r="H445" s="1438"/>
    </row>
    <row r="446" spans="1:8" s="1404" customFormat="1">
      <c r="A446" s="1477"/>
      <c r="B446" s="1477"/>
      <c r="D446" s="1438"/>
      <c r="E446" s="1438"/>
      <c r="F446" s="1438"/>
      <c r="G446" s="1438"/>
      <c r="H446" s="1438"/>
    </row>
    <row r="447" spans="1:8" s="1404" customFormat="1">
      <c r="A447" s="1477"/>
      <c r="B447" s="1477"/>
      <c r="D447" s="1438"/>
      <c r="E447" s="1438"/>
      <c r="F447" s="1438"/>
      <c r="G447" s="1438"/>
      <c r="H447" s="1438"/>
    </row>
    <row r="448" spans="1:8" s="1404" customFormat="1">
      <c r="A448" s="1477"/>
      <c r="B448" s="1477"/>
      <c r="D448" s="1438"/>
      <c r="E448" s="1438"/>
      <c r="F448" s="1438"/>
      <c r="G448" s="1438"/>
      <c r="H448" s="1438"/>
    </row>
    <row r="449" spans="1:8" s="1404" customFormat="1">
      <c r="A449" s="1477"/>
      <c r="B449" s="1477"/>
      <c r="D449" s="1438"/>
      <c r="E449" s="1438"/>
      <c r="F449" s="1438"/>
      <c r="G449" s="1438"/>
      <c r="H449" s="1438"/>
    </row>
    <row r="450" spans="1:8" s="1404" customFormat="1">
      <c r="A450" s="1477"/>
      <c r="B450" s="1477"/>
      <c r="D450" s="1438"/>
      <c r="E450" s="1438"/>
      <c r="F450" s="1438"/>
      <c r="G450" s="1438"/>
      <c r="H450" s="1438"/>
    </row>
    <row r="451" spans="1:8" s="1404" customFormat="1">
      <c r="A451" s="1477"/>
      <c r="B451" s="1477"/>
      <c r="D451" s="1438"/>
      <c r="E451" s="1438"/>
      <c r="F451" s="1438"/>
      <c r="G451" s="1438"/>
      <c r="H451" s="1438"/>
    </row>
    <row r="452" spans="1:8" s="1404" customFormat="1">
      <c r="A452" s="1477"/>
      <c r="B452" s="1477"/>
      <c r="D452" s="1438"/>
      <c r="E452" s="1438"/>
      <c r="F452" s="1438"/>
      <c r="G452" s="1438"/>
      <c r="H452" s="1438"/>
    </row>
    <row r="453" spans="1:8" s="1404" customFormat="1">
      <c r="A453" s="1477"/>
      <c r="B453" s="1477"/>
      <c r="D453" s="1438"/>
      <c r="E453" s="1438"/>
      <c r="F453" s="1438"/>
      <c r="G453" s="1438"/>
      <c r="H453" s="1438"/>
    </row>
    <row r="454" spans="1:8" s="1404" customFormat="1">
      <c r="A454" s="1477"/>
      <c r="B454" s="1477"/>
      <c r="D454" s="1438"/>
      <c r="E454" s="1438"/>
      <c r="F454" s="1438"/>
      <c r="G454" s="1438"/>
      <c r="H454" s="1438"/>
    </row>
    <row r="455" spans="1:8" s="1404" customFormat="1">
      <c r="A455" s="1477"/>
      <c r="B455" s="1477"/>
      <c r="D455" s="1438"/>
      <c r="E455" s="1438"/>
      <c r="F455" s="1438"/>
      <c r="G455" s="1438"/>
      <c r="H455" s="1438"/>
    </row>
    <row r="456" spans="1:8" s="1404" customFormat="1">
      <c r="A456" s="1477"/>
      <c r="B456" s="1477"/>
      <c r="D456" s="1438"/>
      <c r="E456" s="1438"/>
      <c r="F456" s="1438"/>
      <c r="G456" s="1438"/>
      <c r="H456" s="1438"/>
    </row>
    <row r="457" spans="1:8" s="1404" customFormat="1">
      <c r="A457" s="1477"/>
      <c r="B457" s="1477"/>
      <c r="D457" s="1438"/>
      <c r="E457" s="1438"/>
      <c r="F457" s="1438"/>
      <c r="G457" s="1438"/>
      <c r="H457" s="1438"/>
    </row>
    <row r="458" spans="1:8" s="1404" customFormat="1">
      <c r="A458" s="1477"/>
      <c r="B458" s="1477"/>
      <c r="D458" s="1438"/>
      <c r="E458" s="1438"/>
      <c r="F458" s="1438"/>
      <c r="G458" s="1438"/>
      <c r="H458" s="1438"/>
    </row>
    <row r="459" spans="1:8" s="1404" customFormat="1">
      <c r="A459" s="1477"/>
      <c r="B459" s="1477"/>
      <c r="D459" s="1438"/>
      <c r="E459" s="1438"/>
      <c r="F459" s="1438"/>
      <c r="G459" s="1438"/>
      <c r="H459" s="1438"/>
    </row>
    <row r="460" spans="1:8" s="1404" customFormat="1">
      <c r="A460" s="1477"/>
      <c r="B460" s="1477"/>
      <c r="D460" s="1438"/>
      <c r="E460" s="1438"/>
      <c r="F460" s="1438"/>
      <c r="G460" s="1438"/>
      <c r="H460" s="1438"/>
    </row>
    <row r="461" spans="1:8" s="1404" customFormat="1">
      <c r="A461" s="1477"/>
      <c r="B461" s="1477"/>
      <c r="D461" s="1438"/>
      <c r="E461" s="1438"/>
      <c r="F461" s="1438"/>
      <c r="G461" s="1438"/>
      <c r="H461" s="1438"/>
    </row>
    <row r="462" spans="1:8" s="1404" customFormat="1">
      <c r="A462" s="1477"/>
      <c r="B462" s="1477"/>
      <c r="D462" s="1438"/>
      <c r="E462" s="1438"/>
      <c r="F462" s="1438"/>
      <c r="G462" s="1438"/>
      <c r="H462" s="1438"/>
    </row>
    <row r="463" spans="1:8" s="1404" customFormat="1">
      <c r="A463" s="1477"/>
      <c r="B463" s="1477"/>
      <c r="D463" s="1438"/>
      <c r="E463" s="1438"/>
      <c r="F463" s="1438"/>
      <c r="G463" s="1438"/>
      <c r="H463" s="1438"/>
    </row>
    <row r="464" spans="1:8" s="1404" customFormat="1">
      <c r="A464" s="1477"/>
      <c r="B464" s="1477"/>
      <c r="D464" s="1438"/>
      <c r="E464" s="1438"/>
      <c r="F464" s="1438"/>
      <c r="G464" s="1438"/>
      <c r="H464" s="1438"/>
    </row>
    <row r="465" spans="1:8" s="1404" customFormat="1">
      <c r="A465" s="1477"/>
      <c r="B465" s="1477"/>
      <c r="D465" s="1438"/>
      <c r="E465" s="1438"/>
      <c r="F465" s="1438"/>
      <c r="G465" s="1438"/>
      <c r="H465" s="1438"/>
    </row>
    <row r="466" spans="1:8" s="1404" customFormat="1">
      <c r="A466" s="1477"/>
      <c r="B466" s="1477"/>
      <c r="D466" s="1438"/>
      <c r="E466" s="1438"/>
      <c r="F466" s="1438"/>
      <c r="G466" s="1438"/>
      <c r="H466" s="1438"/>
    </row>
    <row r="467" spans="1:8" s="1404" customFormat="1">
      <c r="A467" s="1477"/>
      <c r="B467" s="1477"/>
      <c r="D467" s="1438"/>
      <c r="E467" s="1438"/>
      <c r="F467" s="1438"/>
      <c r="G467" s="1438"/>
      <c r="H467" s="1438"/>
    </row>
    <row r="468" spans="1:8" s="1404" customFormat="1">
      <c r="A468" s="1477"/>
      <c r="B468" s="1477"/>
      <c r="D468" s="1438"/>
      <c r="E468" s="1438"/>
      <c r="F468" s="1438"/>
      <c r="G468" s="1438"/>
      <c r="H468" s="1438"/>
    </row>
    <row r="469" spans="1:8" s="1404" customFormat="1">
      <c r="A469" s="1477"/>
      <c r="B469" s="1477"/>
      <c r="D469" s="1438"/>
      <c r="E469" s="1438"/>
      <c r="F469" s="1438"/>
      <c r="G469" s="1438"/>
      <c r="H469" s="1438"/>
    </row>
    <row r="470" spans="1:8" s="1404" customFormat="1">
      <c r="A470" s="1477"/>
      <c r="B470" s="1477"/>
      <c r="D470" s="1438"/>
      <c r="E470" s="1438"/>
      <c r="F470" s="1438"/>
      <c r="G470" s="1438"/>
      <c r="H470" s="1438"/>
    </row>
    <row r="471" spans="1:8" s="1404" customFormat="1">
      <c r="A471" s="1477"/>
      <c r="B471" s="1477"/>
      <c r="D471" s="1438"/>
      <c r="E471" s="1438"/>
      <c r="F471" s="1438"/>
      <c r="G471" s="1438"/>
      <c r="H471" s="1438"/>
    </row>
    <row r="472" spans="1:8" s="1404" customFormat="1">
      <c r="A472" s="1477"/>
      <c r="B472" s="1477"/>
      <c r="D472" s="1438"/>
      <c r="E472" s="1438"/>
      <c r="F472" s="1438"/>
      <c r="G472" s="1438"/>
      <c r="H472" s="1438"/>
    </row>
    <row r="473" spans="1:8" s="1404" customFormat="1">
      <c r="A473" s="1477"/>
      <c r="B473" s="1477"/>
      <c r="D473" s="1438"/>
      <c r="E473" s="1438"/>
      <c r="F473" s="1438"/>
      <c r="G473" s="1438"/>
      <c r="H473" s="1438"/>
    </row>
    <row r="474" spans="1:8" s="1404" customFormat="1">
      <c r="A474" s="1477"/>
      <c r="B474" s="1477"/>
      <c r="D474" s="1438"/>
      <c r="E474" s="1438"/>
      <c r="F474" s="1438"/>
      <c r="G474" s="1438"/>
      <c r="H474" s="1438"/>
    </row>
    <row r="475" spans="1:8" s="1404" customFormat="1">
      <c r="A475" s="1477"/>
      <c r="B475" s="1477"/>
      <c r="D475" s="1438"/>
      <c r="E475" s="1438"/>
      <c r="F475" s="1438"/>
      <c r="G475" s="1438"/>
      <c r="H475" s="1438"/>
    </row>
    <row r="476" spans="1:8" s="1404" customFormat="1">
      <c r="A476" s="1477"/>
      <c r="B476" s="1477"/>
      <c r="D476" s="1438"/>
      <c r="E476" s="1438"/>
      <c r="F476" s="1438"/>
      <c r="G476" s="1438"/>
      <c r="H476" s="1438"/>
    </row>
    <row r="477" spans="1:8" s="1404" customFormat="1">
      <c r="A477" s="1477"/>
      <c r="B477" s="1477"/>
      <c r="D477" s="1438"/>
      <c r="E477" s="1438"/>
      <c r="F477" s="1438"/>
      <c r="G477" s="1438"/>
      <c r="H477" s="1438"/>
    </row>
    <row r="478" spans="1:8" s="1404" customFormat="1">
      <c r="A478" s="1477"/>
      <c r="B478" s="1477"/>
      <c r="D478" s="1438"/>
      <c r="E478" s="1438"/>
      <c r="F478" s="1438"/>
      <c r="G478" s="1438"/>
      <c r="H478" s="1438"/>
    </row>
    <row r="479" spans="1:8" s="1404" customFormat="1">
      <c r="A479" s="1477"/>
      <c r="B479" s="1477"/>
      <c r="D479" s="1438"/>
      <c r="E479" s="1438"/>
      <c r="F479" s="1438"/>
      <c r="G479" s="1438"/>
      <c r="H479" s="1438"/>
    </row>
    <row r="480" spans="1:8" s="1404" customFormat="1">
      <c r="A480" s="1477"/>
      <c r="B480" s="1477"/>
      <c r="D480" s="1438"/>
      <c r="E480" s="1438"/>
      <c r="F480" s="1438"/>
      <c r="G480" s="1438"/>
      <c r="H480" s="1438"/>
    </row>
    <row r="481" spans="1:8" s="1404" customFormat="1">
      <c r="A481" s="1477"/>
      <c r="B481" s="1477"/>
      <c r="D481" s="1438"/>
      <c r="E481" s="1438"/>
      <c r="F481" s="1438"/>
      <c r="G481" s="1438"/>
      <c r="H481" s="1438"/>
    </row>
    <row r="482" spans="1:8" s="1404" customFormat="1">
      <c r="A482" s="1477"/>
      <c r="B482" s="1477"/>
      <c r="D482" s="1438"/>
      <c r="E482" s="1438"/>
      <c r="F482" s="1438"/>
      <c r="G482" s="1438"/>
      <c r="H482" s="1438"/>
    </row>
    <row r="483" spans="1:8" s="1404" customFormat="1">
      <c r="A483" s="1477"/>
      <c r="B483" s="1477"/>
      <c r="D483" s="1438"/>
      <c r="E483" s="1438"/>
      <c r="F483" s="1438"/>
      <c r="G483" s="1438"/>
      <c r="H483" s="1438"/>
    </row>
    <row r="484" spans="1:8" s="1404" customFormat="1">
      <c r="A484" s="1477"/>
      <c r="B484" s="1477"/>
      <c r="D484" s="1438"/>
      <c r="E484" s="1438"/>
      <c r="F484" s="1438"/>
      <c r="G484" s="1438"/>
      <c r="H484" s="1438"/>
    </row>
    <row r="485" spans="1:8" s="1404" customFormat="1">
      <c r="A485" s="1477"/>
      <c r="B485" s="1477"/>
      <c r="D485" s="1438"/>
      <c r="E485" s="1438"/>
      <c r="F485" s="1438"/>
      <c r="G485" s="1438"/>
      <c r="H485" s="1438"/>
    </row>
    <row r="486" spans="1:8" s="1404" customFormat="1">
      <c r="A486" s="1477"/>
      <c r="B486" s="1477"/>
      <c r="D486" s="1438"/>
      <c r="E486" s="1438"/>
      <c r="F486" s="1438"/>
      <c r="G486" s="1438"/>
      <c r="H486" s="1438"/>
    </row>
    <row r="487" spans="1:8" s="1404" customFormat="1">
      <c r="A487" s="1477"/>
      <c r="B487" s="1477"/>
      <c r="D487" s="1438"/>
      <c r="E487" s="1438"/>
      <c r="F487" s="1438"/>
      <c r="G487" s="1438"/>
      <c r="H487" s="1438"/>
    </row>
    <row r="488" spans="1:8" s="1404" customFormat="1">
      <c r="A488" s="1477"/>
      <c r="B488" s="1477"/>
      <c r="D488" s="1438"/>
      <c r="E488" s="1438"/>
      <c r="F488" s="1438"/>
      <c r="G488" s="1438"/>
      <c r="H488" s="1438"/>
    </row>
    <row r="489" spans="1:8" s="1404" customFormat="1">
      <c r="A489" s="1477"/>
      <c r="B489" s="1477"/>
      <c r="D489" s="1438"/>
      <c r="E489" s="1438"/>
      <c r="F489" s="1438"/>
      <c r="G489" s="1438"/>
      <c r="H489" s="1438"/>
    </row>
    <row r="490" spans="1:8" s="1404" customFormat="1">
      <c r="A490" s="1477"/>
      <c r="B490" s="1477"/>
      <c r="D490" s="1438"/>
      <c r="E490" s="1438"/>
      <c r="F490" s="1438"/>
      <c r="G490" s="1438"/>
      <c r="H490" s="1438"/>
    </row>
    <row r="491" spans="1:8" s="1404" customFormat="1">
      <c r="A491" s="1477"/>
      <c r="B491" s="1477"/>
      <c r="D491" s="1438"/>
      <c r="E491" s="1438"/>
      <c r="F491" s="1438"/>
      <c r="G491" s="1438"/>
      <c r="H491" s="1438"/>
    </row>
    <row r="492" spans="1:8" s="1404" customFormat="1">
      <c r="A492" s="1477"/>
      <c r="B492" s="1477"/>
      <c r="D492" s="1438"/>
      <c r="E492" s="1438"/>
      <c r="F492" s="1438"/>
      <c r="G492" s="1438"/>
      <c r="H492" s="1438"/>
    </row>
    <row r="493" spans="1:8" s="1404" customFormat="1">
      <c r="A493" s="1477"/>
      <c r="B493" s="1477"/>
      <c r="D493" s="1438"/>
      <c r="E493" s="1438"/>
      <c r="F493" s="1438"/>
      <c r="G493" s="1438"/>
      <c r="H493" s="1438"/>
    </row>
    <row r="494" spans="1:8" s="1404" customFormat="1">
      <c r="A494" s="1477"/>
      <c r="B494" s="1477"/>
      <c r="D494" s="1438"/>
      <c r="E494" s="1438"/>
      <c r="F494" s="1438"/>
      <c r="G494" s="1438"/>
      <c r="H494" s="1438"/>
    </row>
    <row r="495" spans="1:8" s="1404" customFormat="1">
      <c r="A495" s="1477"/>
      <c r="B495" s="1477"/>
      <c r="D495" s="1438"/>
      <c r="E495" s="1438"/>
      <c r="F495" s="1438"/>
      <c r="G495" s="1438"/>
      <c r="H495" s="1438"/>
    </row>
    <row r="496" spans="1:8" s="1404" customFormat="1">
      <c r="A496" s="1477"/>
      <c r="B496" s="1477"/>
      <c r="D496" s="1438"/>
      <c r="E496" s="1438"/>
      <c r="F496" s="1438"/>
      <c r="G496" s="1438"/>
      <c r="H496" s="1438"/>
    </row>
    <row r="497" spans="1:8" s="1404" customFormat="1">
      <c r="A497" s="1477"/>
      <c r="B497" s="1477"/>
      <c r="D497" s="1438"/>
      <c r="E497" s="1438"/>
      <c r="F497" s="1438"/>
      <c r="G497" s="1438"/>
      <c r="H497" s="1438"/>
    </row>
    <row r="498" spans="1:8" s="1404" customFormat="1">
      <c r="A498" s="1477"/>
      <c r="B498" s="1477"/>
      <c r="D498" s="1438"/>
      <c r="E498" s="1438"/>
      <c r="F498" s="1438"/>
      <c r="G498" s="1438"/>
      <c r="H498" s="1438"/>
    </row>
    <row r="499" spans="1:8" s="1404" customFormat="1">
      <c r="A499" s="1477"/>
      <c r="B499" s="1477"/>
      <c r="D499" s="1438"/>
      <c r="E499" s="1438"/>
      <c r="F499" s="1438"/>
      <c r="G499" s="1438"/>
      <c r="H499" s="1438"/>
    </row>
    <row r="500" spans="1:8" s="1404" customFormat="1">
      <c r="A500" s="1477"/>
      <c r="B500" s="1477"/>
      <c r="D500" s="1438"/>
      <c r="E500" s="1438"/>
      <c r="F500" s="1438"/>
      <c r="G500" s="1438"/>
      <c r="H500" s="1438"/>
    </row>
    <row r="501" spans="1:8" s="1404" customFormat="1">
      <c r="A501" s="1477"/>
      <c r="B501" s="1477"/>
      <c r="D501" s="1438"/>
      <c r="E501" s="1438"/>
      <c r="F501" s="1438"/>
      <c r="G501" s="1438"/>
      <c r="H501" s="1438"/>
    </row>
    <row r="502" spans="1:8" s="1404" customFormat="1">
      <c r="A502" s="1477"/>
      <c r="B502" s="1477"/>
      <c r="D502" s="1438"/>
      <c r="E502" s="1438"/>
      <c r="F502" s="1438"/>
      <c r="G502" s="1438"/>
      <c r="H502" s="1438"/>
    </row>
    <row r="503" spans="1:8" s="1404" customFormat="1">
      <c r="A503" s="1477"/>
      <c r="B503" s="1477"/>
      <c r="D503" s="1438"/>
      <c r="E503" s="1438"/>
      <c r="F503" s="1438"/>
      <c r="G503" s="1438"/>
      <c r="H503" s="1438"/>
    </row>
    <row r="504" spans="1:8" s="1404" customFormat="1">
      <c r="A504" s="1477"/>
      <c r="B504" s="1477"/>
      <c r="D504" s="1438"/>
      <c r="E504" s="1438"/>
      <c r="F504" s="1438"/>
      <c r="G504" s="1438"/>
      <c r="H504" s="1438"/>
    </row>
    <row r="505" spans="1:8" s="1404" customFormat="1">
      <c r="A505" s="1477"/>
      <c r="B505" s="1477"/>
      <c r="D505" s="1438"/>
      <c r="E505" s="1438"/>
      <c r="F505" s="1438"/>
      <c r="G505" s="1438"/>
      <c r="H505" s="1438"/>
    </row>
    <row r="506" spans="1:8" s="1404" customFormat="1">
      <c r="A506" s="1477"/>
      <c r="B506" s="1477"/>
      <c r="D506" s="1438"/>
      <c r="E506" s="1438"/>
      <c r="F506" s="1438"/>
      <c r="G506" s="1438"/>
      <c r="H506" s="1438"/>
    </row>
    <row r="507" spans="1:8" s="1404" customFormat="1">
      <c r="A507" s="1477"/>
      <c r="B507" s="1477"/>
      <c r="D507" s="1438"/>
      <c r="E507" s="1438"/>
      <c r="F507" s="1438"/>
      <c r="G507" s="1438"/>
      <c r="H507" s="1438"/>
    </row>
    <row r="508" spans="1:8" s="1404" customFormat="1">
      <c r="A508" s="1477"/>
      <c r="B508" s="1477"/>
      <c r="D508" s="1438"/>
      <c r="E508" s="1438"/>
      <c r="F508" s="1438"/>
      <c r="G508" s="1438"/>
      <c r="H508" s="1438"/>
    </row>
    <row r="509" spans="1:8" s="1404" customFormat="1">
      <c r="A509" s="1477"/>
      <c r="B509" s="1477"/>
      <c r="D509" s="1438"/>
      <c r="E509" s="1438"/>
      <c r="F509" s="1438"/>
      <c r="G509" s="1438"/>
      <c r="H509" s="1438"/>
    </row>
    <row r="510" spans="1:8" s="1404" customFormat="1">
      <c r="A510" s="1477"/>
      <c r="B510" s="1477"/>
      <c r="D510" s="1438"/>
      <c r="E510" s="1438"/>
      <c r="F510" s="1438"/>
      <c r="G510" s="1438"/>
      <c r="H510" s="1438"/>
    </row>
    <row r="511" spans="1:8" s="1404" customFormat="1">
      <c r="A511" s="1477"/>
      <c r="B511" s="1477"/>
      <c r="D511" s="1438"/>
      <c r="E511" s="1438"/>
      <c r="F511" s="1438"/>
      <c r="G511" s="1438"/>
      <c r="H511" s="1438"/>
    </row>
    <row r="512" spans="1:8" s="1404" customFormat="1">
      <c r="A512" s="1477"/>
      <c r="B512" s="1477"/>
      <c r="D512" s="1438"/>
      <c r="E512" s="1438"/>
      <c r="F512" s="1438"/>
      <c r="G512" s="1438"/>
      <c r="H512" s="1438"/>
    </row>
    <row r="513" spans="1:8" s="1404" customFormat="1">
      <c r="A513" s="1477"/>
      <c r="B513" s="1477"/>
      <c r="D513" s="1438"/>
      <c r="E513" s="1438"/>
      <c r="F513" s="1438"/>
      <c r="G513" s="1438"/>
      <c r="H513" s="1438"/>
    </row>
    <row r="514" spans="1:8" s="1404" customFormat="1">
      <c r="A514" s="1477"/>
      <c r="B514" s="1477"/>
      <c r="D514" s="1438"/>
      <c r="E514" s="1438"/>
      <c r="F514" s="1438"/>
      <c r="G514" s="1438"/>
      <c r="H514" s="1438"/>
    </row>
    <row r="515" spans="1:8" s="1404" customFormat="1">
      <c r="A515" s="1477"/>
      <c r="B515" s="1477"/>
      <c r="D515" s="1438"/>
      <c r="E515" s="1438"/>
      <c r="F515" s="1438"/>
      <c r="G515" s="1438"/>
      <c r="H515" s="1438"/>
    </row>
    <row r="516" spans="1:8" s="1404" customFormat="1">
      <c r="A516" s="1477"/>
      <c r="B516" s="1477"/>
      <c r="D516" s="1438"/>
      <c r="E516" s="1438"/>
      <c r="F516" s="1438"/>
      <c r="G516" s="1438"/>
      <c r="H516" s="1438"/>
    </row>
    <row r="517" spans="1:8" s="1404" customFormat="1">
      <c r="A517" s="1477"/>
      <c r="B517" s="1477"/>
      <c r="D517" s="1438"/>
      <c r="E517" s="1438"/>
      <c r="F517" s="1438"/>
      <c r="G517" s="1438"/>
      <c r="H517" s="1438"/>
    </row>
    <row r="518" spans="1:8" s="1404" customFormat="1">
      <c r="A518" s="1477"/>
      <c r="B518" s="1477"/>
      <c r="D518" s="1438"/>
      <c r="E518" s="1438"/>
      <c r="F518" s="1438"/>
      <c r="G518" s="1438"/>
      <c r="H518" s="1438"/>
    </row>
    <row r="519" spans="1:8" s="1404" customFormat="1">
      <c r="A519" s="1477"/>
      <c r="B519" s="1477"/>
      <c r="D519" s="1438"/>
      <c r="E519" s="1438"/>
      <c r="F519" s="1438"/>
      <c r="G519" s="1438"/>
      <c r="H519" s="1438"/>
    </row>
    <row r="520" spans="1:8" s="1404" customFormat="1">
      <c r="A520" s="1477"/>
      <c r="B520" s="1477"/>
      <c r="D520" s="1438"/>
      <c r="E520" s="1438"/>
      <c r="F520" s="1438"/>
      <c r="G520" s="1438"/>
      <c r="H520" s="1438"/>
    </row>
    <row r="521" spans="1:8" s="1404" customFormat="1">
      <c r="A521" s="1477"/>
      <c r="B521" s="1477"/>
      <c r="D521" s="1438"/>
      <c r="E521" s="1438"/>
      <c r="F521" s="1438"/>
      <c r="G521" s="1438"/>
      <c r="H521" s="1438"/>
    </row>
    <row r="522" spans="1:8" s="1404" customFormat="1">
      <c r="A522" s="1477"/>
      <c r="B522" s="1477"/>
      <c r="D522" s="1438"/>
      <c r="E522" s="1438"/>
      <c r="F522" s="1438"/>
      <c r="G522" s="1438"/>
      <c r="H522" s="1438"/>
    </row>
    <row r="523" spans="1:8" s="1404" customFormat="1">
      <c r="A523" s="1477"/>
      <c r="B523" s="1477"/>
      <c r="D523" s="1438"/>
      <c r="E523" s="1438"/>
      <c r="F523" s="1438"/>
      <c r="G523" s="1438"/>
      <c r="H523" s="1438"/>
    </row>
    <row r="524" spans="1:8" s="1404" customFormat="1">
      <c r="A524" s="1477"/>
      <c r="B524" s="1477"/>
      <c r="D524" s="1438"/>
      <c r="E524" s="1438"/>
      <c r="F524" s="1438"/>
      <c r="G524" s="1438"/>
      <c r="H524" s="1438"/>
    </row>
    <row r="525" spans="1:8" s="1404" customFormat="1">
      <c r="A525" s="1477"/>
      <c r="B525" s="1477"/>
      <c r="D525" s="1438"/>
      <c r="E525" s="1438"/>
      <c r="F525" s="1438"/>
      <c r="G525" s="1438"/>
      <c r="H525" s="1438"/>
    </row>
    <row r="526" spans="1:8" s="1404" customFormat="1">
      <c r="A526" s="1477"/>
      <c r="B526" s="1477"/>
      <c r="D526" s="1438"/>
      <c r="E526" s="1438"/>
      <c r="F526" s="1438"/>
      <c r="G526" s="1438"/>
      <c r="H526" s="1438"/>
    </row>
    <row r="527" spans="1:8" s="1404" customFormat="1">
      <c r="A527" s="1477"/>
      <c r="B527" s="1477"/>
      <c r="D527" s="1438"/>
      <c r="E527" s="1438"/>
      <c r="F527" s="1438"/>
      <c r="G527" s="1438"/>
      <c r="H527" s="1438"/>
    </row>
    <row r="528" spans="1:8" s="1404" customFormat="1">
      <c r="A528" s="1477"/>
      <c r="B528" s="1477"/>
      <c r="D528" s="1438"/>
      <c r="E528" s="1438"/>
      <c r="F528" s="1438"/>
      <c r="G528" s="1438"/>
      <c r="H528" s="1438"/>
    </row>
    <row r="529" spans="1:8" s="1404" customFormat="1">
      <c r="A529" s="1477"/>
      <c r="B529" s="1477"/>
      <c r="D529" s="1438"/>
      <c r="E529" s="1438"/>
      <c r="F529" s="1438"/>
      <c r="G529" s="1438"/>
      <c r="H529" s="1438"/>
    </row>
    <row r="530" spans="1:8" s="1404" customFormat="1">
      <c r="A530" s="1477"/>
      <c r="B530" s="1477"/>
      <c r="D530" s="1438"/>
      <c r="E530" s="1438"/>
      <c r="F530" s="1438"/>
      <c r="G530" s="1438"/>
      <c r="H530" s="1438"/>
    </row>
    <row r="531" spans="1:8" s="1404" customFormat="1">
      <c r="A531" s="1477"/>
      <c r="B531" s="1477"/>
      <c r="D531" s="1438"/>
      <c r="E531" s="1438"/>
      <c r="F531" s="1438"/>
      <c r="G531" s="1438"/>
      <c r="H531" s="1438"/>
    </row>
    <row r="532" spans="1:8" s="1404" customFormat="1">
      <c r="A532" s="1477"/>
      <c r="B532" s="1477"/>
      <c r="D532" s="1438"/>
      <c r="E532" s="1438"/>
      <c r="F532" s="1438"/>
      <c r="G532" s="1438"/>
      <c r="H532" s="1438"/>
    </row>
    <row r="533" spans="1:8" s="1404" customFormat="1">
      <c r="A533" s="1477"/>
      <c r="B533" s="1477"/>
      <c r="D533" s="1438"/>
      <c r="E533" s="1438"/>
      <c r="F533" s="1438"/>
      <c r="G533" s="1438"/>
      <c r="H533" s="1438"/>
    </row>
    <row r="534" spans="1:8" s="1404" customFormat="1">
      <c r="A534" s="1477"/>
      <c r="B534" s="1477"/>
      <c r="D534" s="1438"/>
      <c r="E534" s="1438"/>
      <c r="F534" s="1438"/>
      <c r="G534" s="1438"/>
      <c r="H534" s="1438"/>
    </row>
    <row r="535" spans="1:8" s="1404" customFormat="1">
      <c r="A535" s="1477"/>
      <c r="B535" s="1477"/>
      <c r="D535" s="1438"/>
      <c r="E535" s="1438"/>
      <c r="F535" s="1438"/>
      <c r="G535" s="1438"/>
      <c r="H535" s="1438"/>
    </row>
    <row r="536" spans="1:8" s="1404" customFormat="1">
      <c r="A536" s="1477"/>
      <c r="B536" s="1477"/>
      <c r="D536" s="1438"/>
      <c r="E536" s="1438"/>
      <c r="F536" s="1438"/>
      <c r="G536" s="1438"/>
      <c r="H536" s="1438"/>
    </row>
    <row r="537" spans="1:8" s="1404" customFormat="1">
      <c r="A537" s="1477"/>
      <c r="B537" s="1477"/>
      <c r="D537" s="1438"/>
      <c r="E537" s="1438"/>
      <c r="F537" s="1438"/>
      <c r="G537" s="1438"/>
      <c r="H537" s="1438"/>
    </row>
    <row r="538" spans="1:8" s="1404" customFormat="1">
      <c r="A538" s="1477"/>
      <c r="B538" s="1477"/>
      <c r="D538" s="1438"/>
      <c r="E538" s="1438"/>
      <c r="F538" s="1438"/>
      <c r="G538" s="1438"/>
      <c r="H538" s="1438"/>
    </row>
    <row r="539" spans="1:8" s="1404" customFormat="1">
      <c r="A539" s="1477"/>
      <c r="B539" s="1477"/>
      <c r="D539" s="1438"/>
      <c r="E539" s="1438"/>
      <c r="F539" s="1438"/>
      <c r="G539" s="1438"/>
      <c r="H539" s="1438"/>
    </row>
    <row r="540" spans="1:8" s="1404" customFormat="1">
      <c r="A540" s="1477"/>
      <c r="B540" s="1477"/>
      <c r="D540" s="1438"/>
      <c r="E540" s="1438"/>
      <c r="F540" s="1438"/>
      <c r="G540" s="1438"/>
      <c r="H540" s="1438"/>
    </row>
    <row r="541" spans="1:8" s="1404" customFormat="1">
      <c r="A541" s="1477"/>
      <c r="B541" s="1477"/>
      <c r="D541" s="1438"/>
      <c r="E541" s="1438"/>
      <c r="F541" s="1438"/>
      <c r="G541" s="1438"/>
      <c r="H541" s="1438"/>
    </row>
    <row r="542" spans="1:8" s="1404" customFormat="1">
      <c r="A542" s="1477"/>
      <c r="B542" s="1477"/>
      <c r="D542" s="1438"/>
      <c r="E542" s="1438"/>
      <c r="F542" s="1438"/>
      <c r="G542" s="1438"/>
      <c r="H542" s="1438"/>
    </row>
    <row r="543" spans="1:8" s="1404" customFormat="1">
      <c r="A543" s="1477"/>
      <c r="B543" s="1477"/>
      <c r="D543" s="1438"/>
      <c r="E543" s="1438"/>
      <c r="F543" s="1438"/>
      <c r="G543" s="1438"/>
      <c r="H543" s="1438"/>
    </row>
    <row r="544" spans="1:8" s="1404" customFormat="1">
      <c r="A544" s="1477"/>
      <c r="B544" s="1477"/>
      <c r="D544" s="1438"/>
      <c r="E544" s="1438"/>
      <c r="F544" s="1438"/>
      <c r="G544" s="1438"/>
      <c r="H544" s="1438"/>
    </row>
    <row r="545" spans="1:8" s="1404" customFormat="1">
      <c r="A545" s="1477"/>
      <c r="B545" s="1477"/>
      <c r="D545" s="1438"/>
      <c r="E545" s="1438"/>
      <c r="F545" s="1438"/>
      <c r="G545" s="1438"/>
      <c r="H545" s="1438"/>
    </row>
    <row r="546" spans="1:8" s="1404" customFormat="1">
      <c r="A546" s="1477"/>
      <c r="B546" s="1477"/>
      <c r="D546" s="1438"/>
      <c r="E546" s="1438"/>
      <c r="F546" s="1438"/>
      <c r="G546" s="1438"/>
      <c r="H546" s="1438"/>
    </row>
    <row r="547" spans="1:8" s="1404" customFormat="1">
      <c r="A547" s="1477"/>
      <c r="B547" s="1477"/>
      <c r="D547" s="1438"/>
      <c r="E547" s="1438"/>
      <c r="F547" s="1438"/>
      <c r="G547" s="1438"/>
      <c r="H547" s="1438"/>
    </row>
    <row r="548" spans="1:8" s="1404" customFormat="1">
      <c r="A548" s="1477"/>
      <c r="B548" s="1477"/>
      <c r="D548" s="1438"/>
      <c r="E548" s="1438"/>
      <c r="F548" s="1438"/>
      <c r="G548" s="1438"/>
      <c r="H548" s="1438"/>
    </row>
    <row r="549" spans="1:8" s="1404" customFormat="1">
      <c r="A549" s="1477"/>
      <c r="B549" s="1477"/>
      <c r="D549" s="1438"/>
      <c r="E549" s="1438"/>
      <c r="F549" s="1438"/>
      <c r="G549" s="1438"/>
      <c r="H549" s="1438"/>
    </row>
    <row r="550" spans="1:8" s="1404" customFormat="1">
      <c r="A550" s="1477"/>
      <c r="B550" s="1477"/>
      <c r="D550" s="1438"/>
      <c r="E550" s="1438"/>
      <c r="F550" s="1438"/>
      <c r="G550" s="1438"/>
      <c r="H550" s="1438"/>
    </row>
    <row r="551" spans="1:8" s="1404" customFormat="1">
      <c r="A551" s="1477"/>
      <c r="B551" s="1477"/>
      <c r="D551" s="1438"/>
      <c r="E551" s="1438"/>
      <c r="F551" s="1438"/>
      <c r="G551" s="1438"/>
      <c r="H551" s="1438"/>
    </row>
    <row r="552" spans="1:8" s="1404" customFormat="1">
      <c r="A552" s="1477"/>
      <c r="B552" s="1477"/>
      <c r="D552" s="1438"/>
      <c r="E552" s="1438"/>
      <c r="F552" s="1438"/>
      <c r="G552" s="1438"/>
      <c r="H552" s="1438"/>
    </row>
    <row r="553" spans="1:8" s="1404" customFormat="1">
      <c r="A553" s="1477"/>
      <c r="B553" s="1477"/>
      <c r="D553" s="1438"/>
      <c r="E553" s="1438"/>
      <c r="F553" s="1438"/>
      <c r="G553" s="1438"/>
      <c r="H553" s="1438"/>
    </row>
    <row r="554" spans="1:8" s="1404" customFormat="1">
      <c r="A554" s="1477"/>
      <c r="B554" s="1477"/>
      <c r="D554" s="1438"/>
      <c r="E554" s="1438"/>
      <c r="F554" s="1438"/>
      <c r="G554" s="1438"/>
      <c r="H554" s="1438"/>
    </row>
    <row r="555" spans="1:8" s="1404" customFormat="1">
      <c r="A555" s="1477"/>
      <c r="B555" s="1477"/>
      <c r="D555" s="1438"/>
      <c r="E555" s="1438"/>
      <c r="F555" s="1438"/>
      <c r="G555" s="1438"/>
      <c r="H555" s="1438"/>
    </row>
    <row r="556" spans="1:8" s="1404" customFormat="1">
      <c r="A556" s="1477"/>
      <c r="B556" s="1477"/>
      <c r="D556" s="1438"/>
      <c r="E556" s="1438"/>
      <c r="F556" s="1438"/>
      <c r="G556" s="1438"/>
      <c r="H556" s="1438"/>
    </row>
    <row r="557" spans="1:8" s="1404" customFormat="1">
      <c r="A557" s="1477"/>
      <c r="B557" s="1477"/>
      <c r="D557" s="1438"/>
      <c r="E557" s="1438"/>
      <c r="F557" s="1438"/>
      <c r="G557" s="1438"/>
      <c r="H557" s="1438"/>
    </row>
    <row r="558" spans="1:8" s="1404" customFormat="1">
      <c r="A558" s="1477"/>
      <c r="B558" s="1477"/>
      <c r="D558" s="1438"/>
      <c r="E558" s="1438"/>
      <c r="F558" s="1438"/>
      <c r="G558" s="1438"/>
      <c r="H558" s="1438"/>
    </row>
    <row r="559" spans="1:8" s="1404" customFormat="1">
      <c r="A559" s="1477"/>
      <c r="B559" s="1477"/>
      <c r="D559" s="1438"/>
      <c r="E559" s="1438"/>
      <c r="F559" s="1438"/>
      <c r="G559" s="1438"/>
      <c r="H559" s="1438"/>
    </row>
    <row r="560" spans="1:8" s="1404" customFormat="1">
      <c r="A560" s="1477"/>
      <c r="B560" s="1477"/>
      <c r="D560" s="1438"/>
      <c r="E560" s="1438"/>
      <c r="F560" s="1438"/>
      <c r="G560" s="1438"/>
      <c r="H560" s="1438"/>
    </row>
    <row r="561" spans="1:8" s="1404" customFormat="1">
      <c r="A561" s="1477"/>
      <c r="B561" s="1477"/>
      <c r="D561" s="1438"/>
      <c r="E561" s="1438"/>
      <c r="F561" s="1438"/>
      <c r="G561" s="1438"/>
      <c r="H561" s="1438"/>
    </row>
    <row r="562" spans="1:8" s="1404" customFormat="1">
      <c r="A562" s="1477"/>
      <c r="B562" s="1477"/>
      <c r="D562" s="1438"/>
      <c r="E562" s="1438"/>
      <c r="F562" s="1438"/>
      <c r="G562" s="1438"/>
      <c r="H562" s="1438"/>
    </row>
    <row r="563" spans="1:8" s="1404" customFormat="1">
      <c r="A563" s="1477"/>
      <c r="B563" s="1477"/>
      <c r="D563" s="1438"/>
      <c r="E563" s="1438"/>
      <c r="F563" s="1438"/>
      <c r="G563" s="1438"/>
      <c r="H563" s="1438"/>
    </row>
    <row r="564" spans="1:8" s="1404" customFormat="1">
      <c r="A564" s="1477"/>
      <c r="B564" s="1477"/>
      <c r="D564" s="1438"/>
      <c r="E564" s="1438"/>
      <c r="F564" s="1438"/>
      <c r="G564" s="1438"/>
      <c r="H564" s="1438"/>
    </row>
    <row r="565" spans="1:8" s="1404" customFormat="1">
      <c r="A565" s="1477"/>
      <c r="B565" s="1477"/>
      <c r="D565" s="1438"/>
      <c r="E565" s="1438"/>
      <c r="F565" s="1438"/>
      <c r="G565" s="1438"/>
      <c r="H565" s="1438"/>
    </row>
    <row r="566" spans="1:8" s="1404" customFormat="1">
      <c r="A566" s="1477"/>
      <c r="B566" s="1477"/>
      <c r="D566" s="1438"/>
      <c r="E566" s="1438"/>
      <c r="F566" s="1438"/>
      <c r="G566" s="1438"/>
      <c r="H566" s="1438"/>
    </row>
    <row r="567" spans="1:8" s="1404" customFormat="1">
      <c r="A567" s="1477"/>
      <c r="B567" s="1477"/>
      <c r="D567" s="1438"/>
      <c r="E567" s="1438"/>
      <c r="F567" s="1438"/>
      <c r="G567" s="1438"/>
      <c r="H567" s="1438"/>
    </row>
    <row r="568" spans="1:8" s="1404" customFormat="1">
      <c r="A568" s="1477"/>
      <c r="B568" s="1477"/>
      <c r="D568" s="1438"/>
      <c r="E568" s="1438"/>
      <c r="F568" s="1438"/>
      <c r="G568" s="1438"/>
      <c r="H568" s="1438"/>
    </row>
    <row r="569" spans="1:8" s="1404" customFormat="1">
      <c r="A569" s="1477"/>
      <c r="B569" s="1477"/>
      <c r="D569" s="1438"/>
      <c r="E569" s="1438"/>
      <c r="F569" s="1438"/>
      <c r="G569" s="1438"/>
      <c r="H569" s="1438"/>
    </row>
    <row r="570" spans="1:8" s="1404" customFormat="1">
      <c r="A570" s="1477"/>
      <c r="B570" s="1477"/>
      <c r="D570" s="1438"/>
      <c r="E570" s="1438"/>
      <c r="F570" s="1438"/>
      <c r="G570" s="1438"/>
      <c r="H570" s="1438"/>
    </row>
    <row r="571" spans="1:8" s="1404" customFormat="1">
      <c r="A571" s="1477"/>
      <c r="B571" s="1477"/>
      <c r="D571" s="1438"/>
      <c r="E571" s="1438"/>
      <c r="F571" s="1438"/>
      <c r="G571" s="1438"/>
      <c r="H571" s="1438"/>
    </row>
    <row r="572" spans="1:8" s="1404" customFormat="1">
      <c r="A572" s="1477"/>
      <c r="B572" s="1477"/>
      <c r="D572" s="1438"/>
      <c r="E572" s="1438"/>
      <c r="F572" s="1438"/>
      <c r="G572" s="1438"/>
      <c r="H572" s="1438"/>
    </row>
    <row r="573" spans="1:8" s="1404" customFormat="1">
      <c r="A573" s="1477"/>
      <c r="B573" s="1477"/>
      <c r="D573" s="1438"/>
      <c r="E573" s="1438"/>
      <c r="F573" s="1438"/>
      <c r="G573" s="1438"/>
      <c r="H573" s="1438"/>
    </row>
    <row r="574" spans="1:8" s="1404" customFormat="1">
      <c r="A574" s="1477"/>
      <c r="B574" s="1477"/>
      <c r="D574" s="1438"/>
      <c r="E574" s="1438"/>
      <c r="F574" s="1438"/>
      <c r="G574" s="1438"/>
      <c r="H574" s="1438"/>
    </row>
    <row r="575" spans="1:8" s="1404" customFormat="1">
      <c r="A575" s="1477"/>
      <c r="B575" s="1477"/>
      <c r="D575" s="1438"/>
      <c r="E575" s="1438"/>
      <c r="F575" s="1438"/>
      <c r="G575" s="1438"/>
      <c r="H575" s="1438"/>
    </row>
    <row r="576" spans="1:8" s="1404" customFormat="1">
      <c r="A576" s="1477"/>
      <c r="B576" s="1477"/>
      <c r="D576" s="1438"/>
      <c r="E576" s="1438"/>
      <c r="F576" s="1438"/>
      <c r="G576" s="1438"/>
      <c r="H576" s="1438"/>
    </row>
    <row r="577" spans="1:8" s="1404" customFormat="1">
      <c r="A577" s="1477"/>
      <c r="B577" s="1477"/>
      <c r="D577" s="1438"/>
      <c r="E577" s="1438"/>
      <c r="F577" s="1438"/>
      <c r="G577" s="1438"/>
      <c r="H577" s="1438"/>
    </row>
    <row r="578" spans="1:8" s="1404" customFormat="1">
      <c r="A578" s="1477"/>
      <c r="B578" s="1477"/>
      <c r="D578" s="1438"/>
      <c r="E578" s="1438"/>
      <c r="F578" s="1438"/>
      <c r="G578" s="1438"/>
      <c r="H578" s="1438"/>
    </row>
    <row r="579" spans="1:8" s="1404" customFormat="1">
      <c r="A579" s="1477"/>
      <c r="B579" s="1477"/>
      <c r="D579" s="1438"/>
      <c r="E579" s="1438"/>
      <c r="F579" s="1438"/>
      <c r="G579" s="1438"/>
      <c r="H579" s="1438"/>
    </row>
    <row r="580" spans="1:8" s="1404" customFormat="1">
      <c r="A580" s="1477"/>
      <c r="B580" s="1477"/>
      <c r="D580" s="1438"/>
      <c r="E580" s="1438"/>
      <c r="F580" s="1438"/>
      <c r="G580" s="1438"/>
      <c r="H580" s="1438"/>
    </row>
    <row r="581" spans="1:8" s="1404" customFormat="1">
      <c r="A581" s="1477"/>
      <c r="B581" s="1477"/>
      <c r="D581" s="1438"/>
      <c r="E581" s="1438"/>
      <c r="F581" s="1438"/>
      <c r="G581" s="1438"/>
      <c r="H581" s="1438"/>
    </row>
    <row r="582" spans="1:8" s="1404" customFormat="1">
      <c r="A582" s="1477"/>
      <c r="B582" s="1477"/>
      <c r="D582" s="1438"/>
      <c r="E582" s="1438"/>
      <c r="F582" s="1438"/>
      <c r="G582" s="1438"/>
      <c r="H582" s="1438"/>
    </row>
    <row r="583" spans="1:8" s="1404" customFormat="1">
      <c r="A583" s="1477"/>
      <c r="B583" s="1477"/>
      <c r="D583" s="1438"/>
      <c r="E583" s="1438"/>
      <c r="F583" s="1438"/>
      <c r="G583" s="1438"/>
      <c r="H583" s="1438"/>
    </row>
    <row r="584" spans="1:8" s="1404" customFormat="1">
      <c r="A584" s="1477"/>
      <c r="B584" s="1477"/>
      <c r="D584" s="1438"/>
      <c r="E584" s="1438"/>
      <c r="F584" s="1438"/>
      <c r="G584" s="1438"/>
      <c r="H584" s="1438"/>
    </row>
    <row r="585" spans="1:8" s="1404" customFormat="1">
      <c r="A585" s="1477"/>
      <c r="B585" s="1477"/>
      <c r="D585" s="1438"/>
      <c r="E585" s="1438"/>
      <c r="F585" s="1438"/>
      <c r="G585" s="1438"/>
      <c r="H585" s="1438"/>
    </row>
    <row r="586" spans="1:8" s="1404" customFormat="1">
      <c r="A586" s="1477"/>
      <c r="B586" s="1477"/>
      <c r="D586" s="1438"/>
      <c r="E586" s="1438"/>
      <c r="F586" s="1438"/>
      <c r="G586" s="1438"/>
      <c r="H586" s="1438"/>
    </row>
    <row r="587" spans="1:8" s="1404" customFormat="1">
      <c r="A587" s="1477"/>
      <c r="B587" s="1477"/>
      <c r="D587" s="1438"/>
      <c r="E587" s="1438"/>
      <c r="F587" s="1438"/>
      <c r="G587" s="1438"/>
      <c r="H587" s="1438"/>
    </row>
    <row r="588" spans="1:8" s="1404" customFormat="1">
      <c r="A588" s="1477"/>
      <c r="B588" s="1477"/>
      <c r="D588" s="1438"/>
      <c r="E588" s="1438"/>
      <c r="F588" s="1438"/>
      <c r="G588" s="1438"/>
      <c r="H588" s="1438"/>
    </row>
    <row r="589" spans="1:8" s="1404" customFormat="1">
      <c r="A589" s="1477"/>
      <c r="B589" s="1477"/>
      <c r="D589" s="1438"/>
      <c r="E589" s="1438"/>
      <c r="F589" s="1438"/>
      <c r="G589" s="1438"/>
      <c r="H589" s="1438"/>
    </row>
    <row r="590" spans="1:8" s="1404" customFormat="1">
      <c r="A590" s="1477"/>
      <c r="B590" s="1477"/>
      <c r="D590" s="1438"/>
      <c r="E590" s="1438"/>
      <c r="F590" s="1438"/>
      <c r="G590" s="1438"/>
      <c r="H590" s="1438"/>
    </row>
    <row r="591" spans="1:8" s="1404" customFormat="1">
      <c r="A591" s="1477"/>
      <c r="B591" s="1477"/>
      <c r="D591" s="1438"/>
      <c r="E591" s="1438"/>
      <c r="F591" s="1438"/>
      <c r="G591" s="1438"/>
      <c r="H591" s="1438"/>
    </row>
    <row r="592" spans="1:8" s="1404" customFormat="1">
      <c r="A592" s="1477"/>
      <c r="B592" s="1477"/>
      <c r="D592" s="1438"/>
      <c r="E592" s="1438"/>
      <c r="F592" s="1438"/>
      <c r="G592" s="1438"/>
      <c r="H592" s="1438"/>
    </row>
    <row r="593" spans="1:8" s="1404" customFormat="1">
      <c r="A593" s="1477"/>
      <c r="B593" s="1477"/>
      <c r="D593" s="1438"/>
      <c r="E593" s="1438"/>
      <c r="F593" s="1438"/>
      <c r="G593" s="1438"/>
      <c r="H593" s="1438"/>
    </row>
    <row r="594" spans="1:8" s="1404" customFormat="1">
      <c r="A594" s="1477"/>
      <c r="B594" s="1477"/>
      <c r="D594" s="1438"/>
      <c r="E594" s="1438"/>
      <c r="F594" s="1438"/>
      <c r="G594" s="1438"/>
      <c r="H594" s="1438"/>
    </row>
    <row r="595" spans="1:8" s="1404" customFormat="1">
      <c r="A595" s="1477"/>
      <c r="B595" s="1477"/>
      <c r="D595" s="1438"/>
      <c r="E595" s="1438"/>
      <c r="F595" s="1438"/>
      <c r="G595" s="1438"/>
      <c r="H595" s="1438"/>
    </row>
    <row r="596" spans="1:8" s="1404" customFormat="1">
      <c r="A596" s="1477"/>
      <c r="B596" s="1477"/>
      <c r="D596" s="1438"/>
      <c r="E596" s="1438"/>
      <c r="F596" s="1438"/>
      <c r="G596" s="1438"/>
      <c r="H596" s="1438"/>
    </row>
    <row r="597" spans="1:8" s="1404" customFormat="1">
      <c r="A597" s="1477"/>
      <c r="B597" s="1477"/>
      <c r="D597" s="1438"/>
      <c r="E597" s="1438"/>
      <c r="F597" s="1438"/>
      <c r="G597" s="1438"/>
      <c r="H597" s="1438"/>
    </row>
    <row r="598" spans="1:8" s="1404" customFormat="1">
      <c r="A598" s="1477"/>
      <c r="B598" s="1477"/>
      <c r="D598" s="1438"/>
      <c r="E598" s="1438"/>
      <c r="F598" s="1438"/>
      <c r="G598" s="1438"/>
      <c r="H598" s="1438"/>
    </row>
    <row r="599" spans="1:8" s="1404" customFormat="1">
      <c r="A599" s="1477"/>
      <c r="B599" s="1477"/>
      <c r="D599" s="1438"/>
      <c r="E599" s="1438"/>
      <c r="F599" s="1438"/>
      <c r="G599" s="1438"/>
      <c r="H599" s="1438"/>
    </row>
    <row r="600" spans="1:8" s="1404" customFormat="1">
      <c r="A600" s="1477"/>
      <c r="B600" s="1477"/>
      <c r="D600" s="1438"/>
      <c r="E600" s="1438"/>
      <c r="F600" s="1438"/>
      <c r="G600" s="1438"/>
      <c r="H600" s="1438"/>
    </row>
    <row r="601" spans="1:8" s="1404" customFormat="1">
      <c r="A601" s="1477"/>
      <c r="B601" s="1477"/>
      <c r="D601" s="1438"/>
      <c r="E601" s="1438"/>
      <c r="F601" s="1438"/>
      <c r="G601" s="1438"/>
      <c r="H601" s="1438"/>
    </row>
    <row r="602" spans="1:8" s="1404" customFormat="1">
      <c r="A602" s="1477"/>
      <c r="B602" s="1477"/>
      <c r="D602" s="1438"/>
      <c r="E602" s="1438"/>
      <c r="F602" s="1438"/>
      <c r="G602" s="1438"/>
      <c r="H602" s="1438"/>
    </row>
    <row r="603" spans="1:8" s="1404" customFormat="1">
      <c r="A603" s="1477"/>
      <c r="B603" s="1477"/>
      <c r="D603" s="1438"/>
      <c r="E603" s="1438"/>
      <c r="F603" s="1438"/>
      <c r="G603" s="1438"/>
      <c r="H603" s="1438"/>
    </row>
    <row r="604" spans="1:8" s="1404" customFormat="1">
      <c r="A604" s="1477"/>
      <c r="B604" s="1477"/>
      <c r="D604" s="1438"/>
      <c r="E604" s="1438"/>
      <c r="F604" s="1438"/>
      <c r="G604" s="1438"/>
      <c r="H604" s="1438"/>
    </row>
    <row r="605" spans="1:8" s="1404" customFormat="1">
      <c r="A605" s="1477"/>
      <c r="B605" s="1477"/>
      <c r="D605" s="1438"/>
      <c r="E605" s="1438"/>
      <c r="F605" s="1438"/>
      <c r="G605" s="1438"/>
      <c r="H605" s="1438"/>
    </row>
    <row r="606" spans="1:8" s="1404" customFormat="1">
      <c r="A606" s="1477"/>
      <c r="B606" s="1477"/>
      <c r="D606" s="1438"/>
      <c r="E606" s="1438"/>
      <c r="F606" s="1438"/>
      <c r="G606" s="1438"/>
      <c r="H606" s="1438"/>
    </row>
    <row r="607" spans="1:8" s="1404" customFormat="1">
      <c r="A607" s="1477"/>
      <c r="B607" s="1477"/>
      <c r="D607" s="1438"/>
      <c r="E607" s="1438"/>
      <c r="F607" s="1438"/>
      <c r="G607" s="1438"/>
      <c r="H607" s="1438"/>
    </row>
    <row r="608" spans="1:8" s="1404" customFormat="1">
      <c r="A608" s="1477"/>
      <c r="B608" s="1477"/>
      <c r="D608" s="1438"/>
      <c r="E608" s="1438"/>
      <c r="F608" s="1438"/>
      <c r="G608" s="1438"/>
      <c r="H608" s="1438"/>
    </row>
    <row r="609" spans="1:8" s="1404" customFormat="1">
      <c r="A609" s="1477"/>
      <c r="B609" s="1477"/>
      <c r="D609" s="1438"/>
      <c r="E609" s="1438"/>
      <c r="F609" s="1438"/>
      <c r="G609" s="1438"/>
      <c r="H609" s="1438"/>
    </row>
    <row r="610" spans="1:8" s="1404" customFormat="1">
      <c r="A610" s="1477"/>
      <c r="B610" s="1477"/>
      <c r="D610" s="1438"/>
      <c r="E610" s="1438"/>
      <c r="F610" s="1438"/>
      <c r="G610" s="1438"/>
      <c r="H610" s="1438"/>
    </row>
    <row r="611" spans="1:8" s="1404" customFormat="1">
      <c r="A611" s="1477"/>
      <c r="B611" s="1477"/>
      <c r="D611" s="1438"/>
      <c r="E611" s="1438"/>
      <c r="F611" s="1438"/>
      <c r="G611" s="1438"/>
      <c r="H611" s="1438"/>
    </row>
    <row r="612" spans="1:8" s="1404" customFormat="1">
      <c r="A612" s="1477"/>
      <c r="B612" s="1477"/>
      <c r="D612" s="1438"/>
      <c r="E612" s="1438"/>
      <c r="F612" s="1438"/>
      <c r="G612" s="1438"/>
      <c r="H612" s="1438"/>
    </row>
    <row r="613" spans="1:8" s="1404" customFormat="1">
      <c r="A613" s="1477"/>
      <c r="B613" s="1477"/>
      <c r="D613" s="1438"/>
      <c r="E613" s="1438"/>
      <c r="F613" s="1438"/>
      <c r="G613" s="1438"/>
      <c r="H613" s="1438"/>
    </row>
    <row r="614" spans="1:8" s="1404" customFormat="1">
      <c r="A614" s="1477"/>
      <c r="B614" s="1477"/>
      <c r="D614" s="1438"/>
      <c r="E614" s="1438"/>
      <c r="F614" s="1438"/>
      <c r="G614" s="1438"/>
      <c r="H614" s="1438"/>
    </row>
    <row r="615" spans="1:8" s="1404" customFormat="1">
      <c r="A615" s="1477"/>
      <c r="B615" s="1477"/>
      <c r="D615" s="1438"/>
      <c r="E615" s="1438"/>
      <c r="F615" s="1438"/>
      <c r="G615" s="1438"/>
      <c r="H615" s="1438"/>
    </row>
    <row r="616" spans="1:8" s="1404" customFormat="1">
      <c r="A616" s="1477"/>
      <c r="B616" s="1477"/>
      <c r="D616" s="1438"/>
      <c r="E616" s="1438"/>
      <c r="F616" s="1438"/>
      <c r="G616" s="1438"/>
      <c r="H616" s="1438"/>
    </row>
    <row r="617" spans="1:8" s="1404" customFormat="1">
      <c r="A617" s="1477"/>
      <c r="B617" s="1477"/>
      <c r="D617" s="1438"/>
      <c r="E617" s="1438"/>
      <c r="F617" s="1438"/>
      <c r="G617" s="1438"/>
      <c r="H617" s="1438"/>
    </row>
    <row r="618" spans="1:8" s="1404" customFormat="1">
      <c r="A618" s="1477"/>
      <c r="B618" s="1477"/>
      <c r="D618" s="1438"/>
      <c r="E618" s="1438"/>
      <c r="F618" s="1438"/>
      <c r="G618" s="1438"/>
      <c r="H618" s="1438"/>
    </row>
    <row r="619" spans="1:8" s="1404" customFormat="1">
      <c r="A619" s="1477"/>
      <c r="B619" s="1477"/>
      <c r="D619" s="1438"/>
      <c r="E619" s="1438"/>
      <c r="F619" s="1438"/>
      <c r="G619" s="1438"/>
      <c r="H619" s="1438"/>
    </row>
    <row r="620" spans="1:8" s="1404" customFormat="1">
      <c r="A620" s="1477"/>
      <c r="B620" s="1477"/>
      <c r="D620" s="1438"/>
      <c r="E620" s="1438"/>
      <c r="F620" s="1438"/>
      <c r="G620" s="1438"/>
      <c r="H620" s="1438"/>
    </row>
    <row r="621" spans="1:8" s="1404" customFormat="1">
      <c r="A621" s="1477"/>
      <c r="B621" s="1477"/>
      <c r="D621" s="1438"/>
      <c r="E621" s="1438"/>
      <c r="F621" s="1438"/>
      <c r="G621" s="1438"/>
      <c r="H621" s="1438"/>
    </row>
    <row r="622" spans="1:8" s="1404" customFormat="1">
      <c r="A622" s="1477"/>
      <c r="B622" s="1477"/>
      <c r="D622" s="1438"/>
      <c r="E622" s="1438"/>
      <c r="F622" s="1438"/>
      <c r="G622" s="1438"/>
      <c r="H622" s="1438"/>
    </row>
    <row r="623" spans="1:8" s="1404" customFormat="1">
      <c r="A623" s="1477"/>
      <c r="B623" s="1477"/>
      <c r="D623" s="1438"/>
      <c r="E623" s="1438"/>
      <c r="F623" s="1438"/>
      <c r="G623" s="1438"/>
      <c r="H623" s="1438"/>
    </row>
    <row r="624" spans="1:8" s="1404" customFormat="1">
      <c r="A624" s="1477"/>
      <c r="B624" s="1477"/>
      <c r="D624" s="1438"/>
      <c r="E624" s="1438"/>
      <c r="F624" s="1438"/>
      <c r="G624" s="1438"/>
      <c r="H624" s="1438"/>
    </row>
    <row r="625" spans="1:8" s="1404" customFormat="1">
      <c r="A625" s="1477"/>
      <c r="B625" s="1477"/>
      <c r="D625" s="1438"/>
      <c r="E625" s="1438"/>
      <c r="F625" s="1438"/>
      <c r="G625" s="1438"/>
      <c r="H625" s="1438"/>
    </row>
    <row r="626" spans="1:8" s="1404" customFormat="1">
      <c r="A626" s="1477"/>
      <c r="B626" s="1477"/>
      <c r="D626" s="1438"/>
      <c r="E626" s="1438"/>
      <c r="F626" s="1438"/>
      <c r="G626" s="1438"/>
      <c r="H626" s="1438"/>
    </row>
    <row r="627" spans="1:8" s="1404" customFormat="1">
      <c r="A627" s="1477"/>
      <c r="B627" s="1477"/>
      <c r="D627" s="1438"/>
      <c r="E627" s="1438"/>
      <c r="F627" s="1438"/>
      <c r="G627" s="1438"/>
      <c r="H627" s="1438"/>
    </row>
    <row r="628" spans="1:8" s="1404" customFormat="1">
      <c r="A628" s="1477"/>
      <c r="B628" s="1477"/>
      <c r="D628" s="1438"/>
      <c r="E628" s="1438"/>
      <c r="F628" s="1438"/>
      <c r="G628" s="1438"/>
      <c r="H628" s="1438"/>
    </row>
    <row r="629" spans="1:8" s="1404" customFormat="1">
      <c r="A629" s="1477"/>
      <c r="B629" s="1477"/>
      <c r="D629" s="1438"/>
      <c r="E629" s="1438"/>
      <c r="F629" s="1438"/>
      <c r="G629" s="1438"/>
      <c r="H629" s="1438"/>
    </row>
    <row r="630" spans="1:8" s="1404" customFormat="1">
      <c r="A630" s="1477"/>
      <c r="B630" s="1477"/>
      <c r="D630" s="1438"/>
      <c r="E630" s="1438"/>
      <c r="F630" s="1438"/>
      <c r="G630" s="1438"/>
      <c r="H630" s="1438"/>
    </row>
    <row r="631" spans="1:8" s="1404" customFormat="1">
      <c r="A631" s="1477"/>
      <c r="B631" s="1477"/>
      <c r="D631" s="1438"/>
      <c r="E631" s="1438"/>
      <c r="F631" s="1438"/>
      <c r="G631" s="1438"/>
      <c r="H631" s="1438"/>
    </row>
    <row r="632" spans="1:8" s="1404" customFormat="1">
      <c r="A632" s="1477"/>
      <c r="B632" s="1477"/>
      <c r="D632" s="1438"/>
      <c r="E632" s="1438"/>
      <c r="F632" s="1438"/>
      <c r="G632" s="1438"/>
      <c r="H632" s="1438"/>
    </row>
    <row r="633" spans="1:8" s="1404" customFormat="1">
      <c r="A633" s="1477"/>
      <c r="B633" s="1477"/>
      <c r="D633" s="1438"/>
      <c r="E633" s="1438"/>
      <c r="F633" s="1438"/>
      <c r="G633" s="1438"/>
      <c r="H633" s="1438"/>
    </row>
    <row r="634" spans="1:8" s="1404" customFormat="1">
      <c r="A634" s="1477"/>
      <c r="B634" s="1477"/>
      <c r="D634" s="1438"/>
      <c r="E634" s="1438"/>
      <c r="F634" s="1438"/>
      <c r="G634" s="1438"/>
      <c r="H634" s="1438"/>
    </row>
    <row r="635" spans="1:8" s="1404" customFormat="1">
      <c r="A635" s="1477"/>
      <c r="B635" s="1477"/>
      <c r="D635" s="1438"/>
      <c r="E635" s="1438"/>
      <c r="F635" s="1438"/>
      <c r="G635" s="1438"/>
      <c r="H635" s="1438"/>
    </row>
    <row r="636" spans="1:8" s="1404" customFormat="1">
      <c r="A636" s="1477"/>
      <c r="B636" s="1477"/>
      <c r="D636" s="1438"/>
      <c r="E636" s="1438"/>
      <c r="F636" s="1438"/>
      <c r="G636" s="1438"/>
      <c r="H636" s="1438"/>
    </row>
    <row r="637" spans="1:8" s="1404" customFormat="1">
      <c r="A637" s="1477"/>
      <c r="B637" s="1477"/>
      <c r="D637" s="1438"/>
      <c r="E637" s="1438"/>
      <c r="F637" s="1438"/>
      <c r="G637" s="1438"/>
      <c r="H637" s="1438"/>
    </row>
    <row r="638" spans="1:8" s="1404" customFormat="1">
      <c r="A638" s="1477"/>
      <c r="B638" s="1477"/>
      <c r="D638" s="1438"/>
      <c r="E638" s="1438"/>
      <c r="F638" s="1438"/>
      <c r="G638" s="1438"/>
      <c r="H638" s="1438"/>
    </row>
    <row r="639" spans="1:8" s="1404" customFormat="1">
      <c r="A639" s="1477"/>
      <c r="B639" s="1477"/>
      <c r="D639" s="1438"/>
      <c r="E639" s="1438"/>
      <c r="F639" s="1438"/>
      <c r="G639" s="1438"/>
      <c r="H639" s="1438"/>
    </row>
    <row r="640" spans="1:8" s="1404" customFormat="1">
      <c r="A640" s="1477"/>
      <c r="B640" s="1477"/>
      <c r="D640" s="1438"/>
      <c r="E640" s="1438"/>
      <c r="F640" s="1438"/>
      <c r="G640" s="1438"/>
      <c r="H640" s="1438"/>
    </row>
    <row r="641" spans="1:8" s="1404" customFormat="1">
      <c r="A641" s="1477"/>
      <c r="B641" s="1477"/>
      <c r="D641" s="1438"/>
      <c r="E641" s="1438"/>
      <c r="F641" s="1438"/>
      <c r="G641" s="1438"/>
      <c r="H641" s="1438"/>
    </row>
    <row r="642" spans="1:8" s="1404" customFormat="1">
      <c r="A642" s="1477"/>
      <c r="B642" s="1477"/>
      <c r="D642" s="1438"/>
      <c r="E642" s="1438"/>
      <c r="F642" s="1438"/>
      <c r="G642" s="1438"/>
      <c r="H642" s="1438"/>
    </row>
    <row r="643" spans="1:8" s="1404" customFormat="1">
      <c r="A643" s="1477"/>
      <c r="B643" s="1477"/>
      <c r="D643" s="1438"/>
      <c r="E643" s="1438"/>
      <c r="F643" s="1438"/>
      <c r="G643" s="1438"/>
      <c r="H643" s="1438"/>
    </row>
    <row r="644" spans="1:8" s="1404" customFormat="1">
      <c r="A644" s="1477"/>
      <c r="B644" s="1477"/>
      <c r="D644" s="1438"/>
      <c r="E644" s="1438"/>
      <c r="F644" s="1438"/>
      <c r="G644" s="1438"/>
      <c r="H644" s="1438"/>
    </row>
    <row r="645" spans="1:8" s="1404" customFormat="1">
      <c r="A645" s="1477"/>
      <c r="B645" s="1477"/>
      <c r="D645" s="1438"/>
      <c r="E645" s="1438"/>
      <c r="F645" s="1438"/>
      <c r="G645" s="1438"/>
      <c r="H645" s="1438"/>
    </row>
    <row r="646" spans="1:8" s="1404" customFormat="1">
      <c r="A646" s="1477"/>
      <c r="B646" s="1477"/>
      <c r="D646" s="1438"/>
      <c r="E646" s="1438"/>
      <c r="F646" s="1438"/>
      <c r="G646" s="1438"/>
      <c r="H646" s="1438"/>
    </row>
    <row r="647" spans="1:8" s="1404" customFormat="1">
      <c r="A647" s="1477"/>
      <c r="B647" s="1477"/>
      <c r="D647" s="1438"/>
      <c r="E647" s="1438"/>
      <c r="F647" s="1438"/>
      <c r="G647" s="1438"/>
      <c r="H647" s="1438"/>
    </row>
    <row r="648" spans="1:8" s="1404" customFormat="1">
      <c r="A648" s="1477"/>
      <c r="B648" s="1477"/>
      <c r="D648" s="1438"/>
      <c r="E648" s="1438"/>
      <c r="F648" s="1438"/>
      <c r="G648" s="1438"/>
      <c r="H648" s="1438"/>
    </row>
    <row r="649" spans="1:8" s="1404" customFormat="1">
      <c r="A649" s="1477"/>
      <c r="B649" s="1477"/>
      <c r="D649" s="1438"/>
      <c r="E649" s="1438"/>
      <c r="F649" s="1438"/>
      <c r="G649" s="1438"/>
      <c r="H649" s="1438"/>
    </row>
    <row r="650" spans="1:8" s="1404" customFormat="1">
      <c r="A650" s="1477"/>
      <c r="B650" s="1477"/>
      <c r="D650" s="1438"/>
      <c r="E650" s="1438"/>
      <c r="F650" s="1438"/>
      <c r="G650" s="1438"/>
      <c r="H650" s="1438"/>
    </row>
    <row r="651" spans="1:8" s="1404" customFormat="1">
      <c r="A651" s="1477"/>
      <c r="B651" s="1477"/>
      <c r="D651" s="1438"/>
      <c r="E651" s="1438"/>
      <c r="F651" s="1438"/>
      <c r="G651" s="1438"/>
      <c r="H651" s="1438"/>
    </row>
    <row r="652" spans="1:8" s="1404" customFormat="1">
      <c r="A652" s="1477"/>
      <c r="B652" s="1477"/>
      <c r="D652" s="1438"/>
      <c r="E652" s="1438"/>
      <c r="F652" s="1438"/>
      <c r="G652" s="1438"/>
      <c r="H652" s="1438"/>
    </row>
    <row r="653" spans="1:8" s="1404" customFormat="1">
      <c r="A653" s="1477"/>
      <c r="B653" s="1477"/>
      <c r="D653" s="1438"/>
      <c r="E653" s="1438"/>
      <c r="F653" s="1438"/>
      <c r="G653" s="1438"/>
      <c r="H653" s="1438"/>
    </row>
    <row r="654" spans="1:8" s="1404" customFormat="1">
      <c r="A654" s="1477"/>
      <c r="B654" s="1477"/>
      <c r="D654" s="1438"/>
      <c r="E654" s="1438"/>
      <c r="F654" s="1438"/>
      <c r="G654" s="1438"/>
      <c r="H654" s="1438"/>
    </row>
    <row r="655" spans="1:8" s="1404" customFormat="1">
      <c r="A655" s="1477"/>
      <c r="B655" s="1477"/>
      <c r="D655" s="1438"/>
      <c r="E655" s="1438"/>
      <c r="F655" s="1438"/>
      <c r="G655" s="1438"/>
      <c r="H655" s="1438"/>
    </row>
    <row r="656" spans="1:8" s="1404" customFormat="1">
      <c r="A656" s="1477"/>
      <c r="B656" s="1477"/>
      <c r="D656" s="1438"/>
      <c r="E656" s="1438"/>
      <c r="F656" s="1438"/>
      <c r="G656" s="1438"/>
      <c r="H656" s="1438"/>
    </row>
    <row r="657" spans="1:8" s="1404" customFormat="1">
      <c r="A657" s="1477"/>
      <c r="B657" s="1477"/>
      <c r="D657" s="1438"/>
      <c r="E657" s="1438"/>
      <c r="F657" s="1438"/>
      <c r="G657" s="1438"/>
      <c r="H657" s="1438"/>
    </row>
    <row r="658" spans="1:8" s="1404" customFormat="1">
      <c r="A658" s="1477"/>
      <c r="B658" s="1477"/>
      <c r="D658" s="1438"/>
      <c r="E658" s="1438"/>
      <c r="F658" s="1438"/>
      <c r="G658" s="1438"/>
      <c r="H658" s="1438"/>
    </row>
    <row r="659" spans="1:8" s="1404" customFormat="1">
      <c r="A659" s="1477"/>
      <c r="B659" s="1477"/>
      <c r="D659" s="1438"/>
      <c r="E659" s="1438"/>
      <c r="F659" s="1438"/>
      <c r="G659" s="1438"/>
      <c r="H659" s="1438"/>
    </row>
    <row r="660" spans="1:8" s="1404" customFormat="1">
      <c r="A660" s="1477"/>
      <c r="B660" s="1477"/>
      <c r="D660" s="1438"/>
      <c r="E660" s="1438"/>
      <c r="F660" s="1438"/>
      <c r="G660" s="1438"/>
      <c r="H660" s="1438"/>
    </row>
    <row r="661" spans="1:8" s="1404" customFormat="1">
      <c r="A661" s="1477"/>
      <c r="B661" s="1477"/>
      <c r="D661" s="1438"/>
      <c r="E661" s="1438"/>
      <c r="F661" s="1438"/>
      <c r="G661" s="1438"/>
      <c r="H661" s="1438"/>
    </row>
    <row r="662" spans="1:8" s="1404" customFormat="1">
      <c r="A662" s="1477"/>
      <c r="B662" s="1477"/>
      <c r="D662" s="1438"/>
      <c r="E662" s="1438"/>
      <c r="F662" s="1438"/>
      <c r="G662" s="1438"/>
      <c r="H662" s="1438"/>
    </row>
    <row r="663" spans="1:8" s="1404" customFormat="1">
      <c r="A663" s="1477"/>
      <c r="B663" s="1477"/>
      <c r="D663" s="1438"/>
      <c r="E663" s="1438"/>
      <c r="F663" s="1438"/>
      <c r="G663" s="1438"/>
      <c r="H663" s="1438"/>
    </row>
    <row r="664" spans="1:8" s="1404" customFormat="1">
      <c r="A664" s="1477"/>
      <c r="B664" s="1477"/>
      <c r="D664" s="1438"/>
      <c r="E664" s="1438"/>
      <c r="F664" s="1438"/>
      <c r="G664" s="1438"/>
      <c r="H664" s="1438"/>
    </row>
    <row r="665" spans="1:8" s="1404" customFormat="1">
      <c r="A665" s="1477"/>
      <c r="B665" s="1477"/>
      <c r="D665" s="1438"/>
      <c r="E665" s="1438"/>
      <c r="F665" s="1438"/>
      <c r="G665" s="1438"/>
      <c r="H665" s="1438"/>
    </row>
    <row r="666" spans="1:8" s="1404" customFormat="1">
      <c r="A666" s="1477"/>
      <c r="B666" s="1477"/>
      <c r="D666" s="1438"/>
      <c r="E666" s="1438"/>
      <c r="F666" s="1438"/>
      <c r="G666" s="1438"/>
      <c r="H666" s="1438"/>
    </row>
    <row r="667" spans="1:8" s="1404" customFormat="1">
      <c r="A667" s="1477"/>
      <c r="B667" s="1477"/>
      <c r="D667" s="1438"/>
      <c r="E667" s="1438"/>
      <c r="F667" s="1438"/>
      <c r="G667" s="1438"/>
      <c r="H667" s="1438"/>
    </row>
    <row r="668" spans="1:8" s="1404" customFormat="1">
      <c r="A668" s="1477"/>
      <c r="B668" s="1477"/>
      <c r="D668" s="1438"/>
      <c r="E668" s="1438"/>
      <c r="F668" s="1438"/>
      <c r="G668" s="1438"/>
      <c r="H668" s="1438"/>
    </row>
    <row r="669" spans="1:8" s="1404" customFormat="1">
      <c r="A669" s="1477"/>
      <c r="B669" s="1477"/>
      <c r="D669" s="1438"/>
      <c r="E669" s="1438"/>
      <c r="F669" s="1438"/>
      <c r="G669" s="1438"/>
      <c r="H669" s="1438"/>
    </row>
    <row r="670" spans="1:8" s="1404" customFormat="1">
      <c r="A670" s="1477"/>
      <c r="B670" s="1477"/>
      <c r="D670" s="1438"/>
      <c r="E670" s="1438"/>
      <c r="F670" s="1438"/>
      <c r="G670" s="1438"/>
      <c r="H670" s="1438"/>
    </row>
    <row r="671" spans="1:8" s="1404" customFormat="1">
      <c r="A671" s="1477"/>
      <c r="B671" s="1477"/>
      <c r="D671" s="1438"/>
      <c r="E671" s="1438"/>
      <c r="F671" s="1438"/>
      <c r="G671" s="1438"/>
      <c r="H671" s="1438"/>
    </row>
    <row r="672" spans="1:8" s="1404" customFormat="1">
      <c r="A672" s="1477"/>
      <c r="B672" s="1477"/>
      <c r="D672" s="1438"/>
      <c r="E672" s="1438"/>
      <c r="F672" s="1438"/>
      <c r="G672" s="1438"/>
      <c r="H672" s="1438"/>
    </row>
    <row r="673" spans="1:8" s="1404" customFormat="1">
      <c r="A673" s="1477"/>
      <c r="B673" s="1477"/>
      <c r="D673" s="1438"/>
      <c r="E673" s="1438"/>
      <c r="F673" s="1438"/>
      <c r="G673" s="1438"/>
      <c r="H673" s="1438"/>
    </row>
    <row r="674" spans="1:8" s="1404" customFormat="1">
      <c r="A674" s="1477"/>
      <c r="B674" s="1477"/>
      <c r="D674" s="1438"/>
      <c r="E674" s="1438"/>
      <c r="F674" s="1438"/>
      <c r="G674" s="1438"/>
      <c r="H674" s="1438"/>
    </row>
    <row r="675" spans="1:8" s="1404" customFormat="1">
      <c r="A675" s="1477"/>
      <c r="B675" s="1477"/>
      <c r="D675" s="1438"/>
      <c r="E675" s="1438"/>
      <c r="F675" s="1438"/>
      <c r="G675" s="1438"/>
      <c r="H675" s="1438"/>
    </row>
    <row r="676" spans="1:8" s="1404" customFormat="1">
      <c r="A676" s="1477"/>
      <c r="B676" s="1477"/>
      <c r="D676" s="1438"/>
      <c r="E676" s="1438"/>
      <c r="F676" s="1438"/>
      <c r="G676" s="1438"/>
      <c r="H676" s="1438"/>
    </row>
    <row r="677" spans="1:8" s="1404" customFormat="1">
      <c r="A677" s="1477"/>
      <c r="B677" s="1477"/>
      <c r="D677" s="1438"/>
      <c r="E677" s="1438"/>
      <c r="F677" s="1438"/>
      <c r="G677" s="1438"/>
      <c r="H677" s="1438"/>
    </row>
    <row r="678" spans="1:8" s="1404" customFormat="1">
      <c r="A678" s="1477"/>
      <c r="B678" s="1477"/>
      <c r="D678" s="1438"/>
      <c r="E678" s="1438"/>
      <c r="F678" s="1438"/>
      <c r="G678" s="1438"/>
      <c r="H678" s="1438"/>
    </row>
    <row r="679" spans="1:8" s="1404" customFormat="1">
      <c r="A679" s="1477"/>
      <c r="B679" s="1477"/>
      <c r="D679" s="1438"/>
      <c r="E679" s="1438"/>
      <c r="F679" s="1438"/>
      <c r="G679" s="1438"/>
      <c r="H679" s="1438"/>
    </row>
    <row r="680" spans="1:8" s="1404" customFormat="1">
      <c r="A680" s="1477"/>
      <c r="B680" s="1477"/>
      <c r="D680" s="1438"/>
      <c r="E680" s="1438"/>
      <c r="F680" s="1438"/>
      <c r="G680" s="1438"/>
      <c r="H680" s="1438"/>
    </row>
    <row r="681" spans="1:8" s="1404" customFormat="1">
      <c r="A681" s="1477"/>
      <c r="B681" s="1477"/>
      <c r="D681" s="1438"/>
      <c r="E681" s="1438"/>
      <c r="F681" s="1438"/>
      <c r="G681" s="1438"/>
      <c r="H681" s="1438"/>
    </row>
    <row r="682" spans="1:8" s="1404" customFormat="1">
      <c r="A682" s="1477"/>
      <c r="B682" s="1477"/>
      <c r="D682" s="1438"/>
      <c r="E682" s="1438"/>
      <c r="F682" s="1438"/>
      <c r="G682" s="1438"/>
      <c r="H682" s="1438"/>
    </row>
    <row r="683" spans="1:8" s="1404" customFormat="1">
      <c r="A683" s="1477"/>
      <c r="B683" s="1477"/>
      <c r="D683" s="1438"/>
      <c r="E683" s="1438"/>
      <c r="F683" s="1438"/>
      <c r="G683" s="1438"/>
      <c r="H683" s="1438"/>
    </row>
    <row r="684" spans="1:8" s="1404" customFormat="1">
      <c r="A684" s="1477"/>
      <c r="B684" s="1477"/>
      <c r="D684" s="1438"/>
      <c r="E684" s="1438"/>
      <c r="F684" s="1438"/>
      <c r="G684" s="1438"/>
      <c r="H684" s="1438"/>
    </row>
    <row r="685" spans="1:8" s="1404" customFormat="1">
      <c r="A685" s="1477"/>
      <c r="B685" s="1477"/>
      <c r="D685" s="1438"/>
      <c r="E685" s="1438"/>
      <c r="F685" s="1438"/>
      <c r="G685" s="1438"/>
      <c r="H685" s="1438"/>
    </row>
    <row r="686" spans="1:8" s="1404" customFormat="1">
      <c r="A686" s="1477"/>
      <c r="B686" s="1477"/>
      <c r="D686" s="1438"/>
      <c r="E686" s="1438"/>
      <c r="F686" s="1438"/>
      <c r="G686" s="1438"/>
      <c r="H686" s="1438"/>
    </row>
    <row r="687" spans="1:8" s="1404" customFormat="1">
      <c r="A687" s="1477"/>
      <c r="B687" s="1477"/>
      <c r="D687" s="1438"/>
      <c r="E687" s="1438"/>
      <c r="F687" s="1438"/>
      <c r="G687" s="1438"/>
      <c r="H687" s="1438"/>
    </row>
    <row r="688" spans="1:8" s="1404" customFormat="1">
      <c r="A688" s="1477"/>
      <c r="B688" s="1477"/>
      <c r="D688" s="1438"/>
      <c r="E688" s="1438"/>
      <c r="F688" s="1438"/>
      <c r="G688" s="1438"/>
      <c r="H688" s="1438"/>
    </row>
    <row r="689" spans="1:8" s="1404" customFormat="1">
      <c r="A689" s="1477"/>
      <c r="B689" s="1477"/>
      <c r="D689" s="1438"/>
      <c r="E689" s="1438"/>
      <c r="F689" s="1438"/>
      <c r="G689" s="1438"/>
      <c r="H689" s="1438"/>
    </row>
    <row r="690" spans="1:8" s="1404" customFormat="1">
      <c r="A690" s="1477"/>
      <c r="B690" s="1477"/>
      <c r="D690" s="1438"/>
      <c r="E690" s="1438"/>
      <c r="F690" s="1438"/>
      <c r="G690" s="1438"/>
      <c r="H690" s="1438"/>
    </row>
    <row r="691" spans="1:8" s="1404" customFormat="1">
      <c r="A691" s="1477"/>
      <c r="B691" s="1477"/>
      <c r="D691" s="1438"/>
      <c r="E691" s="1438"/>
      <c r="F691" s="1438"/>
      <c r="G691" s="1438"/>
      <c r="H691" s="1438"/>
    </row>
    <row r="692" spans="1:8" s="1404" customFormat="1">
      <c r="A692" s="1477"/>
      <c r="B692" s="1477"/>
      <c r="D692" s="1438"/>
      <c r="E692" s="1438"/>
      <c r="F692" s="1438"/>
      <c r="G692" s="1438"/>
      <c r="H692" s="1438"/>
    </row>
    <row r="693" spans="1:8" s="1404" customFormat="1">
      <c r="A693" s="1477"/>
      <c r="B693" s="1477"/>
      <c r="D693" s="1438"/>
      <c r="E693" s="1438"/>
      <c r="F693" s="1438"/>
      <c r="G693" s="1438"/>
      <c r="H693" s="1438"/>
    </row>
    <row r="694" spans="1:8" s="1404" customFormat="1">
      <c r="A694" s="1477"/>
      <c r="B694" s="1477"/>
      <c r="D694" s="1438"/>
      <c r="E694" s="1438"/>
      <c r="F694" s="1438"/>
      <c r="G694" s="1438"/>
      <c r="H694" s="1438"/>
    </row>
    <row r="695" spans="1:8" s="1404" customFormat="1">
      <c r="A695" s="1477"/>
      <c r="B695" s="1477"/>
      <c r="D695" s="1438"/>
      <c r="E695" s="1438"/>
      <c r="F695" s="1438"/>
      <c r="G695" s="1438"/>
      <c r="H695" s="1438"/>
    </row>
    <row r="696" spans="1:8" s="1404" customFormat="1">
      <c r="A696" s="1477"/>
      <c r="B696" s="1477"/>
      <c r="D696" s="1438"/>
      <c r="E696" s="1438"/>
      <c r="F696" s="1438"/>
      <c r="G696" s="1438"/>
      <c r="H696" s="1438"/>
    </row>
    <row r="697" spans="1:8" s="1404" customFormat="1">
      <c r="A697" s="1477"/>
      <c r="B697" s="1477"/>
      <c r="D697" s="1438"/>
      <c r="E697" s="1438"/>
      <c r="F697" s="1438"/>
      <c r="G697" s="1438"/>
      <c r="H697" s="1438"/>
    </row>
    <row r="698" spans="1:8" s="1404" customFormat="1">
      <c r="A698" s="1477"/>
      <c r="B698" s="1477"/>
      <c r="D698" s="1438"/>
      <c r="E698" s="1438"/>
      <c r="F698" s="1438"/>
      <c r="G698" s="1438"/>
      <c r="H698" s="1438"/>
    </row>
    <row r="699" spans="1:8" s="1404" customFormat="1">
      <c r="A699" s="1477"/>
      <c r="B699" s="1477"/>
      <c r="D699" s="1438"/>
      <c r="E699" s="1438"/>
      <c r="F699" s="1438"/>
      <c r="G699" s="1438"/>
      <c r="H699" s="1438"/>
    </row>
    <row r="700" spans="1:8" s="1404" customFormat="1">
      <c r="A700" s="1477"/>
      <c r="B700" s="1477"/>
      <c r="D700" s="1438"/>
      <c r="E700" s="1438"/>
      <c r="F700" s="1438"/>
      <c r="G700" s="1438"/>
      <c r="H700" s="1438"/>
    </row>
    <row r="701" spans="1:8" s="1404" customFormat="1">
      <c r="A701" s="1477"/>
      <c r="B701" s="1477"/>
      <c r="D701" s="1438"/>
      <c r="E701" s="1438"/>
      <c r="F701" s="1438"/>
      <c r="G701" s="1438"/>
      <c r="H701" s="1438"/>
    </row>
    <row r="702" spans="1:8" s="1404" customFormat="1">
      <c r="A702" s="1477"/>
      <c r="B702" s="1477"/>
      <c r="D702" s="1438"/>
      <c r="E702" s="1438"/>
      <c r="F702" s="1438"/>
      <c r="G702" s="1438"/>
      <c r="H702" s="1438"/>
    </row>
    <row r="703" spans="1:8" s="1404" customFormat="1">
      <c r="A703" s="1477"/>
      <c r="B703" s="1477"/>
      <c r="D703" s="1438"/>
      <c r="E703" s="1438"/>
      <c r="F703" s="1438"/>
      <c r="G703" s="1438"/>
      <c r="H703" s="1438"/>
    </row>
    <row r="704" spans="1:8" s="1404" customFormat="1">
      <c r="A704" s="1477"/>
      <c r="B704" s="1477"/>
      <c r="D704" s="1438"/>
      <c r="E704" s="1438"/>
      <c r="F704" s="1438"/>
      <c r="G704" s="1438"/>
      <c r="H704" s="1438"/>
    </row>
    <row r="705" spans="1:8" s="1404" customFormat="1">
      <c r="A705" s="1477"/>
      <c r="B705" s="1477"/>
      <c r="D705" s="1438"/>
      <c r="E705" s="1438"/>
      <c r="F705" s="1438"/>
      <c r="G705" s="1438"/>
      <c r="H705" s="1438"/>
    </row>
    <row r="706" spans="1:8" s="1404" customFormat="1">
      <c r="A706" s="1477"/>
      <c r="B706" s="1477"/>
      <c r="D706" s="1438"/>
      <c r="E706" s="1438"/>
      <c r="F706" s="1438"/>
      <c r="G706" s="1438"/>
      <c r="H706" s="1438"/>
    </row>
    <row r="707" spans="1:8" s="1404" customFormat="1">
      <c r="A707" s="1477"/>
      <c r="B707" s="1477"/>
      <c r="D707" s="1438"/>
      <c r="E707" s="1438"/>
      <c r="F707" s="1438"/>
      <c r="G707" s="1438"/>
      <c r="H707" s="1438"/>
    </row>
    <row r="708" spans="1:8" s="1404" customFormat="1">
      <c r="A708" s="1477"/>
      <c r="B708" s="1477"/>
      <c r="D708" s="1438"/>
      <c r="E708" s="1438"/>
      <c r="F708" s="1438"/>
      <c r="G708" s="1438"/>
      <c r="H708" s="1438"/>
    </row>
    <row r="709" spans="1:8" s="1404" customFormat="1">
      <c r="A709" s="1477"/>
      <c r="B709" s="1477"/>
      <c r="D709" s="1438"/>
      <c r="E709" s="1438"/>
      <c r="F709" s="1438"/>
      <c r="G709" s="1438"/>
      <c r="H709" s="1438"/>
    </row>
    <row r="710" spans="1:8" s="1404" customFormat="1">
      <c r="A710" s="1477"/>
      <c r="B710" s="1477"/>
      <c r="D710" s="1438"/>
      <c r="E710" s="1438"/>
      <c r="F710" s="1438"/>
      <c r="G710" s="1438"/>
      <c r="H710" s="1438"/>
    </row>
    <row r="711" spans="1:8" s="1404" customFormat="1">
      <c r="A711" s="1477"/>
      <c r="B711" s="1477"/>
      <c r="D711" s="1438"/>
      <c r="E711" s="1438"/>
      <c r="F711" s="1438"/>
      <c r="G711" s="1438"/>
      <c r="H711" s="1438"/>
    </row>
    <row r="712" spans="1:8" s="1404" customFormat="1">
      <c r="A712" s="1477"/>
      <c r="B712" s="1477"/>
      <c r="D712" s="1438"/>
      <c r="E712" s="1438"/>
      <c r="F712" s="1438"/>
      <c r="G712" s="1438"/>
      <c r="H712" s="1438"/>
    </row>
    <row r="713" spans="1:8" s="1404" customFormat="1">
      <c r="A713" s="1477"/>
      <c r="B713" s="1477"/>
      <c r="D713" s="1438"/>
      <c r="E713" s="1438"/>
      <c r="F713" s="1438"/>
      <c r="G713" s="1438"/>
      <c r="H713" s="1438"/>
    </row>
    <row r="714" spans="1:8" s="1404" customFormat="1">
      <c r="A714" s="1477"/>
      <c r="B714" s="1477"/>
      <c r="D714" s="1438"/>
      <c r="E714" s="1438"/>
      <c r="F714" s="1438"/>
      <c r="G714" s="1438"/>
      <c r="H714" s="1438"/>
    </row>
    <row r="715" spans="1:8" s="1404" customFormat="1">
      <c r="A715" s="1477"/>
      <c r="B715" s="1477"/>
      <c r="D715" s="1438"/>
      <c r="E715" s="1438"/>
      <c r="F715" s="1438"/>
      <c r="G715" s="1438"/>
      <c r="H715" s="1438"/>
    </row>
    <row r="716" spans="1:8" s="1404" customFormat="1">
      <c r="A716" s="1477"/>
      <c r="B716" s="1477"/>
      <c r="D716" s="1438"/>
      <c r="E716" s="1438"/>
      <c r="F716" s="1438"/>
      <c r="G716" s="1438"/>
      <c r="H716" s="1438"/>
    </row>
    <row r="717" spans="1:8" s="1404" customFormat="1">
      <c r="A717" s="1477"/>
      <c r="B717" s="1477"/>
      <c r="D717" s="1438"/>
      <c r="E717" s="1438"/>
      <c r="F717" s="1438"/>
      <c r="G717" s="1438"/>
      <c r="H717" s="1438"/>
    </row>
    <row r="718" spans="1:8" s="1404" customFormat="1">
      <c r="A718" s="1477"/>
      <c r="B718" s="1477"/>
      <c r="D718" s="1438"/>
      <c r="E718" s="1438"/>
      <c r="F718" s="1438"/>
      <c r="G718" s="1438"/>
      <c r="H718" s="1438"/>
    </row>
    <row r="719" spans="1:8" s="1404" customFormat="1">
      <c r="A719" s="1477"/>
      <c r="B719" s="1477"/>
      <c r="D719" s="1438"/>
      <c r="E719" s="1438"/>
      <c r="F719" s="1438"/>
      <c r="G719" s="1438"/>
      <c r="H719" s="1438"/>
    </row>
    <row r="720" spans="1:8" s="1404" customFormat="1">
      <c r="A720" s="1477"/>
      <c r="B720" s="1477"/>
      <c r="D720" s="1438"/>
      <c r="E720" s="1438"/>
      <c r="F720" s="1438"/>
      <c r="G720" s="1438"/>
      <c r="H720" s="1438"/>
    </row>
    <row r="721" spans="1:8" s="1404" customFormat="1">
      <c r="A721" s="1477"/>
      <c r="B721" s="1477"/>
      <c r="D721" s="1438"/>
      <c r="E721" s="1438"/>
      <c r="F721" s="1438"/>
      <c r="G721" s="1438"/>
      <c r="H721" s="1438"/>
    </row>
    <row r="722" spans="1:8" s="1404" customFormat="1">
      <c r="A722" s="1477"/>
      <c r="B722" s="1477"/>
      <c r="D722" s="1438"/>
      <c r="E722" s="1438"/>
      <c r="F722" s="1438"/>
      <c r="G722" s="1438"/>
      <c r="H722" s="1438"/>
    </row>
    <row r="723" spans="1:8" s="1404" customFormat="1">
      <c r="A723" s="1477"/>
      <c r="B723" s="1477"/>
      <c r="D723" s="1438"/>
      <c r="E723" s="1438"/>
      <c r="F723" s="1438"/>
      <c r="G723" s="1438"/>
      <c r="H723" s="1438"/>
    </row>
    <row r="724" spans="1:8" s="1404" customFormat="1">
      <c r="A724" s="1477"/>
      <c r="B724" s="1477"/>
      <c r="D724" s="1438"/>
      <c r="E724" s="1438"/>
      <c r="F724" s="1438"/>
      <c r="G724" s="1438"/>
      <c r="H724" s="1438"/>
    </row>
    <row r="725" spans="1:8" s="1404" customFormat="1">
      <c r="A725" s="1477"/>
      <c r="B725" s="1477"/>
      <c r="D725" s="1438"/>
      <c r="E725" s="1438"/>
      <c r="F725" s="1438"/>
      <c r="G725" s="1438"/>
      <c r="H725" s="1438"/>
    </row>
    <row r="726" spans="1:8" s="1404" customFormat="1">
      <c r="A726" s="1477"/>
      <c r="B726" s="1477"/>
      <c r="D726" s="1438"/>
      <c r="E726" s="1438"/>
      <c r="F726" s="1438"/>
      <c r="G726" s="1438"/>
      <c r="H726" s="1438"/>
    </row>
    <row r="727" spans="1:8" s="1404" customFormat="1">
      <c r="A727" s="1477"/>
      <c r="B727" s="1477"/>
      <c r="D727" s="1438"/>
      <c r="E727" s="1438"/>
      <c r="F727" s="1438"/>
      <c r="G727" s="1438"/>
      <c r="H727" s="1438"/>
    </row>
    <row r="728" spans="1:8" s="1404" customFormat="1">
      <c r="A728" s="1477"/>
      <c r="B728" s="1477"/>
      <c r="D728" s="1438"/>
      <c r="E728" s="1438"/>
      <c r="F728" s="1438"/>
      <c r="G728" s="1438"/>
      <c r="H728" s="1438"/>
    </row>
    <row r="729" spans="1:8" s="1404" customFormat="1">
      <c r="A729" s="1477"/>
      <c r="B729" s="1477"/>
      <c r="D729" s="1438"/>
      <c r="E729" s="1438"/>
      <c r="F729" s="1438"/>
      <c r="G729" s="1438"/>
      <c r="H729" s="1438"/>
    </row>
    <row r="730" spans="1:8" s="1404" customFormat="1">
      <c r="A730" s="1477"/>
      <c r="B730" s="1477"/>
      <c r="D730" s="1438"/>
      <c r="E730" s="1438"/>
      <c r="F730" s="1438"/>
      <c r="G730" s="1438"/>
      <c r="H730" s="1438"/>
    </row>
    <row r="731" spans="1:8" s="1404" customFormat="1">
      <c r="A731" s="1477"/>
      <c r="B731" s="1477"/>
      <c r="D731" s="1438"/>
      <c r="E731" s="1438"/>
      <c r="F731" s="1438"/>
      <c r="G731" s="1438"/>
      <c r="H731" s="1438"/>
    </row>
    <row r="732" spans="1:8" s="1404" customFormat="1">
      <c r="A732" s="1477"/>
      <c r="B732" s="1477"/>
      <c r="D732" s="1438"/>
      <c r="E732" s="1438"/>
      <c r="F732" s="1438"/>
      <c r="G732" s="1438"/>
      <c r="H732" s="1438"/>
    </row>
    <row r="733" spans="1:8" s="1404" customFormat="1">
      <c r="A733" s="1477"/>
      <c r="B733" s="1477"/>
      <c r="D733" s="1438"/>
      <c r="E733" s="1438"/>
      <c r="F733" s="1438"/>
      <c r="G733" s="1438"/>
      <c r="H733" s="1438"/>
    </row>
    <row r="734" spans="1:8" s="1404" customFormat="1">
      <c r="A734" s="1477"/>
      <c r="B734" s="1477"/>
      <c r="D734" s="1438"/>
      <c r="E734" s="1438"/>
      <c r="F734" s="1438"/>
      <c r="G734" s="1438"/>
      <c r="H734" s="1438"/>
    </row>
    <row r="735" spans="1:8" s="1404" customFormat="1">
      <c r="A735" s="1477"/>
      <c r="B735" s="1477"/>
      <c r="D735" s="1438"/>
      <c r="E735" s="1438"/>
      <c r="F735" s="1438"/>
      <c r="G735" s="1438"/>
      <c r="H735" s="1438"/>
    </row>
    <row r="736" spans="1:8" s="1404" customFormat="1">
      <c r="A736" s="1477"/>
      <c r="B736" s="1477"/>
      <c r="D736" s="1438"/>
      <c r="E736" s="1438"/>
      <c r="F736" s="1438"/>
      <c r="G736" s="1438"/>
      <c r="H736" s="1438"/>
    </row>
    <row r="737" spans="1:8" s="1404" customFormat="1">
      <c r="A737" s="1477"/>
      <c r="B737" s="1477"/>
      <c r="D737" s="1438"/>
      <c r="E737" s="1438"/>
      <c r="F737" s="1438"/>
      <c r="G737" s="1438"/>
      <c r="H737" s="1438"/>
    </row>
    <row r="738" spans="1:8" s="1404" customFormat="1">
      <c r="A738" s="1477"/>
      <c r="B738" s="1477"/>
      <c r="D738" s="1438"/>
      <c r="E738" s="1438"/>
      <c r="F738" s="1438"/>
      <c r="G738" s="1438"/>
      <c r="H738" s="1438"/>
    </row>
    <row r="739" spans="1:8" s="1404" customFormat="1">
      <c r="A739" s="1477"/>
      <c r="B739" s="1477"/>
      <c r="D739" s="1438"/>
      <c r="E739" s="1438"/>
      <c r="F739" s="1438"/>
      <c r="G739" s="1438"/>
      <c r="H739" s="1438"/>
    </row>
    <row r="740" spans="1:8" s="1404" customFormat="1">
      <c r="A740" s="1477"/>
      <c r="B740" s="1477"/>
      <c r="D740" s="1438"/>
      <c r="E740" s="1438"/>
      <c r="F740" s="1438"/>
      <c r="G740" s="1438"/>
      <c r="H740" s="1438"/>
    </row>
    <row r="741" spans="1:8" s="1404" customFormat="1">
      <c r="A741" s="1477"/>
      <c r="B741" s="1477"/>
      <c r="D741" s="1438"/>
      <c r="E741" s="1438"/>
      <c r="F741" s="1438"/>
      <c r="G741" s="1438"/>
      <c r="H741" s="1438"/>
    </row>
    <row r="742" spans="1:8" s="1404" customFormat="1">
      <c r="A742" s="1477"/>
      <c r="B742" s="1477"/>
      <c r="D742" s="1438"/>
      <c r="E742" s="1438"/>
      <c r="F742" s="1438"/>
      <c r="G742" s="1438"/>
      <c r="H742" s="1438"/>
    </row>
    <row r="743" spans="1:8" s="1404" customFormat="1">
      <c r="A743" s="1477"/>
      <c r="B743" s="1477"/>
      <c r="D743" s="1438"/>
      <c r="E743" s="1438"/>
      <c r="F743" s="1438"/>
      <c r="G743" s="1438"/>
      <c r="H743" s="1438"/>
    </row>
    <row r="744" spans="1:8" s="1404" customFormat="1">
      <c r="A744" s="1477"/>
      <c r="B744" s="1477"/>
      <c r="D744" s="1438"/>
      <c r="E744" s="1438"/>
      <c r="F744" s="1438"/>
      <c r="G744" s="1438"/>
      <c r="H744" s="1438"/>
    </row>
    <row r="745" spans="1:8" s="1404" customFormat="1">
      <c r="A745" s="1477"/>
      <c r="B745" s="1477"/>
      <c r="D745" s="1438"/>
      <c r="E745" s="1438"/>
      <c r="F745" s="1438"/>
      <c r="G745" s="1438"/>
      <c r="H745" s="1438"/>
    </row>
    <row r="746" spans="1:8" s="1404" customFormat="1">
      <c r="A746" s="1477"/>
      <c r="B746" s="1477"/>
      <c r="D746" s="1438"/>
      <c r="E746" s="1438"/>
      <c r="F746" s="1438"/>
      <c r="G746" s="1438"/>
      <c r="H746" s="1438"/>
    </row>
    <row r="747" spans="1:8" s="1404" customFormat="1">
      <c r="A747" s="1477"/>
      <c r="B747" s="1477"/>
      <c r="D747" s="1438"/>
      <c r="E747" s="1438"/>
      <c r="F747" s="1438"/>
      <c r="G747" s="1438"/>
      <c r="H747" s="1438"/>
    </row>
    <row r="748" spans="1:8" s="1404" customFormat="1">
      <c r="A748" s="1477"/>
      <c r="B748" s="1477"/>
      <c r="D748" s="1438"/>
      <c r="E748" s="1438"/>
      <c r="F748" s="1438"/>
      <c r="G748" s="1438"/>
      <c r="H748" s="1438"/>
    </row>
    <row r="749" spans="1:8" s="1404" customFormat="1">
      <c r="A749" s="1477"/>
      <c r="B749" s="1477"/>
      <c r="D749" s="1438"/>
      <c r="E749" s="1438"/>
      <c r="F749" s="1438"/>
      <c r="G749" s="1438"/>
      <c r="H749" s="1438"/>
    </row>
    <row r="750" spans="1:8" s="1404" customFormat="1">
      <c r="A750" s="1477"/>
      <c r="B750" s="1477"/>
      <c r="D750" s="1438"/>
      <c r="E750" s="1438"/>
      <c r="F750" s="1438"/>
      <c r="G750" s="1438"/>
      <c r="H750" s="1438"/>
    </row>
    <row r="751" spans="1:8" s="1404" customFormat="1">
      <c r="A751" s="1477"/>
      <c r="B751" s="1477"/>
      <c r="D751" s="1438"/>
      <c r="E751" s="1438"/>
      <c r="F751" s="1438"/>
      <c r="G751" s="1438"/>
      <c r="H751" s="1438"/>
    </row>
    <row r="752" spans="1:8" s="1404" customFormat="1">
      <c r="A752" s="1477"/>
      <c r="B752" s="1477"/>
      <c r="D752" s="1438"/>
      <c r="E752" s="1438"/>
      <c r="F752" s="1438"/>
      <c r="G752" s="1438"/>
      <c r="H752" s="1438"/>
    </row>
    <row r="753" spans="1:8" s="1404" customFormat="1">
      <c r="A753" s="1477"/>
      <c r="B753" s="1477"/>
      <c r="D753" s="1438"/>
      <c r="E753" s="1438"/>
      <c r="F753" s="1438"/>
      <c r="G753" s="1438"/>
      <c r="H753" s="1438"/>
    </row>
    <row r="754" spans="1:8" s="1404" customFormat="1">
      <c r="A754" s="1477"/>
      <c r="B754" s="1477"/>
      <c r="D754" s="1438"/>
      <c r="E754" s="1438"/>
      <c r="F754" s="1438"/>
      <c r="G754" s="1438"/>
      <c r="H754" s="1438"/>
    </row>
    <row r="755" spans="1:8" s="1404" customFormat="1">
      <c r="A755" s="1477"/>
      <c r="B755" s="1477"/>
      <c r="D755" s="1438"/>
      <c r="E755" s="1438"/>
      <c r="F755" s="1438"/>
      <c r="G755" s="1438"/>
      <c r="H755" s="1438"/>
    </row>
    <row r="756" spans="1:8" s="1404" customFormat="1">
      <c r="A756" s="1477"/>
      <c r="B756" s="1477"/>
      <c r="D756" s="1438"/>
      <c r="E756" s="1438"/>
      <c r="F756" s="1438"/>
      <c r="G756" s="1438"/>
      <c r="H756" s="1438"/>
    </row>
    <row r="757" spans="1:8" s="1404" customFormat="1">
      <c r="A757" s="1477"/>
      <c r="B757" s="1477"/>
      <c r="D757" s="1438"/>
      <c r="E757" s="1438"/>
      <c r="F757" s="1438"/>
      <c r="G757" s="1438"/>
      <c r="H757" s="1438"/>
    </row>
    <row r="758" spans="1:8" s="1404" customFormat="1">
      <c r="A758" s="1477"/>
      <c r="B758" s="1477"/>
      <c r="D758" s="1438"/>
      <c r="E758" s="1438"/>
      <c r="F758" s="1438"/>
      <c r="G758" s="1438"/>
      <c r="H758" s="1438"/>
    </row>
    <row r="759" spans="1:8" s="1404" customFormat="1">
      <c r="A759" s="1477"/>
      <c r="B759" s="1477"/>
      <c r="D759" s="1438"/>
      <c r="E759" s="1438"/>
      <c r="F759" s="1438"/>
      <c r="G759" s="1438"/>
      <c r="H759" s="1438"/>
    </row>
    <row r="760" spans="1:8" s="1404" customFormat="1">
      <c r="A760" s="1477"/>
      <c r="B760" s="1477"/>
      <c r="D760" s="1438"/>
      <c r="E760" s="1438"/>
      <c r="F760" s="1438"/>
      <c r="G760" s="1438"/>
      <c r="H760" s="1438"/>
    </row>
    <row r="761" spans="1:8" s="1404" customFormat="1">
      <c r="A761" s="1477"/>
      <c r="B761" s="1477"/>
      <c r="D761" s="1438"/>
      <c r="E761" s="1438"/>
      <c r="F761" s="1438"/>
      <c r="G761" s="1438"/>
      <c r="H761" s="1438"/>
    </row>
    <row r="762" spans="1:8" s="1404" customFormat="1">
      <c r="A762" s="1477"/>
      <c r="B762" s="1477"/>
      <c r="D762" s="1438"/>
      <c r="E762" s="1438"/>
      <c r="F762" s="1438"/>
      <c r="G762" s="1438"/>
      <c r="H762" s="1438"/>
    </row>
    <row r="763" spans="1:8" s="1404" customFormat="1">
      <c r="A763" s="1477"/>
      <c r="B763" s="1477"/>
      <c r="D763" s="1438"/>
      <c r="E763" s="1438"/>
      <c r="F763" s="1438"/>
      <c r="G763" s="1438"/>
      <c r="H763" s="1438"/>
    </row>
    <row r="764" spans="1:8" s="1404" customFormat="1">
      <c r="A764" s="1477"/>
      <c r="B764" s="1477"/>
      <c r="D764" s="1438"/>
      <c r="E764" s="1438"/>
      <c r="F764" s="1438"/>
      <c r="G764" s="1438"/>
      <c r="H764" s="1438"/>
    </row>
    <row r="765" spans="1:8" s="1404" customFormat="1">
      <c r="A765" s="1477"/>
      <c r="B765" s="1477"/>
      <c r="D765" s="1438"/>
      <c r="E765" s="1438"/>
      <c r="F765" s="1438"/>
      <c r="G765" s="1438"/>
      <c r="H765" s="1438"/>
    </row>
    <row r="766" spans="1:8" s="1404" customFormat="1">
      <c r="A766" s="1477"/>
      <c r="B766" s="1477"/>
      <c r="D766" s="1438"/>
      <c r="E766" s="1438"/>
      <c r="F766" s="1438"/>
      <c r="G766" s="1438"/>
      <c r="H766" s="1438"/>
    </row>
    <row r="767" spans="1:8" s="1404" customFormat="1">
      <c r="A767" s="1477"/>
      <c r="B767" s="1477"/>
      <c r="D767" s="1438"/>
      <c r="E767" s="1438"/>
      <c r="F767" s="1438"/>
      <c r="G767" s="1438"/>
      <c r="H767" s="1438"/>
    </row>
    <row r="768" spans="1:8" s="1404" customFormat="1">
      <c r="A768" s="1477"/>
      <c r="B768" s="1477"/>
      <c r="D768" s="1438"/>
      <c r="E768" s="1438"/>
      <c r="F768" s="1438"/>
      <c r="G768" s="1438"/>
      <c r="H768" s="1438"/>
    </row>
    <row r="769" spans="1:8" s="1404" customFormat="1">
      <c r="A769" s="1477"/>
      <c r="B769" s="1477"/>
      <c r="D769" s="1438"/>
      <c r="E769" s="1438"/>
      <c r="F769" s="1438"/>
      <c r="G769" s="1438"/>
      <c r="H769" s="1438"/>
    </row>
    <row r="770" spans="1:8" s="1404" customFormat="1">
      <c r="A770" s="1477"/>
      <c r="B770" s="1477"/>
      <c r="D770" s="1438"/>
      <c r="E770" s="1438"/>
      <c r="F770" s="1438"/>
      <c r="G770" s="1438"/>
      <c r="H770" s="1438"/>
    </row>
    <row r="771" spans="1:8" s="1404" customFormat="1">
      <c r="A771" s="1477"/>
      <c r="B771" s="1477"/>
      <c r="D771" s="1438"/>
      <c r="E771" s="1438"/>
      <c r="F771" s="1438"/>
      <c r="G771" s="1438"/>
      <c r="H771" s="1438"/>
    </row>
    <row r="772" spans="1:8" s="1404" customFormat="1">
      <c r="A772" s="1477"/>
      <c r="B772" s="1477"/>
      <c r="D772" s="1438"/>
      <c r="E772" s="1438"/>
      <c r="F772" s="1438"/>
      <c r="G772" s="1438"/>
      <c r="H772" s="1438"/>
    </row>
    <row r="773" spans="1:8" s="1404" customFormat="1">
      <c r="A773" s="1477"/>
      <c r="B773" s="1477"/>
      <c r="D773" s="1438"/>
      <c r="E773" s="1438"/>
      <c r="F773" s="1438"/>
      <c r="G773" s="1438"/>
      <c r="H773" s="1438"/>
    </row>
    <row r="774" spans="1:8" s="1404" customFormat="1">
      <c r="A774" s="1477"/>
      <c r="B774" s="1477"/>
      <c r="D774" s="1438"/>
      <c r="E774" s="1438"/>
      <c r="F774" s="1438"/>
      <c r="G774" s="1438"/>
      <c r="H774" s="1438"/>
    </row>
    <row r="775" spans="1:8" s="1404" customFormat="1">
      <c r="A775" s="1477"/>
      <c r="B775" s="1477"/>
      <c r="D775" s="1438"/>
      <c r="E775" s="1438"/>
      <c r="F775" s="1438"/>
      <c r="G775" s="1438"/>
      <c r="H775" s="1438"/>
    </row>
    <row r="776" spans="1:8" s="1404" customFormat="1">
      <c r="A776" s="1477"/>
      <c r="B776" s="1477"/>
      <c r="D776" s="1438"/>
      <c r="E776" s="1438"/>
      <c r="F776" s="1438"/>
      <c r="G776" s="1438"/>
      <c r="H776" s="1438"/>
    </row>
    <row r="777" spans="1:8" s="1404" customFormat="1">
      <c r="A777" s="1477"/>
      <c r="B777" s="1477"/>
      <c r="D777" s="1438"/>
      <c r="E777" s="1438"/>
      <c r="F777" s="1438"/>
      <c r="G777" s="1438"/>
      <c r="H777" s="1438"/>
    </row>
    <row r="778" spans="1:8" s="1404" customFormat="1">
      <c r="A778" s="1477"/>
      <c r="B778" s="1477"/>
      <c r="D778" s="1438"/>
      <c r="E778" s="1438"/>
      <c r="F778" s="1438"/>
      <c r="G778" s="1438"/>
      <c r="H778" s="1438"/>
    </row>
    <row r="779" spans="1:8" s="1404" customFormat="1">
      <c r="A779" s="1477"/>
      <c r="B779" s="1477"/>
      <c r="D779" s="1438"/>
      <c r="E779" s="1438"/>
      <c r="F779" s="1438"/>
      <c r="G779" s="1438"/>
      <c r="H779" s="1438"/>
    </row>
    <row r="780" spans="1:8" s="1404" customFormat="1">
      <c r="A780" s="1477"/>
      <c r="B780" s="1477"/>
      <c r="D780" s="1438"/>
      <c r="E780" s="1438"/>
      <c r="F780" s="1438"/>
      <c r="G780" s="1438"/>
      <c r="H780" s="1438"/>
    </row>
    <row r="781" spans="1:8" s="1404" customFormat="1">
      <c r="A781" s="1477"/>
      <c r="B781" s="1477"/>
      <c r="D781" s="1438"/>
      <c r="E781" s="1438"/>
      <c r="F781" s="1438"/>
      <c r="G781" s="1438"/>
      <c r="H781" s="1438"/>
    </row>
    <row r="782" spans="1:8" s="1404" customFormat="1">
      <c r="A782" s="1477"/>
      <c r="B782" s="1477"/>
      <c r="D782" s="1438"/>
      <c r="E782" s="1438"/>
      <c r="F782" s="1438"/>
      <c r="G782" s="1438"/>
      <c r="H782" s="1438"/>
    </row>
    <row r="783" spans="1:8" s="1404" customFormat="1">
      <c r="A783" s="1477"/>
      <c r="B783" s="1477"/>
      <c r="D783" s="1438"/>
      <c r="E783" s="1438"/>
      <c r="F783" s="1438"/>
      <c r="G783" s="1438"/>
      <c r="H783" s="1438"/>
    </row>
    <row r="784" spans="1:8" s="1404" customFormat="1">
      <c r="A784" s="1477"/>
      <c r="B784" s="1477"/>
      <c r="D784" s="1438"/>
      <c r="E784" s="1438"/>
      <c r="F784" s="1438"/>
      <c r="G784" s="1438"/>
      <c r="H784" s="1438"/>
    </row>
    <row r="785" spans="1:8" s="1404" customFormat="1">
      <c r="A785" s="1477"/>
      <c r="B785" s="1477"/>
      <c r="D785" s="1438"/>
      <c r="E785" s="1438"/>
      <c r="F785" s="1438"/>
      <c r="G785" s="1438"/>
      <c r="H785" s="1438"/>
    </row>
    <row r="786" spans="1:8" s="1404" customFormat="1">
      <c r="A786" s="1477"/>
      <c r="B786" s="1477"/>
      <c r="D786" s="1438"/>
      <c r="E786" s="1438"/>
      <c r="F786" s="1438"/>
      <c r="G786" s="1438"/>
      <c r="H786" s="1438"/>
    </row>
    <row r="787" spans="1:8" s="1404" customFormat="1">
      <c r="A787" s="1477"/>
      <c r="B787" s="1477"/>
      <c r="D787" s="1438"/>
      <c r="E787" s="1438"/>
      <c r="F787" s="1438"/>
      <c r="G787" s="1438"/>
      <c r="H787" s="1438"/>
    </row>
    <row r="788" spans="1:8" s="1404" customFormat="1">
      <c r="A788" s="1477"/>
      <c r="B788" s="1477"/>
      <c r="D788" s="1438"/>
      <c r="E788" s="1438"/>
      <c r="F788" s="1438"/>
      <c r="G788" s="1438"/>
      <c r="H788" s="1438"/>
    </row>
    <row r="789" spans="1:8" s="1404" customFormat="1">
      <c r="A789" s="1477"/>
      <c r="B789" s="1477"/>
      <c r="D789" s="1438"/>
      <c r="E789" s="1438"/>
      <c r="F789" s="1438"/>
      <c r="G789" s="1438"/>
      <c r="H789" s="1438"/>
    </row>
    <row r="790" spans="1:8" s="1404" customFormat="1">
      <c r="A790" s="1477"/>
      <c r="B790" s="1477"/>
      <c r="D790" s="1438"/>
      <c r="E790" s="1438"/>
      <c r="F790" s="1438"/>
      <c r="G790" s="1438"/>
      <c r="H790" s="1438"/>
    </row>
    <row r="791" spans="1:8" s="1404" customFormat="1">
      <c r="A791" s="1477"/>
      <c r="B791" s="1477"/>
      <c r="D791" s="1438"/>
      <c r="E791" s="1438"/>
      <c r="F791" s="1438"/>
      <c r="G791" s="1438"/>
      <c r="H791" s="1438"/>
    </row>
    <row r="792" spans="1:8" s="1404" customFormat="1">
      <c r="A792" s="1477"/>
      <c r="B792" s="1477"/>
      <c r="D792" s="1438"/>
      <c r="E792" s="1438"/>
      <c r="F792" s="1438"/>
      <c r="G792" s="1438"/>
      <c r="H792" s="1438"/>
    </row>
    <row r="793" spans="1:8" s="1404" customFormat="1">
      <c r="A793" s="1477"/>
      <c r="B793" s="1477"/>
      <c r="D793" s="1438"/>
      <c r="E793" s="1438"/>
      <c r="F793" s="1438"/>
      <c r="G793" s="1438"/>
      <c r="H793" s="1438"/>
    </row>
    <row r="794" spans="1:8" s="1404" customFormat="1">
      <c r="A794" s="1477"/>
      <c r="B794" s="1477"/>
      <c r="D794" s="1438"/>
      <c r="E794" s="1438"/>
      <c r="F794" s="1438"/>
      <c r="G794" s="1438"/>
      <c r="H794" s="1438"/>
    </row>
    <row r="795" spans="1:8" s="1404" customFormat="1">
      <c r="A795" s="1477"/>
      <c r="B795" s="1477"/>
      <c r="D795" s="1438"/>
      <c r="E795" s="1438"/>
      <c r="F795" s="1438"/>
      <c r="G795" s="1438"/>
      <c r="H795" s="1438"/>
    </row>
    <row r="796" spans="1:8" s="1404" customFormat="1">
      <c r="A796" s="1477"/>
      <c r="B796" s="1477"/>
      <c r="D796" s="1438"/>
      <c r="E796" s="1438"/>
      <c r="F796" s="1438"/>
      <c r="G796" s="1438"/>
      <c r="H796" s="1438"/>
    </row>
    <row r="797" spans="1:8" s="1404" customFormat="1">
      <c r="A797" s="1477"/>
      <c r="B797" s="1477"/>
      <c r="D797" s="1438"/>
      <c r="E797" s="1438"/>
      <c r="F797" s="1438"/>
      <c r="G797" s="1438"/>
      <c r="H797" s="1438"/>
    </row>
    <row r="798" spans="1:8" s="1404" customFormat="1">
      <c r="A798" s="1477"/>
      <c r="B798" s="1477"/>
      <c r="D798" s="1438"/>
      <c r="E798" s="1438"/>
      <c r="F798" s="1438"/>
      <c r="G798" s="1438"/>
      <c r="H798" s="1438"/>
    </row>
    <row r="799" spans="1:8" s="1404" customFormat="1">
      <c r="A799" s="1477"/>
      <c r="B799" s="1477"/>
      <c r="D799" s="1438"/>
      <c r="E799" s="1438"/>
      <c r="F799" s="1438"/>
      <c r="G799" s="1438"/>
      <c r="H799" s="1438"/>
    </row>
    <row r="800" spans="1:8" s="1404" customFormat="1">
      <c r="A800" s="1477"/>
      <c r="B800" s="1477"/>
      <c r="D800" s="1438"/>
      <c r="E800" s="1438"/>
      <c r="F800" s="1438"/>
      <c r="G800" s="1438"/>
      <c r="H800" s="1438"/>
    </row>
    <row r="801" spans="1:8" s="1404" customFormat="1">
      <c r="A801" s="1477"/>
      <c r="B801" s="1477"/>
      <c r="D801" s="1438"/>
      <c r="E801" s="1438"/>
      <c r="F801" s="1438"/>
      <c r="G801" s="1438"/>
      <c r="H801" s="1438"/>
    </row>
    <row r="802" spans="1:8" s="1404" customFormat="1">
      <c r="A802" s="1477"/>
      <c r="B802" s="1477"/>
      <c r="D802" s="1438"/>
      <c r="E802" s="1438"/>
      <c r="F802" s="1438"/>
      <c r="G802" s="1438"/>
      <c r="H802" s="1438"/>
    </row>
    <row r="803" spans="1:8" s="1404" customFormat="1">
      <c r="A803" s="1477"/>
      <c r="B803" s="1477"/>
      <c r="D803" s="1438"/>
      <c r="E803" s="1438"/>
      <c r="F803" s="1438"/>
      <c r="G803" s="1438"/>
      <c r="H803" s="1438"/>
    </row>
    <row r="804" spans="1:8" s="1404" customFormat="1">
      <c r="A804" s="1477"/>
      <c r="B804" s="1477"/>
      <c r="D804" s="1438"/>
      <c r="E804" s="1438"/>
      <c r="F804" s="1438"/>
      <c r="G804" s="1438"/>
      <c r="H804" s="1438"/>
    </row>
    <row r="805" spans="1:8" s="1404" customFormat="1">
      <c r="A805" s="1477"/>
      <c r="B805" s="1477"/>
      <c r="D805" s="1438"/>
      <c r="E805" s="1438"/>
      <c r="F805" s="1438"/>
      <c r="G805" s="1438"/>
      <c r="H805" s="1438"/>
    </row>
    <row r="806" spans="1:8" s="1404" customFormat="1">
      <c r="A806" s="1477"/>
      <c r="B806" s="1477"/>
      <c r="D806" s="1438"/>
      <c r="E806" s="1438"/>
      <c r="F806" s="1438"/>
      <c r="G806" s="1438"/>
      <c r="H806" s="1438"/>
    </row>
    <row r="807" spans="1:8" s="1404" customFormat="1">
      <c r="A807" s="1477"/>
      <c r="B807" s="1477"/>
      <c r="D807" s="1438"/>
      <c r="E807" s="1438"/>
      <c r="F807" s="1438"/>
      <c r="G807" s="1438"/>
      <c r="H807" s="1438"/>
    </row>
    <row r="808" spans="1:8" s="1404" customFormat="1">
      <c r="A808" s="1477"/>
      <c r="B808" s="1477"/>
      <c r="D808" s="1438"/>
      <c r="E808" s="1438"/>
      <c r="F808" s="1438"/>
      <c r="G808" s="1438"/>
      <c r="H808" s="1438"/>
    </row>
    <row r="809" spans="1:8" s="1404" customFormat="1">
      <c r="A809" s="1477"/>
      <c r="B809" s="1477"/>
      <c r="D809" s="1438"/>
      <c r="E809" s="1438"/>
      <c r="F809" s="1438"/>
      <c r="G809" s="1438"/>
      <c r="H809" s="1438"/>
    </row>
    <row r="810" spans="1:8" s="1404" customFormat="1">
      <c r="A810" s="1477"/>
      <c r="B810" s="1477"/>
      <c r="D810" s="1438"/>
      <c r="E810" s="1438"/>
      <c r="F810" s="1438"/>
      <c r="G810" s="1438"/>
      <c r="H810" s="1438"/>
    </row>
    <row r="811" spans="1:8" s="1404" customFormat="1">
      <c r="A811" s="1477"/>
      <c r="B811" s="1477"/>
      <c r="D811" s="1438"/>
      <c r="E811" s="1438"/>
      <c r="F811" s="1438"/>
      <c r="G811" s="1438"/>
      <c r="H811" s="1438"/>
    </row>
    <row r="812" spans="1:8" s="1404" customFormat="1">
      <c r="A812" s="1477"/>
      <c r="B812" s="1477"/>
      <c r="D812" s="1438"/>
      <c r="E812" s="1438"/>
      <c r="F812" s="1438"/>
      <c r="G812" s="1438"/>
      <c r="H812" s="1438"/>
    </row>
    <row r="813" spans="1:8" s="1404" customFormat="1">
      <c r="A813" s="1477"/>
      <c r="B813" s="1477"/>
      <c r="D813" s="1438"/>
      <c r="E813" s="1438"/>
      <c r="F813" s="1438"/>
      <c r="G813" s="1438"/>
      <c r="H813" s="1438"/>
    </row>
    <row r="814" spans="1:8" s="1404" customFormat="1">
      <c r="A814" s="1477"/>
      <c r="B814" s="1477"/>
      <c r="D814" s="1438"/>
      <c r="E814" s="1438"/>
      <c r="F814" s="1438"/>
      <c r="G814" s="1438"/>
      <c r="H814" s="1438"/>
    </row>
    <row r="815" spans="1:8" s="1404" customFormat="1">
      <c r="A815" s="1477"/>
      <c r="B815" s="1477"/>
      <c r="D815" s="1438"/>
      <c r="E815" s="1438"/>
      <c r="F815" s="1438"/>
      <c r="G815" s="1438"/>
      <c r="H815" s="1438"/>
    </row>
    <row r="816" spans="1:8" s="1404" customFormat="1">
      <c r="A816" s="1477"/>
      <c r="B816" s="1477"/>
      <c r="D816" s="1438"/>
      <c r="E816" s="1438"/>
      <c r="F816" s="1438"/>
      <c r="G816" s="1438"/>
      <c r="H816" s="1438"/>
    </row>
    <row r="817" spans="1:8" s="1404" customFormat="1">
      <c r="A817" s="1477"/>
      <c r="B817" s="1477"/>
      <c r="D817" s="1438"/>
      <c r="E817" s="1438"/>
      <c r="F817" s="1438"/>
      <c r="G817" s="1438"/>
      <c r="H817" s="1438"/>
    </row>
    <row r="818" spans="1:8" s="1404" customFormat="1">
      <c r="A818" s="1477"/>
      <c r="B818" s="1477"/>
      <c r="D818" s="1438"/>
      <c r="E818" s="1438"/>
      <c r="F818" s="1438"/>
      <c r="G818" s="1438"/>
      <c r="H818" s="1438"/>
    </row>
    <row r="819" spans="1:8" s="1404" customFormat="1">
      <c r="A819" s="1477"/>
      <c r="B819" s="1477"/>
      <c r="D819" s="1438"/>
      <c r="E819" s="1438"/>
      <c r="F819" s="1438"/>
      <c r="G819" s="1438"/>
      <c r="H819" s="1438"/>
    </row>
    <row r="820" spans="1:8" s="1404" customFormat="1">
      <c r="A820" s="1477"/>
      <c r="B820" s="1477"/>
      <c r="D820" s="1438"/>
      <c r="E820" s="1438"/>
      <c r="F820" s="1438"/>
      <c r="G820" s="1438"/>
      <c r="H820" s="1438"/>
    </row>
    <row r="821" spans="1:8" s="1404" customFormat="1">
      <c r="A821" s="1477"/>
      <c r="B821" s="1477"/>
      <c r="D821" s="1438"/>
      <c r="E821" s="1438"/>
      <c r="F821" s="1438"/>
      <c r="G821" s="1438"/>
      <c r="H821" s="1438"/>
    </row>
    <row r="822" spans="1:8" s="1404" customFormat="1">
      <c r="A822" s="1477"/>
      <c r="B822" s="1477"/>
      <c r="D822" s="1438"/>
      <c r="E822" s="1438"/>
      <c r="F822" s="1438"/>
      <c r="G822" s="1438"/>
      <c r="H822" s="1438"/>
    </row>
    <row r="823" spans="1:8" s="1404" customFormat="1">
      <c r="A823" s="1477"/>
      <c r="B823" s="1477"/>
      <c r="D823" s="1438"/>
      <c r="E823" s="1438"/>
      <c r="F823" s="1438"/>
      <c r="G823" s="1438"/>
      <c r="H823" s="1438"/>
    </row>
    <row r="824" spans="1:8" s="1404" customFormat="1">
      <c r="A824" s="1477"/>
      <c r="B824" s="1477"/>
      <c r="D824" s="1438"/>
      <c r="E824" s="1438"/>
      <c r="F824" s="1438"/>
      <c r="G824" s="1438"/>
      <c r="H824" s="1438"/>
    </row>
    <row r="825" spans="1:8" s="1404" customFormat="1">
      <c r="A825" s="1477"/>
      <c r="B825" s="1477"/>
      <c r="D825" s="1438"/>
      <c r="E825" s="1438"/>
      <c r="F825" s="1438"/>
      <c r="G825" s="1438"/>
      <c r="H825" s="1438"/>
    </row>
    <row r="826" spans="1:8" s="1404" customFormat="1">
      <c r="A826" s="1477"/>
      <c r="B826" s="1477"/>
      <c r="D826" s="1438"/>
      <c r="E826" s="1438"/>
      <c r="F826" s="1438"/>
      <c r="G826" s="1438"/>
      <c r="H826" s="1438"/>
    </row>
    <row r="827" spans="1:8" s="1404" customFormat="1">
      <c r="A827" s="1477"/>
      <c r="B827" s="1477"/>
      <c r="D827" s="1438"/>
      <c r="E827" s="1438"/>
      <c r="F827" s="1438"/>
      <c r="G827" s="1438"/>
      <c r="H827" s="1438"/>
    </row>
    <row r="828" spans="1:8" s="1404" customFormat="1">
      <c r="A828" s="1477"/>
      <c r="B828" s="1477"/>
      <c r="D828" s="1438"/>
      <c r="E828" s="1438"/>
      <c r="F828" s="1438"/>
      <c r="G828" s="1438"/>
      <c r="H828" s="1438"/>
    </row>
    <row r="829" spans="1:8" s="1404" customFormat="1">
      <c r="A829" s="1477"/>
      <c r="B829" s="1477"/>
      <c r="D829" s="1438"/>
      <c r="E829" s="1438"/>
      <c r="F829" s="1438"/>
      <c r="G829" s="1438"/>
      <c r="H829" s="1438"/>
    </row>
    <row r="830" spans="1:8" s="1404" customFormat="1">
      <c r="A830" s="1477"/>
      <c r="B830" s="1477"/>
      <c r="D830" s="1438"/>
      <c r="E830" s="1438"/>
      <c r="F830" s="1438"/>
      <c r="G830" s="1438"/>
      <c r="H830" s="1438"/>
    </row>
    <row r="831" spans="1:8" s="1404" customFormat="1">
      <c r="A831" s="1477"/>
      <c r="B831" s="1477"/>
      <c r="D831" s="1438"/>
      <c r="E831" s="1438"/>
      <c r="F831" s="1438"/>
      <c r="G831" s="1438"/>
      <c r="H831" s="1438"/>
    </row>
    <row r="832" spans="1:8" s="1404" customFormat="1">
      <c r="A832" s="1477"/>
      <c r="B832" s="1477"/>
      <c r="D832" s="1438"/>
      <c r="E832" s="1438"/>
      <c r="F832" s="1438"/>
      <c r="G832" s="1438"/>
      <c r="H832" s="1438"/>
    </row>
    <row r="833" spans="1:8" s="1404" customFormat="1">
      <c r="A833" s="1477"/>
      <c r="B833" s="1477"/>
      <c r="D833" s="1438"/>
      <c r="E833" s="1438"/>
      <c r="F833" s="1438"/>
      <c r="G833" s="1438"/>
      <c r="H833" s="1438"/>
    </row>
    <row r="834" spans="1:8" s="1404" customFormat="1">
      <c r="A834" s="1477"/>
      <c r="B834" s="1477"/>
      <c r="D834" s="1438"/>
      <c r="E834" s="1438"/>
      <c r="F834" s="1438"/>
      <c r="G834" s="1438"/>
      <c r="H834" s="1438"/>
    </row>
    <row r="835" spans="1:8" s="1404" customFormat="1">
      <c r="A835" s="1477"/>
      <c r="B835" s="1477"/>
      <c r="D835" s="1438"/>
      <c r="E835" s="1438"/>
      <c r="F835" s="1438"/>
      <c r="G835" s="1438"/>
      <c r="H835" s="1438"/>
    </row>
    <row r="836" spans="1:8" s="1404" customFormat="1">
      <c r="A836" s="1477"/>
      <c r="B836" s="1477"/>
      <c r="D836" s="1438"/>
      <c r="E836" s="1438"/>
      <c r="F836" s="1438"/>
      <c r="G836" s="1438"/>
      <c r="H836" s="1438"/>
    </row>
    <row r="837" spans="1:8" s="1404" customFormat="1">
      <c r="A837" s="1477"/>
      <c r="B837" s="1477"/>
      <c r="D837" s="1438"/>
      <c r="E837" s="1438"/>
      <c r="F837" s="1438"/>
      <c r="G837" s="1438"/>
      <c r="H837" s="1438"/>
    </row>
    <row r="838" spans="1:8" s="1404" customFormat="1">
      <c r="A838" s="1477"/>
      <c r="B838" s="1477"/>
      <c r="D838" s="1438"/>
      <c r="E838" s="1438"/>
      <c r="F838" s="1438"/>
      <c r="G838" s="1438"/>
      <c r="H838" s="1438"/>
    </row>
    <row r="839" spans="1:8" s="1404" customFormat="1">
      <c r="A839" s="1477"/>
      <c r="B839" s="1477"/>
      <c r="D839" s="1438"/>
      <c r="E839" s="1438"/>
      <c r="F839" s="1438"/>
      <c r="G839" s="1438"/>
      <c r="H839" s="1438"/>
    </row>
    <row r="840" spans="1:8" s="1404" customFormat="1">
      <c r="A840" s="1477"/>
      <c r="B840" s="1477"/>
      <c r="D840" s="1438"/>
      <c r="E840" s="1438"/>
      <c r="F840" s="1438"/>
      <c r="G840" s="1438"/>
      <c r="H840" s="1438"/>
    </row>
    <row r="841" spans="1:8" s="1404" customFormat="1">
      <c r="A841" s="1477"/>
      <c r="B841" s="1477"/>
      <c r="D841" s="1438"/>
      <c r="E841" s="1438"/>
      <c r="F841" s="1438"/>
      <c r="G841" s="1438"/>
      <c r="H841" s="1438"/>
    </row>
    <row r="842" spans="1:8" s="1404" customFormat="1">
      <c r="A842" s="1477"/>
      <c r="B842" s="1477"/>
      <c r="D842" s="1438"/>
      <c r="E842" s="1438"/>
      <c r="F842" s="1438"/>
      <c r="G842" s="1438"/>
      <c r="H842" s="1438"/>
    </row>
    <row r="843" spans="1:8" s="1404" customFormat="1">
      <c r="A843" s="1477"/>
      <c r="B843" s="1477"/>
      <c r="D843" s="1438"/>
      <c r="E843" s="1438"/>
      <c r="F843" s="1438"/>
      <c r="G843" s="1438"/>
      <c r="H843" s="1438"/>
    </row>
    <row r="844" spans="1:8" s="1404" customFormat="1">
      <c r="A844" s="1477"/>
      <c r="B844" s="1477"/>
      <c r="D844" s="1438"/>
      <c r="E844" s="1438"/>
      <c r="F844" s="1438"/>
      <c r="G844" s="1438"/>
      <c r="H844" s="1438"/>
    </row>
    <row r="845" spans="1:8" s="1404" customFormat="1">
      <c r="A845" s="1477"/>
      <c r="B845" s="1477"/>
      <c r="D845" s="1438"/>
      <c r="E845" s="1438"/>
      <c r="F845" s="1438"/>
      <c r="G845" s="1438"/>
      <c r="H845" s="1438"/>
    </row>
    <row r="846" spans="1:8" s="1404" customFormat="1">
      <c r="A846" s="1477"/>
      <c r="B846" s="1477"/>
      <c r="D846" s="1438"/>
      <c r="E846" s="1438"/>
      <c r="F846" s="1438"/>
      <c r="G846" s="1438"/>
      <c r="H846" s="1438"/>
    </row>
    <row r="847" spans="1:8" s="1404" customFormat="1">
      <c r="A847" s="1477"/>
      <c r="B847" s="1477"/>
      <c r="D847" s="1438"/>
      <c r="E847" s="1438"/>
      <c r="F847" s="1438"/>
      <c r="G847" s="1438"/>
      <c r="H847" s="1438"/>
    </row>
    <row r="848" spans="1:8" s="1404" customFormat="1">
      <c r="A848" s="1477"/>
      <c r="B848" s="1477"/>
      <c r="D848" s="1438"/>
      <c r="E848" s="1438"/>
      <c r="F848" s="1438"/>
      <c r="G848" s="1438"/>
      <c r="H848" s="1438"/>
    </row>
    <row r="849" spans="1:8" s="1404" customFormat="1">
      <c r="A849" s="1477"/>
      <c r="B849" s="1477"/>
      <c r="D849" s="1438"/>
      <c r="E849" s="1438"/>
      <c r="F849" s="1438"/>
      <c r="G849" s="1438"/>
      <c r="H849" s="1438"/>
    </row>
    <row r="850" spans="1:8" s="1404" customFormat="1">
      <c r="A850" s="1477"/>
      <c r="B850" s="1477"/>
      <c r="D850" s="1438"/>
      <c r="E850" s="1438"/>
      <c r="F850" s="1438"/>
      <c r="G850" s="1438"/>
      <c r="H850" s="1438"/>
    </row>
    <row r="851" spans="1:8" s="1404" customFormat="1">
      <c r="A851" s="1477"/>
      <c r="B851" s="1477"/>
      <c r="D851" s="1438"/>
      <c r="E851" s="1438"/>
      <c r="F851" s="1438"/>
      <c r="G851" s="1438"/>
      <c r="H851" s="1438"/>
    </row>
    <row r="852" spans="1:8" s="1404" customFormat="1">
      <c r="A852" s="1477"/>
      <c r="B852" s="1477"/>
      <c r="D852" s="1438"/>
      <c r="E852" s="1438"/>
      <c r="F852" s="1438"/>
      <c r="G852" s="1438"/>
      <c r="H852" s="1438"/>
    </row>
    <row r="853" spans="1:8" s="1404" customFormat="1">
      <c r="A853" s="1477"/>
      <c r="B853" s="1477"/>
      <c r="D853" s="1438"/>
      <c r="E853" s="1438"/>
      <c r="F853" s="1438"/>
      <c r="G853" s="1438"/>
      <c r="H853" s="1438"/>
    </row>
    <row r="854" spans="1:8" s="1404" customFormat="1">
      <c r="A854" s="1477"/>
      <c r="B854" s="1477"/>
      <c r="D854" s="1438"/>
      <c r="E854" s="1438"/>
      <c r="F854" s="1438"/>
      <c r="G854" s="1438"/>
      <c r="H854" s="1438"/>
    </row>
    <row r="855" spans="1:8" s="1404" customFormat="1">
      <c r="A855" s="1477"/>
      <c r="B855" s="1477"/>
      <c r="D855" s="1438"/>
      <c r="E855" s="1438"/>
      <c r="F855" s="1438"/>
      <c r="G855" s="1438"/>
      <c r="H855" s="1438"/>
    </row>
    <row r="856" spans="1:8" s="1404" customFormat="1">
      <c r="A856" s="1477"/>
      <c r="B856" s="1477"/>
      <c r="D856" s="1438"/>
      <c r="E856" s="1438"/>
      <c r="F856" s="1438"/>
      <c r="G856" s="1438"/>
      <c r="H856" s="1438"/>
    </row>
    <row r="857" spans="1:8" s="1404" customFormat="1">
      <c r="A857" s="1477"/>
      <c r="B857" s="1477"/>
      <c r="D857" s="1438"/>
      <c r="E857" s="1438"/>
      <c r="F857" s="1438"/>
      <c r="G857" s="1438"/>
      <c r="H857" s="1438"/>
    </row>
    <row r="858" spans="1:8" s="1404" customFormat="1">
      <c r="A858" s="1477"/>
      <c r="B858" s="1477"/>
      <c r="D858" s="1438"/>
      <c r="E858" s="1438"/>
      <c r="F858" s="1438"/>
      <c r="G858" s="1438"/>
      <c r="H858" s="1438"/>
    </row>
    <row r="859" spans="1:8" s="1404" customFormat="1">
      <c r="A859" s="1477"/>
      <c r="B859" s="1477"/>
      <c r="D859" s="1438"/>
      <c r="E859" s="1438"/>
      <c r="F859" s="1438"/>
      <c r="G859" s="1438"/>
      <c r="H859" s="1438"/>
    </row>
    <row r="860" spans="1:8" s="1404" customFormat="1">
      <c r="A860" s="1477"/>
      <c r="B860" s="1477"/>
      <c r="D860" s="1438"/>
      <c r="E860" s="1438"/>
      <c r="F860" s="1438"/>
      <c r="G860" s="1438"/>
      <c r="H860" s="1438"/>
    </row>
    <row r="861" spans="1:8" s="1404" customFormat="1">
      <c r="A861" s="1477"/>
      <c r="B861" s="1477"/>
      <c r="D861" s="1438"/>
      <c r="E861" s="1438"/>
      <c r="F861" s="1438"/>
      <c r="G861" s="1438"/>
      <c r="H861" s="1438"/>
    </row>
    <row r="862" spans="1:8" s="1404" customFormat="1">
      <c r="A862" s="1477"/>
      <c r="B862" s="1477"/>
      <c r="D862" s="1438"/>
      <c r="E862" s="1438"/>
      <c r="F862" s="1438"/>
      <c r="G862" s="1438"/>
      <c r="H862" s="1438"/>
    </row>
    <row r="863" spans="1:8" s="1404" customFormat="1">
      <c r="A863" s="1477"/>
      <c r="B863" s="1477"/>
      <c r="D863" s="1438"/>
      <c r="E863" s="1438"/>
      <c r="F863" s="1438"/>
      <c r="G863" s="1438"/>
      <c r="H863" s="1438"/>
    </row>
    <row r="864" spans="1:8" s="1404" customFormat="1">
      <c r="A864" s="1477"/>
      <c r="B864" s="1477"/>
      <c r="D864" s="1438"/>
      <c r="E864" s="1438"/>
      <c r="F864" s="1438"/>
      <c r="G864" s="1438"/>
      <c r="H864" s="1438"/>
    </row>
    <row r="865" spans="1:8" s="1404" customFormat="1">
      <c r="A865" s="1477"/>
      <c r="B865" s="1477"/>
      <c r="D865" s="1438"/>
      <c r="E865" s="1438"/>
      <c r="F865" s="1438"/>
      <c r="G865" s="1438"/>
      <c r="H865" s="1438"/>
    </row>
    <row r="866" spans="1:8" s="1404" customFormat="1">
      <c r="A866" s="1477"/>
      <c r="B866" s="1477"/>
      <c r="D866" s="1438"/>
      <c r="E866" s="1438"/>
      <c r="F866" s="1438"/>
      <c r="G866" s="1438"/>
      <c r="H866" s="1438"/>
    </row>
    <row r="867" spans="1:8" s="1404" customFormat="1">
      <c r="A867" s="1477"/>
      <c r="B867" s="1477"/>
      <c r="D867" s="1438"/>
      <c r="E867" s="1438"/>
      <c r="F867" s="1438"/>
      <c r="G867" s="1438"/>
      <c r="H867" s="1438"/>
    </row>
    <row r="868" spans="1:8" s="1404" customFormat="1">
      <c r="A868" s="1477"/>
      <c r="B868" s="1477"/>
      <c r="D868" s="1438"/>
      <c r="E868" s="1438"/>
      <c r="F868" s="1438"/>
      <c r="G868" s="1438"/>
      <c r="H868" s="1438"/>
    </row>
    <row r="869" spans="1:8" s="1404" customFormat="1">
      <c r="A869" s="1477"/>
      <c r="B869" s="1477"/>
      <c r="D869" s="1438"/>
      <c r="E869" s="1438"/>
      <c r="F869" s="1438"/>
      <c r="G869" s="1438"/>
      <c r="H869" s="1438"/>
    </row>
    <row r="870" spans="1:8" s="1404" customFormat="1">
      <c r="A870" s="1477"/>
      <c r="B870" s="1477"/>
      <c r="D870" s="1438"/>
      <c r="E870" s="1438"/>
      <c r="F870" s="1438"/>
      <c r="G870" s="1438"/>
      <c r="H870" s="1438"/>
    </row>
    <row r="871" spans="1:8" s="1404" customFormat="1">
      <c r="A871" s="1477"/>
      <c r="B871" s="1477"/>
      <c r="D871" s="1438"/>
      <c r="E871" s="1438"/>
      <c r="F871" s="1438"/>
      <c r="G871" s="1438"/>
      <c r="H871" s="1438"/>
    </row>
    <row r="872" spans="1:8" s="1404" customFormat="1">
      <c r="A872" s="1477"/>
      <c r="B872" s="1477"/>
      <c r="D872" s="1438"/>
      <c r="E872" s="1438"/>
      <c r="F872" s="1438"/>
      <c r="G872" s="1438"/>
      <c r="H872" s="1438"/>
    </row>
    <row r="873" spans="1:8" s="1404" customFormat="1">
      <c r="A873" s="1477"/>
      <c r="B873" s="1477"/>
      <c r="D873" s="1438"/>
      <c r="E873" s="1438"/>
      <c r="F873" s="1438"/>
      <c r="G873" s="1438"/>
      <c r="H873" s="1438"/>
    </row>
    <row r="874" spans="1:8" s="1404" customFormat="1">
      <c r="A874" s="1477"/>
      <c r="B874" s="1477"/>
      <c r="D874" s="1438"/>
      <c r="E874" s="1438"/>
      <c r="F874" s="1438"/>
      <c r="G874" s="1438"/>
      <c r="H874" s="1438"/>
    </row>
    <row r="875" spans="1:8" s="1404" customFormat="1">
      <c r="A875" s="1477"/>
      <c r="B875" s="1477"/>
      <c r="D875" s="1438"/>
      <c r="E875" s="1438"/>
      <c r="F875" s="1438"/>
      <c r="G875" s="1438"/>
      <c r="H875" s="1438"/>
    </row>
    <row r="876" spans="1:8" s="1404" customFormat="1">
      <c r="A876" s="1477"/>
      <c r="B876" s="1477"/>
      <c r="D876" s="1438"/>
      <c r="E876" s="1438"/>
      <c r="F876" s="1438"/>
      <c r="G876" s="1438"/>
      <c r="H876" s="1438"/>
    </row>
    <row r="877" spans="1:8" s="1404" customFormat="1">
      <c r="A877" s="1477"/>
      <c r="B877" s="1477"/>
      <c r="D877" s="1438"/>
      <c r="E877" s="1438"/>
      <c r="F877" s="1438"/>
      <c r="G877" s="1438"/>
      <c r="H877" s="1438"/>
    </row>
    <row r="878" spans="1:8" s="1404" customFormat="1">
      <c r="A878" s="1477"/>
      <c r="B878" s="1477"/>
      <c r="D878" s="1438"/>
      <c r="E878" s="1438"/>
      <c r="F878" s="1438"/>
      <c r="G878" s="1438"/>
      <c r="H878" s="1438"/>
    </row>
    <row r="879" spans="1:8" s="1404" customFormat="1">
      <c r="A879" s="1477"/>
      <c r="B879" s="1477"/>
      <c r="D879" s="1438"/>
      <c r="E879" s="1438"/>
      <c r="F879" s="1438"/>
      <c r="G879" s="1438"/>
      <c r="H879" s="1438"/>
    </row>
    <row r="880" spans="1:8" s="1404" customFormat="1">
      <c r="A880" s="1477"/>
      <c r="B880" s="1477"/>
      <c r="D880" s="1438"/>
      <c r="E880" s="1438"/>
      <c r="F880" s="1438"/>
      <c r="G880" s="1438"/>
      <c r="H880" s="1438"/>
    </row>
    <row r="881" spans="1:8" s="1404" customFormat="1">
      <c r="A881" s="1477"/>
      <c r="B881" s="1477"/>
      <c r="D881" s="1438"/>
      <c r="E881" s="1438"/>
      <c r="F881" s="1438"/>
      <c r="G881" s="1438"/>
      <c r="H881" s="1438"/>
    </row>
    <row r="882" spans="1:8" s="1404" customFormat="1">
      <c r="A882" s="1477"/>
      <c r="B882" s="1477"/>
      <c r="D882" s="1438"/>
      <c r="E882" s="1438"/>
      <c r="F882" s="1438"/>
      <c r="G882" s="1438"/>
      <c r="H882" s="1438"/>
    </row>
    <row r="883" spans="1:8" s="1404" customFormat="1">
      <c r="A883" s="1477"/>
      <c r="B883" s="1477"/>
      <c r="D883" s="1438"/>
      <c r="E883" s="1438"/>
      <c r="F883" s="1438"/>
      <c r="G883" s="1438"/>
      <c r="H883" s="1438"/>
    </row>
    <row r="884" spans="1:8" s="1404" customFormat="1">
      <c r="A884" s="1477"/>
      <c r="B884" s="1477"/>
      <c r="D884" s="1438"/>
      <c r="E884" s="1438"/>
      <c r="F884" s="1438"/>
      <c r="G884" s="1438"/>
      <c r="H884" s="1438"/>
    </row>
    <row r="885" spans="1:8" s="1404" customFormat="1">
      <c r="A885" s="1477"/>
      <c r="B885" s="1477"/>
      <c r="D885" s="1438"/>
      <c r="E885" s="1438"/>
      <c r="F885" s="1438"/>
      <c r="G885" s="1438"/>
      <c r="H885" s="1438"/>
    </row>
    <row r="886" spans="1:8" s="1404" customFormat="1">
      <c r="A886" s="1477"/>
      <c r="B886" s="1477"/>
      <c r="D886" s="1438"/>
      <c r="E886" s="1438"/>
      <c r="F886" s="1438"/>
      <c r="G886" s="1438"/>
      <c r="H886" s="1438"/>
    </row>
    <row r="887" spans="1:8" s="1404" customFormat="1">
      <c r="A887" s="1477"/>
      <c r="B887" s="1477"/>
      <c r="D887" s="1438"/>
      <c r="E887" s="1438"/>
      <c r="F887" s="1438"/>
      <c r="G887" s="1438"/>
      <c r="H887" s="1438"/>
    </row>
    <row r="888" spans="1:8" s="1404" customFormat="1">
      <c r="A888" s="1477"/>
      <c r="B888" s="1477"/>
      <c r="D888" s="1438"/>
      <c r="E888" s="1438"/>
      <c r="F888" s="1438"/>
      <c r="G888" s="1438"/>
      <c r="H888" s="1438"/>
    </row>
    <row r="889" spans="1:8" s="1404" customFormat="1">
      <c r="A889" s="1477"/>
      <c r="B889" s="1477"/>
      <c r="D889" s="1438"/>
      <c r="E889" s="1438"/>
      <c r="F889" s="1438"/>
      <c r="G889" s="1438"/>
      <c r="H889" s="1438"/>
    </row>
    <row r="890" spans="1:8" s="1404" customFormat="1">
      <c r="A890" s="1477"/>
      <c r="B890" s="1477"/>
      <c r="D890" s="1438"/>
      <c r="E890" s="1438"/>
      <c r="F890" s="1438"/>
      <c r="G890" s="1438"/>
      <c r="H890" s="1438"/>
    </row>
    <row r="891" spans="1:8" s="1404" customFormat="1">
      <c r="A891" s="1477"/>
      <c r="B891" s="1477"/>
      <c r="D891" s="1438"/>
      <c r="E891" s="1438"/>
      <c r="F891" s="1438"/>
      <c r="G891" s="1438"/>
      <c r="H891" s="1438"/>
    </row>
    <row r="892" spans="1:8" s="1404" customFormat="1">
      <c r="A892" s="1477"/>
      <c r="B892" s="1477"/>
      <c r="D892" s="1438"/>
      <c r="E892" s="1438"/>
      <c r="F892" s="1438"/>
      <c r="G892" s="1438"/>
      <c r="H892" s="1438"/>
    </row>
    <row r="893" spans="1:8" s="1404" customFormat="1">
      <c r="A893" s="1477"/>
      <c r="B893" s="1477"/>
      <c r="D893" s="1438"/>
      <c r="E893" s="1438"/>
      <c r="F893" s="1438"/>
      <c r="G893" s="1438"/>
      <c r="H893" s="1438"/>
    </row>
    <row r="894" spans="1:8" s="1404" customFormat="1">
      <c r="A894" s="1477"/>
      <c r="B894" s="1477"/>
      <c r="D894" s="1438"/>
      <c r="E894" s="1438"/>
      <c r="F894" s="1438"/>
      <c r="G894" s="1438"/>
      <c r="H894" s="1438"/>
    </row>
    <row r="895" spans="1:8" s="1404" customFormat="1">
      <c r="A895" s="1477"/>
      <c r="B895" s="1477"/>
      <c r="D895" s="1438"/>
      <c r="E895" s="1438"/>
      <c r="F895" s="1438"/>
      <c r="G895" s="1438"/>
      <c r="H895" s="1438"/>
    </row>
    <row r="896" spans="1:8" s="1404" customFormat="1">
      <c r="A896" s="1477"/>
      <c r="B896" s="1477"/>
      <c r="D896" s="1438"/>
      <c r="E896" s="1438"/>
      <c r="F896" s="1438"/>
      <c r="G896" s="1438"/>
      <c r="H896" s="1438"/>
    </row>
    <row r="897" spans="1:8" s="1404" customFormat="1">
      <c r="A897" s="1477"/>
      <c r="B897" s="1477"/>
      <c r="D897" s="1438"/>
      <c r="E897" s="1438"/>
      <c r="F897" s="1438"/>
      <c r="G897" s="1438"/>
      <c r="H897" s="1438"/>
    </row>
    <row r="898" spans="1:8" s="1404" customFormat="1">
      <c r="A898" s="1477"/>
      <c r="B898" s="1477"/>
      <c r="D898" s="1438"/>
      <c r="E898" s="1438"/>
      <c r="F898" s="1438"/>
      <c r="G898" s="1438"/>
      <c r="H898" s="1438"/>
    </row>
    <row r="899" spans="1:8" s="1404" customFormat="1">
      <c r="A899" s="1477"/>
      <c r="B899" s="1477"/>
      <c r="D899" s="1438"/>
      <c r="E899" s="1438"/>
      <c r="F899" s="1438"/>
      <c r="G899" s="1438"/>
      <c r="H899" s="1438"/>
    </row>
    <row r="900" spans="1:8" s="1404" customFormat="1">
      <c r="A900" s="1477"/>
      <c r="B900" s="1477"/>
      <c r="D900" s="1438"/>
      <c r="E900" s="1438"/>
      <c r="F900" s="1438"/>
      <c r="G900" s="1438"/>
      <c r="H900" s="1438"/>
    </row>
    <row r="901" spans="1:8" s="1404" customFormat="1">
      <c r="A901" s="1477"/>
      <c r="B901" s="1477"/>
      <c r="D901" s="1438"/>
      <c r="E901" s="1438"/>
      <c r="F901" s="1438"/>
      <c r="G901" s="1438"/>
      <c r="H901" s="1438"/>
    </row>
    <row r="902" spans="1:8" s="1404" customFormat="1">
      <c r="A902" s="1477"/>
      <c r="B902" s="1477"/>
      <c r="D902" s="1438"/>
      <c r="E902" s="1438"/>
      <c r="F902" s="1438"/>
      <c r="G902" s="1438"/>
      <c r="H902" s="1438"/>
    </row>
    <row r="903" spans="1:8" s="1404" customFormat="1">
      <c r="A903" s="1477"/>
      <c r="B903" s="1477"/>
      <c r="D903" s="1438"/>
      <c r="E903" s="1438"/>
      <c r="F903" s="1438"/>
      <c r="G903" s="1438"/>
      <c r="H903" s="1438"/>
    </row>
    <row r="904" spans="1:8" s="1404" customFormat="1">
      <c r="A904" s="1477"/>
      <c r="B904" s="1477"/>
      <c r="D904" s="1438"/>
      <c r="E904" s="1438"/>
      <c r="F904" s="1438"/>
      <c r="G904" s="1438"/>
      <c r="H904" s="1438"/>
    </row>
    <row r="905" spans="1:8" s="1404" customFormat="1">
      <c r="A905" s="1477"/>
      <c r="B905" s="1477"/>
      <c r="D905" s="1438"/>
      <c r="E905" s="1438"/>
      <c r="F905" s="1438"/>
      <c r="G905" s="1438"/>
      <c r="H905" s="1438"/>
    </row>
    <row r="906" spans="1:8" s="1404" customFormat="1">
      <c r="A906" s="1477"/>
      <c r="B906" s="1477"/>
      <c r="D906" s="1438"/>
      <c r="E906" s="1438"/>
      <c r="F906" s="1438"/>
      <c r="G906" s="1438"/>
      <c r="H906" s="1438"/>
    </row>
    <row r="907" spans="1:8" s="1404" customFormat="1">
      <c r="A907" s="1477"/>
      <c r="B907" s="1477"/>
      <c r="D907" s="1438"/>
      <c r="E907" s="1438"/>
      <c r="F907" s="1438"/>
      <c r="G907" s="1438"/>
      <c r="H907" s="1438"/>
    </row>
    <row r="908" spans="1:8" s="1404" customFormat="1">
      <c r="A908" s="1477"/>
      <c r="B908" s="1477"/>
      <c r="D908" s="1438"/>
      <c r="E908" s="1438"/>
      <c r="F908" s="1438"/>
      <c r="G908" s="1438"/>
      <c r="H908" s="1438"/>
    </row>
    <row r="909" spans="1:8" s="1404" customFormat="1">
      <c r="A909" s="1477"/>
      <c r="B909" s="1477"/>
      <c r="D909" s="1438"/>
      <c r="E909" s="1438"/>
      <c r="F909" s="1438"/>
      <c r="G909" s="1438"/>
      <c r="H909" s="1438"/>
    </row>
    <row r="910" spans="1:8" s="1404" customFormat="1">
      <c r="A910" s="1477"/>
      <c r="B910" s="1477"/>
      <c r="D910" s="1438"/>
      <c r="E910" s="1438"/>
      <c r="F910" s="1438"/>
      <c r="G910" s="1438"/>
      <c r="H910" s="1438"/>
    </row>
    <row r="911" spans="1:8" s="1404" customFormat="1">
      <c r="A911" s="1477"/>
      <c r="B911" s="1477"/>
      <c r="D911" s="1438"/>
      <c r="E911" s="1438"/>
      <c r="F911" s="1438"/>
      <c r="G911" s="1438"/>
      <c r="H911" s="1438"/>
    </row>
    <row r="912" spans="1:8" s="1404" customFormat="1">
      <c r="A912" s="1477"/>
      <c r="B912" s="1477"/>
      <c r="D912" s="1438"/>
      <c r="E912" s="1438"/>
      <c r="F912" s="1438"/>
      <c r="G912" s="1438"/>
      <c r="H912" s="1438"/>
    </row>
    <row r="913" spans="1:8" s="1404" customFormat="1">
      <c r="A913" s="1477"/>
      <c r="B913" s="1477"/>
      <c r="D913" s="1438"/>
      <c r="E913" s="1438"/>
      <c r="F913" s="1438"/>
      <c r="G913" s="1438"/>
      <c r="H913" s="1438"/>
    </row>
    <row r="914" spans="1:8" s="1404" customFormat="1">
      <c r="A914" s="1477"/>
      <c r="B914" s="1477"/>
      <c r="D914" s="1438"/>
      <c r="E914" s="1438"/>
      <c r="F914" s="1438"/>
      <c r="G914" s="1438"/>
      <c r="H914" s="1438"/>
    </row>
    <row r="915" spans="1:8" s="1404" customFormat="1">
      <c r="A915" s="1477"/>
      <c r="B915" s="1477"/>
      <c r="D915" s="1438"/>
      <c r="E915" s="1438"/>
      <c r="F915" s="1438"/>
      <c r="G915" s="1438"/>
      <c r="H915" s="1438"/>
    </row>
    <row r="916" spans="1:8" s="1404" customFormat="1">
      <c r="A916" s="1477"/>
      <c r="B916" s="1477"/>
      <c r="D916" s="1438"/>
      <c r="E916" s="1438"/>
      <c r="F916" s="1438"/>
      <c r="G916" s="1438"/>
      <c r="H916" s="1438"/>
    </row>
    <row r="917" spans="1:8" s="1404" customFormat="1">
      <c r="A917" s="1477"/>
      <c r="B917" s="1477"/>
      <c r="D917" s="1438"/>
      <c r="E917" s="1438"/>
      <c r="F917" s="1438"/>
      <c r="G917" s="1438"/>
      <c r="H917" s="1438"/>
    </row>
    <row r="918" spans="1:8" s="1404" customFormat="1">
      <c r="A918" s="1477"/>
      <c r="B918" s="1477"/>
      <c r="D918" s="1438"/>
      <c r="E918" s="1438"/>
      <c r="F918" s="1438"/>
      <c r="G918" s="1438"/>
      <c r="H918" s="1438"/>
    </row>
    <row r="919" spans="1:8" s="1404" customFormat="1">
      <c r="A919" s="1477"/>
      <c r="B919" s="1477"/>
      <c r="D919" s="1438"/>
      <c r="E919" s="1438"/>
      <c r="F919" s="1438"/>
      <c r="G919" s="1438"/>
      <c r="H919" s="1438"/>
    </row>
    <row r="920" spans="1:8" s="1404" customFormat="1">
      <c r="A920" s="1477"/>
      <c r="B920" s="1477"/>
      <c r="D920" s="1438"/>
      <c r="E920" s="1438"/>
      <c r="F920" s="1438"/>
      <c r="G920" s="1438"/>
      <c r="H920" s="1438"/>
    </row>
    <row r="921" spans="1:8" s="1404" customFormat="1">
      <c r="A921" s="1477"/>
      <c r="B921" s="1477"/>
      <c r="D921" s="1438"/>
      <c r="E921" s="1438"/>
      <c r="F921" s="1438"/>
      <c r="G921" s="1438"/>
      <c r="H921" s="1438"/>
    </row>
    <row r="922" spans="1:8" s="1404" customFormat="1">
      <c r="A922" s="1477"/>
      <c r="B922" s="1477"/>
      <c r="D922" s="1438"/>
      <c r="E922" s="1438"/>
      <c r="F922" s="1438"/>
      <c r="G922" s="1438"/>
      <c r="H922" s="1438"/>
    </row>
    <row r="923" spans="1:8" s="1404" customFormat="1">
      <c r="A923" s="1477"/>
      <c r="B923" s="1477"/>
      <c r="D923" s="1438"/>
      <c r="E923" s="1438"/>
      <c r="F923" s="1438"/>
      <c r="G923" s="1438"/>
      <c r="H923" s="1438"/>
    </row>
    <row r="924" spans="1:8" s="1404" customFormat="1">
      <c r="A924" s="1477"/>
      <c r="B924" s="1477"/>
      <c r="D924" s="1438"/>
      <c r="E924" s="1438"/>
      <c r="F924" s="1438"/>
      <c r="G924" s="1438"/>
      <c r="H924" s="1438"/>
    </row>
    <row r="925" spans="1:8" s="1404" customFormat="1">
      <c r="A925" s="1477"/>
      <c r="B925" s="1477"/>
      <c r="D925" s="1438"/>
      <c r="E925" s="1438"/>
      <c r="F925" s="1438"/>
      <c r="G925" s="1438"/>
      <c r="H925" s="1438"/>
    </row>
    <row r="926" spans="1:8" s="1404" customFormat="1">
      <c r="A926" s="1477"/>
      <c r="B926" s="1477"/>
      <c r="D926" s="1438"/>
      <c r="E926" s="1438"/>
      <c r="F926" s="1438"/>
      <c r="G926" s="1438"/>
      <c r="H926" s="1438"/>
    </row>
    <row r="927" spans="1:8" s="1404" customFormat="1">
      <c r="A927" s="1477"/>
      <c r="B927" s="1477"/>
      <c r="D927" s="1438"/>
      <c r="E927" s="1438"/>
      <c r="F927" s="1438"/>
      <c r="G927" s="1438"/>
      <c r="H927" s="1438"/>
    </row>
    <row r="928" spans="1:8" s="1404" customFormat="1">
      <c r="A928" s="1477"/>
      <c r="B928" s="1477"/>
      <c r="D928" s="1438"/>
      <c r="E928" s="1438"/>
      <c r="F928" s="1438"/>
      <c r="G928" s="1438"/>
      <c r="H928" s="1438"/>
    </row>
    <row r="929" spans="1:8" s="1404" customFormat="1">
      <c r="A929" s="1477"/>
      <c r="B929" s="1477"/>
      <c r="D929" s="1438"/>
      <c r="E929" s="1438"/>
      <c r="F929" s="1438"/>
      <c r="G929" s="1438"/>
      <c r="H929" s="1438"/>
    </row>
    <row r="930" spans="1:8" s="1404" customFormat="1">
      <c r="A930" s="1477"/>
      <c r="B930" s="1477"/>
      <c r="D930" s="1438"/>
      <c r="E930" s="1438"/>
      <c r="F930" s="1438"/>
      <c r="G930" s="1438"/>
      <c r="H930" s="1438"/>
    </row>
    <row r="931" spans="1:8" s="1404" customFormat="1">
      <c r="A931" s="1477"/>
      <c r="B931" s="1477"/>
      <c r="D931" s="1438"/>
      <c r="E931" s="1438"/>
      <c r="F931" s="1438"/>
      <c r="G931" s="1438"/>
      <c r="H931" s="1438"/>
    </row>
    <row r="932" spans="1:8" s="1404" customFormat="1">
      <c r="A932" s="1477"/>
      <c r="B932" s="1477"/>
      <c r="D932" s="1438"/>
      <c r="E932" s="1438"/>
      <c r="F932" s="1438"/>
      <c r="G932" s="1438"/>
      <c r="H932" s="1438"/>
    </row>
    <row r="933" spans="1:8" s="1404" customFormat="1">
      <c r="A933" s="1477"/>
      <c r="B933" s="1477"/>
      <c r="D933" s="1438"/>
      <c r="E933" s="1438"/>
      <c r="F933" s="1438"/>
      <c r="G933" s="1438"/>
      <c r="H933" s="1438"/>
    </row>
    <row r="934" spans="1:8" s="1404" customFormat="1">
      <c r="A934" s="1477"/>
      <c r="B934" s="1477"/>
      <c r="D934" s="1438"/>
      <c r="E934" s="1438"/>
      <c r="F934" s="1438"/>
      <c r="G934" s="1438"/>
      <c r="H934" s="1438"/>
    </row>
    <row r="935" spans="1:8" s="1404" customFormat="1">
      <c r="A935" s="1477"/>
      <c r="B935" s="1477"/>
      <c r="D935" s="1438"/>
      <c r="E935" s="1438"/>
      <c r="F935" s="1438"/>
      <c r="G935" s="1438"/>
      <c r="H935" s="1438"/>
    </row>
    <row r="936" spans="1:8" s="1404" customFormat="1">
      <c r="A936" s="1477"/>
      <c r="B936" s="1477"/>
      <c r="D936" s="1438"/>
      <c r="E936" s="1438"/>
      <c r="F936" s="1438"/>
      <c r="G936" s="1438"/>
      <c r="H936" s="1438"/>
    </row>
    <row r="937" spans="1:8" s="1404" customFormat="1">
      <c r="A937" s="1477"/>
      <c r="B937" s="1477"/>
      <c r="D937" s="1438"/>
      <c r="E937" s="1438"/>
      <c r="F937" s="1438"/>
      <c r="G937" s="1438"/>
      <c r="H937" s="1438"/>
    </row>
    <row r="938" spans="1:8" s="1404" customFormat="1">
      <c r="A938" s="1477"/>
      <c r="B938" s="1477"/>
      <c r="D938" s="1438"/>
      <c r="E938" s="1438"/>
      <c r="F938" s="1438"/>
      <c r="G938" s="1438"/>
      <c r="H938" s="1438"/>
    </row>
    <row r="939" spans="1:8" s="1404" customFormat="1">
      <c r="A939" s="1477"/>
      <c r="B939" s="1477"/>
      <c r="D939" s="1438"/>
      <c r="E939" s="1438"/>
      <c r="F939" s="1438"/>
      <c r="G939" s="1438"/>
      <c r="H939" s="1438"/>
    </row>
    <row r="940" spans="1:8" s="1404" customFormat="1">
      <c r="A940" s="1477"/>
      <c r="B940" s="1477"/>
      <c r="D940" s="1438"/>
      <c r="E940" s="1438"/>
      <c r="F940" s="1438"/>
      <c r="G940" s="1438"/>
      <c r="H940" s="1438"/>
    </row>
    <row r="941" spans="1:8" s="1404" customFormat="1">
      <c r="A941" s="1477"/>
      <c r="B941" s="1477"/>
      <c r="D941" s="1438"/>
      <c r="E941" s="1438"/>
      <c r="F941" s="1438"/>
      <c r="G941" s="1438"/>
      <c r="H941" s="1438"/>
    </row>
    <row r="942" spans="1:8" s="1404" customFormat="1">
      <c r="A942" s="1477"/>
      <c r="B942" s="1477"/>
      <c r="D942" s="1438"/>
      <c r="E942" s="1438"/>
      <c r="F942" s="1438"/>
      <c r="G942" s="1438"/>
      <c r="H942" s="1438"/>
    </row>
    <row r="943" spans="1:8" s="1404" customFormat="1">
      <c r="A943" s="1477"/>
      <c r="B943" s="1477"/>
      <c r="D943" s="1438"/>
      <c r="E943" s="1438"/>
      <c r="F943" s="1438"/>
      <c r="G943" s="1438"/>
      <c r="H943" s="1438"/>
    </row>
    <row r="944" spans="1:8" s="1404" customFormat="1">
      <c r="A944" s="1477"/>
      <c r="B944" s="1477"/>
      <c r="D944" s="1438"/>
      <c r="E944" s="1438"/>
      <c r="F944" s="1438"/>
      <c r="G944" s="1438"/>
      <c r="H944" s="1438"/>
    </row>
    <row r="945" spans="1:8" s="1404" customFormat="1">
      <c r="A945" s="1477"/>
      <c r="B945" s="1477"/>
      <c r="D945" s="1438"/>
      <c r="E945" s="1438"/>
      <c r="F945" s="1438"/>
      <c r="G945" s="1438"/>
      <c r="H945" s="1438"/>
    </row>
    <row r="946" spans="1:8" s="1404" customFormat="1">
      <c r="A946" s="1477"/>
      <c r="B946" s="1477"/>
      <c r="D946" s="1438"/>
      <c r="E946" s="1438"/>
      <c r="F946" s="1438"/>
      <c r="G946" s="1438"/>
      <c r="H946" s="1438"/>
    </row>
    <row r="947" spans="1:8" s="1404" customFormat="1">
      <c r="A947" s="1477"/>
      <c r="B947" s="1477"/>
      <c r="D947" s="1438"/>
      <c r="E947" s="1438"/>
      <c r="F947" s="1438"/>
      <c r="G947" s="1438"/>
      <c r="H947" s="1438"/>
    </row>
    <row r="948" spans="1:8" s="1404" customFormat="1">
      <c r="A948" s="1477"/>
      <c r="B948" s="1477"/>
      <c r="D948" s="1438"/>
      <c r="E948" s="1438"/>
      <c r="F948" s="1438"/>
      <c r="G948" s="1438"/>
      <c r="H948" s="1438"/>
    </row>
    <row r="949" spans="1:8" s="1404" customFormat="1">
      <c r="A949" s="1477"/>
      <c r="B949" s="1477"/>
      <c r="D949" s="1438"/>
      <c r="E949" s="1438"/>
      <c r="F949" s="1438"/>
      <c r="G949" s="1438"/>
      <c r="H949" s="1438"/>
    </row>
    <row r="950" spans="1:8" s="1404" customFormat="1">
      <c r="A950" s="1477"/>
      <c r="B950" s="1477"/>
      <c r="D950" s="1438"/>
      <c r="E950" s="1438"/>
      <c r="F950" s="1438"/>
      <c r="G950" s="1438"/>
      <c r="H950" s="1438"/>
    </row>
    <row r="951" spans="1:8" s="1404" customFormat="1">
      <c r="A951" s="1477"/>
      <c r="B951" s="1477"/>
      <c r="D951" s="1438"/>
      <c r="E951" s="1438"/>
      <c r="F951" s="1438"/>
      <c r="G951" s="1438"/>
      <c r="H951" s="1438"/>
    </row>
    <row r="952" spans="1:8" s="1404" customFormat="1">
      <c r="A952" s="1477"/>
      <c r="B952" s="1477"/>
      <c r="D952" s="1438"/>
      <c r="E952" s="1438"/>
      <c r="F952" s="1438"/>
      <c r="G952" s="1438"/>
      <c r="H952" s="1438"/>
    </row>
    <row r="953" spans="1:8" s="1404" customFormat="1">
      <c r="A953" s="1477"/>
      <c r="B953" s="1477"/>
      <c r="D953" s="1438"/>
      <c r="E953" s="1438"/>
      <c r="F953" s="1438"/>
      <c r="G953" s="1438"/>
      <c r="H953" s="1438"/>
    </row>
    <row r="954" spans="1:8" s="1404" customFormat="1">
      <c r="A954" s="1477"/>
      <c r="B954" s="1477"/>
      <c r="D954" s="1438"/>
      <c r="E954" s="1438"/>
      <c r="F954" s="1438"/>
      <c r="G954" s="1438"/>
      <c r="H954" s="1438"/>
    </row>
    <row r="955" spans="1:8" s="1404" customFormat="1">
      <c r="A955" s="1477"/>
      <c r="B955" s="1477"/>
      <c r="D955" s="1438"/>
      <c r="E955" s="1438"/>
      <c r="F955" s="1438"/>
      <c r="G955" s="1438"/>
      <c r="H955" s="1438"/>
    </row>
    <row r="956" spans="1:8" s="1404" customFormat="1">
      <c r="A956" s="1477"/>
      <c r="B956" s="1477"/>
      <c r="D956" s="1438"/>
      <c r="E956" s="1438"/>
      <c r="F956" s="1438"/>
      <c r="G956" s="1438"/>
      <c r="H956" s="1438"/>
    </row>
    <row r="957" spans="1:8" s="1404" customFormat="1">
      <c r="A957" s="1477"/>
      <c r="B957" s="1477"/>
      <c r="D957" s="1438"/>
      <c r="E957" s="1438"/>
      <c r="F957" s="1438"/>
      <c r="G957" s="1438"/>
      <c r="H957" s="1438"/>
    </row>
    <row r="958" spans="1:8" s="1404" customFormat="1">
      <c r="A958" s="1477"/>
      <c r="B958" s="1477"/>
      <c r="D958" s="1438"/>
      <c r="E958" s="1438"/>
      <c r="F958" s="1438"/>
      <c r="G958" s="1438"/>
      <c r="H958" s="1438"/>
    </row>
    <row r="959" spans="1:8" s="1404" customFormat="1">
      <c r="A959" s="1477"/>
      <c r="B959" s="1477"/>
      <c r="D959" s="1438"/>
      <c r="E959" s="1438"/>
      <c r="F959" s="1438"/>
      <c r="G959" s="1438"/>
      <c r="H959" s="1438"/>
    </row>
    <row r="960" spans="1:8" s="1404" customFormat="1">
      <c r="A960" s="1477"/>
      <c r="B960" s="1477"/>
      <c r="D960" s="1438"/>
      <c r="E960" s="1438"/>
      <c r="F960" s="1438"/>
      <c r="G960" s="1438"/>
      <c r="H960" s="1438"/>
    </row>
    <row r="961" spans="1:8" s="1404" customFormat="1">
      <c r="A961" s="1477"/>
      <c r="B961" s="1477"/>
      <c r="D961" s="1438"/>
      <c r="E961" s="1438"/>
      <c r="F961" s="1438"/>
      <c r="G961" s="1438"/>
      <c r="H961" s="1438"/>
    </row>
    <row r="962" spans="1:8" s="1404" customFormat="1">
      <c r="A962" s="1477"/>
      <c r="B962" s="1477"/>
      <c r="D962" s="1438"/>
      <c r="E962" s="1438"/>
      <c r="F962" s="1438"/>
      <c r="G962" s="1438"/>
      <c r="H962" s="1438"/>
    </row>
    <row r="963" spans="1:8" s="1404" customFormat="1">
      <c r="A963" s="1477"/>
      <c r="B963" s="1477"/>
      <c r="D963" s="1438"/>
      <c r="E963" s="1438"/>
      <c r="F963" s="1438"/>
      <c r="G963" s="1438"/>
      <c r="H963" s="1438"/>
    </row>
    <row r="964" spans="1:8" s="1404" customFormat="1">
      <c r="A964" s="1477"/>
      <c r="B964" s="1477"/>
      <c r="D964" s="1438"/>
      <c r="E964" s="1438"/>
      <c r="F964" s="1438"/>
      <c r="G964" s="1438"/>
      <c r="H964" s="1438"/>
    </row>
    <row r="965" spans="1:8" s="1404" customFormat="1">
      <c r="A965" s="1477"/>
      <c r="B965" s="1477"/>
      <c r="D965" s="1438"/>
      <c r="E965" s="1438"/>
      <c r="F965" s="1438"/>
      <c r="G965" s="1438"/>
      <c r="H965" s="1438"/>
    </row>
    <row r="966" spans="1:8" s="1404" customFormat="1">
      <c r="A966" s="1477"/>
      <c r="B966" s="1477"/>
      <c r="D966" s="1438"/>
      <c r="E966" s="1438"/>
      <c r="F966" s="1438"/>
      <c r="G966" s="1438"/>
      <c r="H966" s="1438"/>
    </row>
    <row r="967" spans="1:8" s="1404" customFormat="1">
      <c r="A967" s="1477"/>
      <c r="B967" s="1477"/>
      <c r="D967" s="1438"/>
      <c r="E967" s="1438"/>
      <c r="F967" s="1438"/>
      <c r="G967" s="1438"/>
      <c r="H967" s="1438"/>
    </row>
    <row r="968" spans="1:8" s="1404" customFormat="1">
      <c r="A968" s="1477"/>
      <c r="B968" s="1477"/>
      <c r="D968" s="1438"/>
      <c r="E968" s="1438"/>
      <c r="F968" s="1438"/>
      <c r="G968" s="1438"/>
      <c r="H968" s="1438"/>
    </row>
    <row r="969" spans="1:8" s="1404" customFormat="1">
      <c r="A969" s="1477"/>
      <c r="B969" s="1477"/>
      <c r="D969" s="1438"/>
      <c r="E969" s="1438"/>
      <c r="F969" s="1438"/>
      <c r="G969" s="1438"/>
      <c r="H969" s="1438"/>
    </row>
    <row r="970" spans="1:8" s="1404" customFormat="1">
      <c r="A970" s="1477"/>
      <c r="B970" s="1477"/>
      <c r="D970" s="1438"/>
      <c r="E970" s="1438"/>
      <c r="F970" s="1438"/>
      <c r="G970" s="1438"/>
      <c r="H970" s="1438"/>
    </row>
    <row r="971" spans="1:8" s="1404" customFormat="1">
      <c r="A971" s="1477"/>
      <c r="B971" s="1477"/>
      <c r="D971" s="1438"/>
      <c r="E971" s="1438"/>
      <c r="F971" s="1438"/>
      <c r="G971" s="1438"/>
      <c r="H971" s="1438"/>
    </row>
    <row r="972" spans="1:8" s="1404" customFormat="1">
      <c r="A972" s="1477"/>
      <c r="B972" s="1477"/>
      <c r="D972" s="1438"/>
      <c r="E972" s="1438"/>
      <c r="F972" s="1438"/>
      <c r="G972" s="1438"/>
      <c r="H972" s="1438"/>
    </row>
    <row r="973" spans="1:8" s="1404" customFormat="1">
      <c r="A973" s="1477"/>
      <c r="B973" s="1477"/>
      <c r="D973" s="1438"/>
      <c r="E973" s="1438"/>
      <c r="F973" s="1438"/>
      <c r="G973" s="1438"/>
      <c r="H973" s="1438"/>
    </row>
    <row r="974" spans="1:8" s="1404" customFormat="1">
      <c r="A974" s="1477"/>
      <c r="B974" s="1477"/>
      <c r="D974" s="1438"/>
      <c r="E974" s="1438"/>
      <c r="F974" s="1438"/>
      <c r="G974" s="1438"/>
      <c r="H974" s="1438"/>
    </row>
    <row r="975" spans="1:8" s="1404" customFormat="1">
      <c r="A975" s="1477"/>
      <c r="B975" s="1477"/>
      <c r="D975" s="1438"/>
      <c r="E975" s="1438"/>
      <c r="F975" s="1438"/>
      <c r="G975" s="1438"/>
      <c r="H975" s="1438"/>
    </row>
    <row r="976" spans="1:8" s="1404" customFormat="1">
      <c r="A976" s="1477"/>
      <c r="B976" s="1477"/>
      <c r="D976" s="1438"/>
      <c r="E976" s="1438"/>
      <c r="F976" s="1438"/>
      <c r="G976" s="1438"/>
      <c r="H976" s="1438"/>
    </row>
    <row r="977" spans="1:8" s="1404" customFormat="1">
      <c r="A977" s="1477"/>
      <c r="B977" s="1477"/>
      <c r="D977" s="1438"/>
      <c r="E977" s="1438"/>
      <c r="F977" s="1438"/>
      <c r="G977" s="1438"/>
      <c r="H977" s="1438"/>
    </row>
    <row r="978" spans="1:8" s="1404" customFormat="1">
      <c r="A978" s="1477"/>
      <c r="B978" s="1477"/>
      <c r="D978" s="1438"/>
      <c r="E978" s="1438"/>
      <c r="F978" s="1438"/>
      <c r="G978" s="1438"/>
      <c r="H978" s="1438"/>
    </row>
    <row r="979" spans="1:8" s="1404" customFormat="1">
      <c r="A979" s="1477"/>
      <c r="B979" s="1477"/>
      <c r="D979" s="1438"/>
      <c r="E979" s="1438"/>
      <c r="F979" s="1438"/>
      <c r="G979" s="1438"/>
      <c r="H979" s="1438"/>
    </row>
    <row r="980" spans="1:8" s="1404" customFormat="1">
      <c r="A980" s="1477"/>
      <c r="B980" s="1477"/>
      <c r="D980" s="1438"/>
      <c r="E980" s="1438"/>
      <c r="F980" s="1438"/>
      <c r="G980" s="1438"/>
      <c r="H980" s="1438"/>
    </row>
    <row r="981" spans="1:8" s="1404" customFormat="1">
      <c r="A981" s="1477"/>
      <c r="B981" s="1477"/>
      <c r="D981" s="1438"/>
      <c r="E981" s="1438"/>
      <c r="F981" s="1438"/>
      <c r="G981" s="1438"/>
      <c r="H981" s="1438"/>
    </row>
    <row r="982" spans="1:8" s="1404" customFormat="1">
      <c r="A982" s="1477"/>
      <c r="B982" s="1477"/>
      <c r="D982" s="1438"/>
      <c r="E982" s="1438"/>
      <c r="F982" s="1438"/>
      <c r="G982" s="1438"/>
      <c r="H982" s="1438"/>
    </row>
    <row r="983" spans="1:8" s="1404" customFormat="1">
      <c r="A983" s="1477"/>
      <c r="B983" s="1477"/>
      <c r="D983" s="1438"/>
      <c r="E983" s="1438"/>
      <c r="F983" s="1438"/>
      <c r="G983" s="1438"/>
      <c r="H983" s="1438"/>
    </row>
    <row r="984" spans="1:8" s="1404" customFormat="1">
      <c r="A984" s="1477"/>
      <c r="B984" s="1477"/>
      <c r="D984" s="1438"/>
      <c r="E984" s="1438"/>
      <c r="F984" s="1438"/>
      <c r="G984" s="1438"/>
      <c r="H984" s="1438"/>
    </row>
    <row r="985" spans="1:8" s="1404" customFormat="1">
      <c r="A985" s="1477"/>
      <c r="B985" s="1477"/>
      <c r="D985" s="1438"/>
      <c r="E985" s="1438"/>
      <c r="F985" s="1438"/>
      <c r="G985" s="1438"/>
      <c r="H985" s="1438"/>
    </row>
    <row r="986" spans="1:8" s="1404" customFormat="1">
      <c r="A986" s="1477"/>
      <c r="B986" s="1477"/>
      <c r="D986" s="1438"/>
      <c r="E986" s="1438"/>
      <c r="F986" s="1438"/>
      <c r="G986" s="1438"/>
      <c r="H986" s="1438"/>
    </row>
    <row r="987" spans="1:8" s="1404" customFormat="1">
      <c r="A987" s="1477"/>
      <c r="B987" s="1477"/>
      <c r="D987" s="1438"/>
      <c r="E987" s="1438"/>
      <c r="F987" s="1438"/>
      <c r="G987" s="1438"/>
      <c r="H987" s="1438"/>
    </row>
    <row r="988" spans="1:8" s="1404" customFormat="1">
      <c r="A988" s="1477"/>
      <c r="B988" s="1477"/>
      <c r="D988" s="1438"/>
      <c r="E988" s="1438"/>
      <c r="F988" s="1438"/>
      <c r="G988" s="1438"/>
      <c r="H988" s="1438"/>
    </row>
    <row r="989" spans="1:8" s="1404" customFormat="1">
      <c r="A989" s="1477"/>
      <c r="B989" s="1477"/>
      <c r="D989" s="1438"/>
      <c r="E989" s="1438"/>
      <c r="F989" s="1438"/>
      <c r="G989" s="1438"/>
      <c r="H989" s="1438"/>
    </row>
    <row r="990" spans="1:8" s="1404" customFormat="1">
      <c r="A990" s="1477"/>
      <c r="B990" s="1477"/>
      <c r="D990" s="1438"/>
      <c r="E990" s="1438"/>
      <c r="F990" s="1438"/>
      <c r="G990" s="1438"/>
      <c r="H990" s="1438"/>
    </row>
    <row r="991" spans="1:8" s="1404" customFormat="1">
      <c r="A991" s="1477"/>
      <c r="B991" s="1477"/>
      <c r="D991" s="1438"/>
      <c r="E991" s="1438"/>
      <c r="F991" s="1438"/>
      <c r="G991" s="1438"/>
      <c r="H991" s="1438"/>
    </row>
    <row r="992" spans="1:8" s="1404" customFormat="1">
      <c r="A992" s="1477"/>
      <c r="B992" s="1477"/>
      <c r="D992" s="1438"/>
      <c r="E992" s="1438"/>
      <c r="F992" s="1438"/>
      <c r="G992" s="1438"/>
      <c r="H992" s="1438"/>
    </row>
    <row r="993" spans="1:8" s="1404" customFormat="1">
      <c r="A993" s="1477"/>
      <c r="B993" s="1477"/>
      <c r="D993" s="1438"/>
      <c r="E993" s="1438"/>
      <c r="F993" s="1438"/>
      <c r="G993" s="1438"/>
      <c r="H993" s="1438"/>
    </row>
    <row r="994" spans="1:8" s="1404" customFormat="1">
      <c r="A994" s="1477"/>
      <c r="B994" s="1477"/>
      <c r="D994" s="1438"/>
      <c r="E994" s="1438"/>
      <c r="F994" s="1438"/>
      <c r="G994" s="1438"/>
      <c r="H994" s="1438"/>
    </row>
    <row r="995" spans="1:8" s="1404" customFormat="1">
      <c r="A995" s="1477"/>
      <c r="B995" s="1477"/>
      <c r="D995" s="1438"/>
      <c r="E995" s="1438"/>
      <c r="F995" s="1438"/>
      <c r="G995" s="1438"/>
      <c r="H995" s="1438"/>
    </row>
    <row r="996" spans="1:8" s="1404" customFormat="1">
      <c r="A996" s="1477"/>
      <c r="B996" s="1477"/>
      <c r="D996" s="1438"/>
      <c r="E996" s="1438"/>
      <c r="F996" s="1438"/>
      <c r="G996" s="1438"/>
      <c r="H996" s="1438"/>
    </row>
    <row r="997" spans="1:8" s="1404" customFormat="1">
      <c r="A997" s="1477"/>
      <c r="B997" s="1477"/>
      <c r="D997" s="1438"/>
      <c r="E997" s="1438"/>
      <c r="F997" s="1438"/>
      <c r="G997" s="1438"/>
      <c r="H997" s="1438"/>
    </row>
    <row r="998" spans="1:8" s="1404" customFormat="1">
      <c r="A998" s="1477"/>
      <c r="B998" s="1477"/>
      <c r="D998" s="1438"/>
      <c r="E998" s="1438"/>
      <c r="F998" s="1438"/>
      <c r="G998" s="1438"/>
      <c r="H998" s="1438"/>
    </row>
    <row r="999" spans="1:8" s="1404" customFormat="1">
      <c r="A999" s="1477"/>
      <c r="B999" s="1477"/>
      <c r="D999" s="1438"/>
      <c r="E999" s="1438"/>
      <c r="F999" s="1438"/>
      <c r="G999" s="1438"/>
      <c r="H999" s="1438"/>
    </row>
    <row r="1000" spans="1:8" s="1404" customFormat="1">
      <c r="A1000" s="1477"/>
      <c r="B1000" s="1477"/>
      <c r="D1000" s="1438"/>
      <c r="E1000" s="1438"/>
      <c r="F1000" s="1438"/>
      <c r="G1000" s="1438"/>
      <c r="H1000" s="1438"/>
    </row>
    <row r="1001" spans="1:8" s="1404" customFormat="1">
      <c r="A1001" s="1477"/>
      <c r="B1001" s="1477"/>
      <c r="D1001" s="1438"/>
      <c r="E1001" s="1438"/>
      <c r="F1001" s="1438"/>
      <c r="G1001" s="1438"/>
      <c r="H1001" s="1438"/>
    </row>
    <row r="1002" spans="1:8" s="1404" customFormat="1">
      <c r="A1002" s="1477"/>
      <c r="B1002" s="1477"/>
      <c r="D1002" s="1438"/>
      <c r="E1002" s="1438"/>
      <c r="F1002" s="1438"/>
      <c r="G1002" s="1438"/>
      <c r="H1002" s="1438"/>
    </row>
    <row r="1003" spans="1:8" s="1404" customFormat="1">
      <c r="A1003" s="1477"/>
      <c r="B1003" s="1477"/>
      <c r="D1003" s="1438"/>
      <c r="E1003" s="1438"/>
      <c r="F1003" s="1438"/>
      <c r="G1003" s="1438"/>
      <c r="H1003" s="1438"/>
    </row>
    <row r="1004" spans="1:8" s="1404" customFormat="1">
      <c r="A1004" s="1477"/>
      <c r="B1004" s="1477"/>
      <c r="D1004" s="1438"/>
      <c r="E1004" s="1438"/>
      <c r="F1004" s="1438"/>
      <c r="G1004" s="1438"/>
      <c r="H1004" s="1438"/>
    </row>
    <row r="1005" spans="1:8" s="1404" customFormat="1">
      <c r="A1005" s="1477"/>
      <c r="B1005" s="1477"/>
      <c r="D1005" s="1438"/>
      <c r="E1005" s="1438"/>
      <c r="F1005" s="1438"/>
      <c r="G1005" s="1438"/>
      <c r="H1005" s="1438"/>
    </row>
    <row r="1006" spans="1:8" s="1404" customFormat="1">
      <c r="A1006" s="1477"/>
      <c r="B1006" s="1477"/>
      <c r="D1006" s="1438"/>
      <c r="E1006" s="1438"/>
      <c r="F1006" s="1438"/>
      <c r="G1006" s="1438"/>
      <c r="H1006" s="1438"/>
    </row>
    <row r="1007" spans="1:8" s="1404" customFormat="1">
      <c r="A1007" s="1477"/>
      <c r="B1007" s="1477"/>
      <c r="D1007" s="1438"/>
      <c r="E1007" s="1438"/>
      <c r="F1007" s="1438"/>
      <c r="G1007" s="1438"/>
      <c r="H1007" s="1438"/>
    </row>
    <row r="1008" spans="1:8" s="1404" customFormat="1">
      <c r="A1008" s="1477"/>
      <c r="B1008" s="1477"/>
      <c r="D1008" s="1438"/>
      <c r="E1008" s="1438"/>
      <c r="F1008" s="1438"/>
      <c r="G1008" s="1438"/>
      <c r="H1008" s="1438"/>
    </row>
    <row r="1009" spans="1:8" s="1404" customFormat="1">
      <c r="A1009" s="1477"/>
      <c r="B1009" s="1477"/>
      <c r="D1009" s="1438"/>
      <c r="E1009" s="1438"/>
      <c r="F1009" s="1438"/>
      <c r="G1009" s="1438"/>
      <c r="H1009" s="1438"/>
    </row>
    <row r="1010" spans="1:8" s="1404" customFormat="1">
      <c r="A1010" s="1477"/>
      <c r="B1010" s="1477"/>
      <c r="D1010" s="1438"/>
      <c r="E1010" s="1438"/>
      <c r="F1010" s="1438"/>
      <c r="G1010" s="1438"/>
      <c r="H1010" s="1438"/>
    </row>
    <row r="1011" spans="1:8" s="1404" customFormat="1">
      <c r="A1011" s="1477"/>
      <c r="B1011" s="1477"/>
      <c r="D1011" s="1438"/>
      <c r="E1011" s="1438"/>
      <c r="F1011" s="1438"/>
      <c r="G1011" s="1438"/>
      <c r="H1011" s="1438"/>
    </row>
    <row r="1012" spans="1:8" s="1404" customFormat="1">
      <c r="A1012" s="1477"/>
      <c r="B1012" s="1477"/>
      <c r="D1012" s="1438"/>
      <c r="E1012" s="1438"/>
      <c r="F1012" s="1438"/>
      <c r="G1012" s="1438"/>
      <c r="H1012" s="1438"/>
    </row>
    <row r="1013" spans="1:8" s="1404" customFormat="1">
      <c r="A1013" s="1477"/>
      <c r="B1013" s="1477"/>
      <c r="D1013" s="1438"/>
      <c r="E1013" s="1438"/>
      <c r="F1013" s="1438"/>
      <c r="G1013" s="1438"/>
      <c r="H1013" s="1438"/>
    </row>
    <row r="1014" spans="1:8" s="1404" customFormat="1">
      <c r="A1014" s="1477"/>
      <c r="B1014" s="1477"/>
      <c r="D1014" s="1438"/>
      <c r="E1014" s="1438"/>
      <c r="F1014" s="1438"/>
      <c r="G1014" s="1438"/>
      <c r="H1014" s="1438"/>
    </row>
    <row r="1015" spans="1:8" s="1404" customFormat="1">
      <c r="A1015" s="1477"/>
      <c r="B1015" s="1477"/>
      <c r="D1015" s="1438"/>
      <c r="E1015" s="1438"/>
      <c r="F1015" s="1438"/>
      <c r="G1015" s="1438"/>
      <c r="H1015" s="1438"/>
    </row>
    <row r="1016" spans="1:8" s="1404" customFormat="1">
      <c r="A1016" s="1477"/>
      <c r="B1016" s="1477"/>
      <c r="D1016" s="1438"/>
      <c r="E1016" s="1438"/>
      <c r="F1016" s="1438"/>
      <c r="G1016" s="1438"/>
      <c r="H1016" s="1438"/>
    </row>
    <row r="1017" spans="1:8" s="1404" customFormat="1">
      <c r="A1017" s="1477"/>
      <c r="B1017" s="1477"/>
      <c r="D1017" s="1438"/>
      <c r="E1017" s="1438"/>
      <c r="F1017" s="1438"/>
      <c r="G1017" s="1438"/>
      <c r="H1017" s="1438"/>
    </row>
    <row r="1018" spans="1:8" s="1404" customFormat="1">
      <c r="A1018" s="1477"/>
      <c r="B1018" s="1477"/>
      <c r="D1018" s="1438"/>
      <c r="E1018" s="1438"/>
      <c r="F1018" s="1438"/>
      <c r="G1018" s="1438"/>
      <c r="H1018" s="1438"/>
    </row>
    <row r="1019" spans="1:8" s="1404" customFormat="1">
      <c r="A1019" s="1477"/>
      <c r="B1019" s="1477"/>
      <c r="D1019" s="1438"/>
      <c r="E1019" s="1438"/>
      <c r="F1019" s="1438"/>
      <c r="G1019" s="1438"/>
      <c r="H1019" s="1438"/>
    </row>
    <row r="1020" spans="1:8" s="1404" customFormat="1">
      <c r="A1020" s="1477"/>
      <c r="B1020" s="1477"/>
      <c r="D1020" s="1438"/>
      <c r="E1020" s="1438"/>
      <c r="F1020" s="1438"/>
      <c r="G1020" s="1438"/>
      <c r="H1020" s="1438"/>
    </row>
    <row r="1021" spans="1:8" s="1404" customFormat="1">
      <c r="A1021" s="1477"/>
      <c r="B1021" s="1477"/>
      <c r="D1021" s="1438"/>
      <c r="E1021" s="1438"/>
      <c r="F1021" s="1438"/>
      <c r="G1021" s="1438"/>
      <c r="H1021" s="1438"/>
    </row>
    <row r="1022" spans="1:8" s="1404" customFormat="1">
      <c r="A1022" s="1477"/>
      <c r="B1022" s="1477"/>
      <c r="D1022" s="1438"/>
      <c r="E1022" s="1438"/>
      <c r="F1022" s="1438"/>
      <c r="G1022" s="1438"/>
      <c r="H1022" s="1438"/>
    </row>
    <row r="1023" spans="1:8" s="1404" customFormat="1">
      <c r="A1023" s="1477"/>
      <c r="B1023" s="1477"/>
      <c r="D1023" s="1438"/>
      <c r="E1023" s="1438"/>
      <c r="F1023" s="1438"/>
      <c r="G1023" s="1438"/>
      <c r="H1023" s="1438"/>
    </row>
    <row r="1024" spans="1:8" s="1404" customFormat="1">
      <c r="A1024" s="1477"/>
      <c r="B1024" s="1477"/>
      <c r="D1024" s="1438"/>
      <c r="E1024" s="1438"/>
      <c r="F1024" s="1438"/>
      <c r="G1024" s="1438"/>
      <c r="H1024" s="1438"/>
    </row>
    <row r="1025" spans="1:8" s="1404" customFormat="1">
      <c r="A1025" s="1477"/>
      <c r="B1025" s="1477"/>
      <c r="D1025" s="1438"/>
      <c r="E1025" s="1438"/>
      <c r="F1025" s="1438"/>
      <c r="G1025" s="1438"/>
      <c r="H1025" s="1438"/>
    </row>
    <row r="1026" spans="1:8" s="1404" customFormat="1">
      <c r="A1026" s="1477"/>
      <c r="B1026" s="1477"/>
      <c r="D1026" s="1438"/>
      <c r="E1026" s="1438"/>
      <c r="F1026" s="1438"/>
      <c r="G1026" s="1438"/>
      <c r="H1026" s="1438"/>
    </row>
    <row r="1027" spans="1:8" s="1404" customFormat="1">
      <c r="A1027" s="1477"/>
      <c r="B1027" s="1477"/>
      <c r="D1027" s="1438"/>
      <c r="E1027" s="1438"/>
      <c r="F1027" s="1438"/>
      <c r="G1027" s="1438"/>
      <c r="H1027" s="1438"/>
    </row>
    <row r="1028" spans="1:8" s="1404" customFormat="1">
      <c r="A1028" s="1477"/>
      <c r="B1028" s="1477"/>
      <c r="D1028" s="1438"/>
      <c r="E1028" s="1438"/>
      <c r="F1028" s="1438"/>
      <c r="G1028" s="1438"/>
      <c r="H1028" s="1438"/>
    </row>
    <row r="1029" spans="1:8" s="1404" customFormat="1">
      <c r="A1029" s="1477"/>
      <c r="B1029" s="1477"/>
      <c r="D1029" s="1438"/>
      <c r="E1029" s="1438"/>
      <c r="F1029" s="1438"/>
      <c r="G1029" s="1438"/>
      <c r="H1029" s="1438"/>
    </row>
    <row r="1030" spans="1:8" s="1404" customFormat="1">
      <c r="A1030" s="1477"/>
      <c r="B1030" s="1477"/>
      <c r="D1030" s="1438"/>
      <c r="E1030" s="1438"/>
      <c r="F1030" s="1438"/>
      <c r="G1030" s="1438"/>
      <c r="H1030" s="1438"/>
    </row>
    <row r="1031" spans="1:8" s="1404" customFormat="1">
      <c r="A1031" s="1477"/>
      <c r="B1031" s="1477"/>
      <c r="D1031" s="1438"/>
      <c r="E1031" s="1438"/>
      <c r="F1031" s="1438"/>
      <c r="G1031" s="1438"/>
      <c r="H1031" s="1438"/>
    </row>
    <row r="1032" spans="1:8" s="1404" customFormat="1">
      <c r="A1032" s="1477"/>
      <c r="B1032" s="1477"/>
      <c r="D1032" s="1438"/>
      <c r="E1032" s="1438"/>
      <c r="F1032" s="1438"/>
      <c r="G1032" s="1438"/>
      <c r="H1032" s="1438"/>
    </row>
    <row r="1033" spans="1:8">
      <c r="A1033" s="1479"/>
      <c r="B1033" s="1479"/>
      <c r="D1033" s="1436"/>
      <c r="E1033" s="1436"/>
      <c r="F1033" s="1436"/>
      <c r="G1033" s="1436"/>
      <c r="H1033" s="1436"/>
    </row>
    <row r="1034" spans="1:8">
      <c r="A1034" s="1479"/>
      <c r="B1034" s="1479"/>
      <c r="D1034" s="1436"/>
      <c r="E1034" s="1436"/>
      <c r="F1034" s="1436"/>
      <c r="G1034" s="1436"/>
      <c r="H1034" s="1436"/>
    </row>
    <row r="1035" spans="1:8">
      <c r="A1035" s="1479"/>
      <c r="B1035" s="1479"/>
      <c r="D1035" s="1436"/>
      <c r="E1035" s="1436"/>
      <c r="F1035" s="1436"/>
      <c r="G1035" s="1436"/>
      <c r="H1035" s="1436"/>
    </row>
    <row r="1036" spans="1:8">
      <c r="A1036" s="1479"/>
      <c r="B1036" s="1479"/>
      <c r="D1036" s="1436"/>
      <c r="E1036" s="1436"/>
      <c r="F1036" s="1436"/>
      <c r="G1036" s="1436"/>
      <c r="H1036" s="1436"/>
    </row>
    <row r="1037" spans="1:8">
      <c r="A1037" s="1479"/>
      <c r="B1037" s="1479"/>
      <c r="D1037" s="1436"/>
      <c r="E1037" s="1436"/>
      <c r="F1037" s="1436"/>
      <c r="G1037" s="1436"/>
      <c r="H1037" s="1436"/>
    </row>
    <row r="1038" spans="1:8">
      <c r="A1038" s="1479"/>
      <c r="B1038" s="1479"/>
      <c r="D1038" s="1436"/>
      <c r="E1038" s="1436"/>
      <c r="F1038" s="1436"/>
      <c r="G1038" s="1436"/>
      <c r="H1038" s="1436"/>
    </row>
    <row r="1039" spans="1:8">
      <c r="A1039" s="1479"/>
      <c r="B1039" s="1479"/>
      <c r="D1039" s="1436"/>
      <c r="E1039" s="1436"/>
      <c r="F1039" s="1436"/>
      <c r="G1039" s="1436"/>
      <c r="H1039" s="1436"/>
    </row>
    <row r="1040" spans="1:8">
      <c r="A1040" s="1479"/>
      <c r="B1040" s="1479"/>
      <c r="D1040" s="1436"/>
      <c r="E1040" s="1436"/>
      <c r="F1040" s="1436"/>
      <c r="G1040" s="1436"/>
      <c r="H1040" s="1436"/>
    </row>
    <row r="1041" spans="1:8">
      <c r="A1041" s="1479"/>
      <c r="B1041" s="1479"/>
      <c r="D1041" s="1436"/>
      <c r="E1041" s="1436"/>
      <c r="F1041" s="1436"/>
      <c r="G1041" s="1436"/>
      <c r="H1041" s="1436"/>
    </row>
    <row r="1042" spans="1:8">
      <c r="A1042" s="1479"/>
      <c r="B1042" s="1479"/>
      <c r="D1042" s="1436"/>
      <c r="E1042" s="1436"/>
      <c r="F1042" s="1436"/>
      <c r="G1042" s="1436"/>
      <c r="H1042" s="1436"/>
    </row>
    <row r="1043" spans="1:8">
      <c r="A1043" s="1479"/>
      <c r="B1043" s="1479"/>
      <c r="D1043" s="1436"/>
      <c r="E1043" s="1436"/>
      <c r="F1043" s="1436"/>
      <c r="G1043" s="1436"/>
      <c r="H1043" s="1436"/>
    </row>
    <row r="1044" spans="1:8">
      <c r="A1044" s="1479"/>
      <c r="B1044" s="1479"/>
      <c r="D1044" s="1436"/>
      <c r="E1044" s="1436"/>
      <c r="F1044" s="1436"/>
      <c r="G1044" s="1436"/>
      <c r="H1044" s="1436"/>
    </row>
    <row r="1045" spans="1:8">
      <c r="A1045" s="1479"/>
      <c r="B1045" s="1479"/>
      <c r="D1045" s="1436"/>
      <c r="E1045" s="1436"/>
      <c r="F1045" s="1436"/>
      <c r="G1045" s="1436"/>
      <c r="H1045" s="1436"/>
    </row>
    <row r="1046" spans="1:8">
      <c r="A1046" s="1479"/>
      <c r="B1046" s="1479"/>
      <c r="D1046" s="1436"/>
      <c r="E1046" s="1436"/>
      <c r="F1046" s="1436"/>
      <c r="G1046" s="1436"/>
      <c r="H1046" s="1436"/>
    </row>
    <row r="1047" spans="1:8">
      <c r="A1047" s="1479"/>
      <c r="B1047" s="1479"/>
      <c r="D1047" s="1436"/>
      <c r="E1047" s="1436"/>
      <c r="F1047" s="1436"/>
      <c r="G1047" s="1436"/>
      <c r="H1047" s="1436"/>
    </row>
    <row r="1048" spans="1:8">
      <c r="A1048" s="1479"/>
      <c r="B1048" s="1479"/>
      <c r="D1048" s="1436"/>
      <c r="E1048" s="1436"/>
      <c r="F1048" s="1436"/>
      <c r="G1048" s="1436"/>
      <c r="H1048" s="1436"/>
    </row>
    <row r="1049" spans="1:8">
      <c r="A1049" s="1479"/>
      <c r="B1049" s="1479"/>
      <c r="D1049" s="1436"/>
      <c r="E1049" s="1436"/>
      <c r="F1049" s="1436"/>
      <c r="G1049" s="1436"/>
      <c r="H1049" s="1436"/>
    </row>
    <row r="1050" spans="1:8">
      <c r="A1050" s="1479"/>
      <c r="B1050" s="1479"/>
      <c r="D1050" s="1436"/>
      <c r="E1050" s="1436"/>
      <c r="F1050" s="1436"/>
      <c r="G1050" s="1436"/>
      <c r="H1050" s="1436"/>
    </row>
    <row r="1051" spans="1:8">
      <c r="A1051" s="1479"/>
      <c r="B1051" s="1479"/>
      <c r="D1051" s="1436"/>
      <c r="E1051" s="1436"/>
      <c r="F1051" s="1436"/>
      <c r="G1051" s="1436"/>
      <c r="H1051" s="1436"/>
    </row>
    <row r="1052" spans="1:8">
      <c r="A1052" s="1479"/>
      <c r="B1052" s="1479"/>
      <c r="D1052" s="1436"/>
      <c r="E1052" s="1436"/>
      <c r="F1052" s="1436"/>
      <c r="G1052" s="1436"/>
      <c r="H1052" s="1436"/>
    </row>
    <row r="1053" spans="1:8">
      <c r="A1053" s="1479"/>
      <c r="B1053" s="1479"/>
      <c r="D1053" s="1436"/>
      <c r="E1053" s="1436"/>
      <c r="F1053" s="1436"/>
      <c r="G1053" s="1436"/>
      <c r="H1053" s="1436"/>
    </row>
    <row r="1054" spans="1:8">
      <c r="A1054" s="1479"/>
      <c r="B1054" s="1479"/>
      <c r="D1054" s="1436"/>
      <c r="E1054" s="1436"/>
      <c r="F1054" s="1436"/>
      <c r="G1054" s="1436"/>
      <c r="H1054" s="1436"/>
    </row>
    <row r="1055" spans="1:8">
      <c r="A1055" s="1479"/>
      <c r="B1055" s="1479"/>
      <c r="D1055" s="1436"/>
      <c r="E1055" s="1436"/>
      <c r="F1055" s="1436"/>
      <c r="G1055" s="1436"/>
      <c r="H1055" s="1436"/>
    </row>
    <row r="1056" spans="1:8">
      <c r="A1056" s="1479"/>
      <c r="B1056" s="1479"/>
      <c r="D1056" s="1436"/>
      <c r="E1056" s="1436"/>
      <c r="F1056" s="1436"/>
      <c r="G1056" s="1436"/>
      <c r="H1056" s="1436"/>
    </row>
    <row r="1057" spans="1:8">
      <c r="A1057" s="1479"/>
      <c r="B1057" s="1479"/>
      <c r="D1057" s="1436"/>
      <c r="E1057" s="1436"/>
      <c r="F1057" s="1436"/>
      <c r="G1057" s="1436"/>
      <c r="H1057" s="1436"/>
    </row>
    <row r="1058" spans="1:8">
      <c r="A1058" s="1479"/>
      <c r="B1058" s="1479"/>
      <c r="D1058" s="1436"/>
      <c r="E1058" s="1436"/>
      <c r="F1058" s="1436"/>
      <c r="G1058" s="1436"/>
      <c r="H1058" s="1436"/>
    </row>
    <row r="1059" spans="1:8">
      <c r="A1059" s="1479"/>
      <c r="B1059" s="1479"/>
      <c r="D1059" s="1436"/>
      <c r="E1059" s="1436"/>
      <c r="F1059" s="1436"/>
      <c r="G1059" s="1436"/>
      <c r="H1059" s="1436"/>
    </row>
    <row r="1060" spans="1:8">
      <c r="A1060" s="1479"/>
      <c r="B1060" s="1479"/>
      <c r="D1060" s="1436"/>
      <c r="E1060" s="1436"/>
      <c r="F1060" s="1436"/>
      <c r="G1060" s="1436"/>
      <c r="H1060" s="1436"/>
    </row>
    <row r="1061" spans="1:8">
      <c r="A1061" s="1479"/>
      <c r="B1061" s="1479"/>
      <c r="D1061" s="1436"/>
      <c r="E1061" s="1436"/>
      <c r="F1061" s="1436"/>
      <c r="G1061" s="1436"/>
      <c r="H1061" s="1436"/>
    </row>
    <row r="1062" spans="1:8">
      <c r="A1062" s="1479"/>
      <c r="B1062" s="1479"/>
      <c r="D1062" s="1436"/>
      <c r="E1062" s="1436"/>
      <c r="F1062" s="1436"/>
      <c r="G1062" s="1436"/>
      <c r="H1062" s="1436"/>
    </row>
    <row r="1063" spans="1:8">
      <c r="A1063" s="1479"/>
      <c r="B1063" s="1479"/>
      <c r="D1063" s="1436"/>
      <c r="E1063" s="1436"/>
      <c r="F1063" s="1436"/>
      <c r="G1063" s="1436"/>
      <c r="H1063" s="1436"/>
    </row>
    <row r="1064" spans="1:8">
      <c r="A1064" s="1479"/>
      <c r="B1064" s="1479"/>
      <c r="D1064" s="1436"/>
      <c r="E1064" s="1436"/>
      <c r="F1064" s="1436"/>
      <c r="G1064" s="1436"/>
      <c r="H1064" s="1436"/>
    </row>
    <row r="1065" spans="1:8">
      <c r="A1065" s="1479"/>
      <c r="B1065" s="1479"/>
      <c r="D1065" s="1436"/>
      <c r="E1065" s="1436"/>
      <c r="F1065" s="1436"/>
      <c r="G1065" s="1436"/>
      <c r="H1065" s="1436"/>
    </row>
    <row r="1066" spans="1:8">
      <c r="A1066" s="1479"/>
      <c r="B1066" s="1479"/>
      <c r="D1066" s="1436"/>
      <c r="E1066" s="1436"/>
      <c r="F1066" s="1436"/>
      <c r="G1066" s="1436"/>
      <c r="H1066" s="1436"/>
    </row>
    <row r="1067" spans="1:8">
      <c r="A1067" s="1479"/>
      <c r="B1067" s="1479"/>
      <c r="D1067" s="1436"/>
      <c r="E1067" s="1436"/>
      <c r="F1067" s="1436"/>
      <c r="G1067" s="1436"/>
      <c r="H1067" s="1436"/>
    </row>
    <row r="1068" spans="1:8">
      <c r="A1068" s="1479"/>
      <c r="B1068" s="1479"/>
      <c r="D1068" s="1436"/>
      <c r="E1068" s="1436"/>
      <c r="F1068" s="1436"/>
      <c r="G1068" s="1436"/>
      <c r="H1068" s="1436"/>
    </row>
    <row r="1069" spans="1:8">
      <c r="A1069" s="1479"/>
      <c r="B1069" s="1479"/>
      <c r="D1069" s="1436"/>
      <c r="E1069" s="1436"/>
      <c r="F1069" s="1436"/>
      <c r="G1069" s="1436"/>
      <c r="H1069" s="1436"/>
    </row>
    <row r="1070" spans="1:8">
      <c r="A1070" s="1479"/>
      <c r="B1070" s="1479"/>
      <c r="D1070" s="1436"/>
      <c r="E1070" s="1436"/>
      <c r="F1070" s="1436"/>
      <c r="G1070" s="1436"/>
      <c r="H1070" s="1436"/>
    </row>
    <row r="1071" spans="1:8">
      <c r="A1071" s="1479"/>
      <c r="B1071" s="1479"/>
      <c r="D1071" s="1436"/>
      <c r="E1071" s="1436"/>
      <c r="F1071" s="1436"/>
      <c r="G1071" s="1436"/>
      <c r="H1071" s="1436"/>
    </row>
    <row r="1072" spans="1:8">
      <c r="A1072" s="1479"/>
      <c r="B1072" s="1479"/>
      <c r="D1072" s="1436"/>
      <c r="E1072" s="1436"/>
      <c r="F1072" s="1436"/>
      <c r="G1072" s="1436"/>
      <c r="H1072" s="1436"/>
    </row>
    <row r="1073" spans="1:8">
      <c r="A1073" s="1479"/>
      <c r="B1073" s="1479"/>
      <c r="D1073" s="1436"/>
      <c r="E1073" s="1436"/>
      <c r="F1073" s="1436"/>
      <c r="G1073" s="1436"/>
      <c r="H1073" s="1436"/>
    </row>
    <row r="1074" spans="1:8">
      <c r="A1074" s="1479"/>
      <c r="B1074" s="1479"/>
      <c r="D1074" s="1436"/>
      <c r="E1074" s="1436"/>
      <c r="F1074" s="1436"/>
      <c r="G1074" s="1436"/>
      <c r="H1074" s="1436"/>
    </row>
    <row r="1075" spans="1:8">
      <c r="A1075" s="1479"/>
      <c r="B1075" s="1479"/>
      <c r="D1075" s="1436"/>
      <c r="E1075" s="1436"/>
      <c r="F1075" s="1436"/>
      <c r="G1075" s="1436"/>
      <c r="H1075" s="1436"/>
    </row>
    <row r="1076" spans="1:8">
      <c r="A1076" s="1479"/>
      <c r="B1076" s="1479"/>
      <c r="D1076" s="1436"/>
      <c r="E1076" s="1436"/>
      <c r="F1076" s="1436"/>
      <c r="G1076" s="1436"/>
      <c r="H1076" s="1436"/>
    </row>
    <row r="1077" spans="1:8">
      <c r="A1077" s="1479"/>
      <c r="B1077" s="1479"/>
      <c r="D1077" s="1436"/>
      <c r="E1077" s="1436"/>
      <c r="F1077" s="1436"/>
      <c r="G1077" s="1436"/>
      <c r="H1077" s="1436"/>
    </row>
    <row r="1078" spans="1:8">
      <c r="A1078" s="1479"/>
      <c r="B1078" s="1479"/>
      <c r="D1078" s="1436"/>
      <c r="E1078" s="1436"/>
      <c r="F1078" s="1436"/>
      <c r="G1078" s="1436"/>
      <c r="H1078" s="1436"/>
    </row>
    <row r="1079" spans="1:8">
      <c r="A1079" s="1479"/>
      <c r="B1079" s="1479"/>
      <c r="D1079" s="1436"/>
      <c r="E1079" s="1436"/>
      <c r="F1079" s="1436"/>
      <c r="G1079" s="1436"/>
      <c r="H1079" s="1436"/>
    </row>
    <row r="1080" spans="1:8">
      <c r="A1080" s="1479"/>
      <c r="B1080" s="1479"/>
      <c r="D1080" s="1436"/>
      <c r="E1080" s="1436"/>
      <c r="F1080" s="1436"/>
      <c r="G1080" s="1436"/>
      <c r="H1080" s="1436"/>
    </row>
    <row r="1081" spans="1:8">
      <c r="A1081" s="1479"/>
      <c r="B1081" s="1479"/>
      <c r="D1081" s="1436"/>
      <c r="E1081" s="1436"/>
      <c r="F1081" s="1436"/>
      <c r="G1081" s="1436"/>
      <c r="H1081" s="1436"/>
    </row>
    <row r="1082" spans="1:8">
      <c r="A1082" s="1479"/>
      <c r="B1082" s="1479"/>
      <c r="D1082" s="1436"/>
      <c r="E1082" s="1436"/>
      <c r="F1082" s="1436"/>
      <c r="G1082" s="1436"/>
      <c r="H1082" s="1436"/>
    </row>
    <row r="1083" spans="1:8">
      <c r="A1083" s="1479"/>
      <c r="B1083" s="1479"/>
      <c r="D1083" s="1436"/>
      <c r="E1083" s="1436"/>
      <c r="F1083" s="1436"/>
      <c r="G1083" s="1436"/>
      <c r="H1083" s="1436"/>
    </row>
    <row r="1084" spans="1:8">
      <c r="A1084" s="1479"/>
      <c r="B1084" s="1479"/>
      <c r="D1084" s="1436"/>
      <c r="E1084" s="1436"/>
      <c r="F1084" s="1436"/>
      <c r="G1084" s="1436"/>
      <c r="H1084" s="1436"/>
    </row>
    <row r="1085" spans="1:8">
      <c r="A1085" s="1479"/>
      <c r="B1085" s="1479"/>
      <c r="D1085" s="1436"/>
      <c r="E1085" s="1436"/>
      <c r="F1085" s="1436"/>
      <c r="G1085" s="1436"/>
      <c r="H1085" s="1436"/>
    </row>
    <row r="1086" spans="1:8">
      <c r="A1086" s="1479"/>
      <c r="B1086" s="1479"/>
      <c r="D1086" s="1436"/>
      <c r="E1086" s="1436"/>
      <c r="F1086" s="1436"/>
      <c r="G1086" s="1436"/>
      <c r="H1086" s="1436"/>
    </row>
    <row r="1087" spans="1:8">
      <c r="A1087" s="1479"/>
      <c r="B1087" s="1479"/>
      <c r="D1087" s="1436"/>
      <c r="E1087" s="1436"/>
      <c r="F1087" s="1436"/>
      <c r="G1087" s="1436"/>
      <c r="H1087" s="1436"/>
    </row>
    <row r="1088" spans="1:8">
      <c r="A1088" s="1479"/>
      <c r="B1088" s="1479"/>
      <c r="D1088" s="1436"/>
      <c r="E1088" s="1436"/>
      <c r="F1088" s="1436"/>
      <c r="G1088" s="1436"/>
      <c r="H1088" s="1436"/>
    </row>
    <row r="1089" spans="1:8">
      <c r="A1089" s="1479"/>
      <c r="B1089" s="1479"/>
      <c r="D1089" s="1436"/>
      <c r="E1089" s="1436"/>
      <c r="F1089" s="1436"/>
      <c r="G1089" s="1436"/>
      <c r="H1089" s="1436"/>
    </row>
    <row r="1090" spans="1:8">
      <c r="A1090" s="1479"/>
      <c r="B1090" s="1479"/>
      <c r="D1090" s="1436"/>
      <c r="E1090" s="1436"/>
      <c r="F1090" s="1436"/>
      <c r="G1090" s="1436"/>
      <c r="H1090" s="1436"/>
    </row>
    <row r="1091" spans="1:8">
      <c r="A1091" s="1479"/>
      <c r="B1091" s="1479"/>
      <c r="D1091" s="1436"/>
      <c r="E1091" s="1436"/>
      <c r="F1091" s="1436"/>
      <c r="G1091" s="1436"/>
      <c r="H1091" s="1436"/>
    </row>
    <row r="1092" spans="1:8">
      <c r="A1092" s="1479"/>
      <c r="B1092" s="1479"/>
      <c r="D1092" s="1436"/>
      <c r="E1092" s="1436"/>
      <c r="F1092" s="1436"/>
      <c r="G1092" s="1436"/>
      <c r="H1092" s="1436"/>
    </row>
    <row r="1093" spans="1:8">
      <c r="A1093" s="1479"/>
      <c r="B1093" s="1479"/>
      <c r="D1093" s="1436"/>
      <c r="E1093" s="1436"/>
      <c r="F1093" s="1436"/>
      <c r="G1093" s="1436"/>
      <c r="H1093" s="1436"/>
    </row>
    <row r="1094" spans="1:8">
      <c r="A1094" s="1479"/>
      <c r="B1094" s="1479"/>
      <c r="D1094" s="1436"/>
      <c r="E1094" s="1436"/>
      <c r="F1094" s="1436"/>
      <c r="G1094" s="1436"/>
      <c r="H1094" s="1436"/>
    </row>
    <row r="1095" spans="1:8">
      <c r="A1095" s="1479"/>
      <c r="B1095" s="1479"/>
      <c r="D1095" s="1436"/>
      <c r="E1095" s="1436"/>
      <c r="F1095" s="1436"/>
      <c r="G1095" s="1436"/>
      <c r="H1095" s="1436"/>
    </row>
    <row r="1096" spans="1:8">
      <c r="A1096" s="1479"/>
      <c r="B1096" s="1479"/>
      <c r="D1096" s="1436"/>
      <c r="E1096" s="1436"/>
      <c r="F1096" s="1436"/>
      <c r="G1096" s="1436"/>
      <c r="H1096" s="1436"/>
    </row>
    <row r="1097" spans="1:8">
      <c r="A1097" s="1479"/>
      <c r="B1097" s="1479"/>
      <c r="D1097" s="1436"/>
      <c r="E1097" s="1436"/>
      <c r="F1097" s="1436"/>
      <c r="G1097" s="1436"/>
      <c r="H1097" s="1436"/>
    </row>
    <row r="1098" spans="1:8">
      <c r="A1098" s="1479"/>
      <c r="B1098" s="1479"/>
      <c r="D1098" s="1436"/>
      <c r="E1098" s="1436"/>
      <c r="F1098" s="1436"/>
      <c r="G1098" s="1436"/>
      <c r="H1098" s="1436"/>
    </row>
    <row r="1099" spans="1:8">
      <c r="A1099" s="1479"/>
      <c r="B1099" s="1479"/>
      <c r="D1099" s="1436"/>
      <c r="E1099" s="1436"/>
      <c r="F1099" s="1436"/>
      <c r="G1099" s="1436"/>
      <c r="H1099" s="1436"/>
    </row>
    <row r="1100" spans="1:8">
      <c r="A1100" s="1479"/>
      <c r="B1100" s="1479"/>
      <c r="D1100" s="1436"/>
      <c r="E1100" s="1436"/>
      <c r="F1100" s="1436"/>
      <c r="G1100" s="1436"/>
      <c r="H1100" s="1436"/>
    </row>
    <row r="1101" spans="1:8">
      <c r="A1101" s="1479"/>
      <c r="B1101" s="1479"/>
      <c r="D1101" s="1436"/>
      <c r="E1101" s="1436"/>
      <c r="F1101" s="1436"/>
      <c r="G1101" s="1436"/>
      <c r="H1101" s="1436"/>
    </row>
    <row r="1102" spans="1:8">
      <c r="A1102" s="1479"/>
      <c r="B1102" s="1479"/>
      <c r="D1102" s="1436"/>
      <c r="E1102" s="1436"/>
      <c r="F1102" s="1436"/>
      <c r="G1102" s="1436"/>
      <c r="H1102" s="1436"/>
    </row>
    <row r="1103" spans="1:8">
      <c r="A1103" s="1479"/>
      <c r="B1103" s="1479"/>
      <c r="D1103" s="1436"/>
      <c r="E1103" s="1436"/>
      <c r="F1103" s="1436"/>
      <c r="G1103" s="1436"/>
      <c r="H1103" s="1436"/>
    </row>
    <row r="1104" spans="1:8">
      <c r="A1104" s="1479"/>
      <c r="B1104" s="1479"/>
      <c r="D1104" s="1436"/>
      <c r="E1104" s="1436"/>
      <c r="F1104" s="1436"/>
      <c r="G1104" s="1436"/>
      <c r="H1104" s="1436"/>
    </row>
    <row r="1105" spans="1:8">
      <c r="A1105" s="1479"/>
      <c r="B1105" s="1479"/>
      <c r="D1105" s="1436"/>
      <c r="E1105" s="1436"/>
      <c r="F1105" s="1436"/>
      <c r="G1105" s="1436"/>
      <c r="H1105" s="1436"/>
    </row>
    <row r="1106" spans="1:8">
      <c r="A1106" s="1479"/>
      <c r="B1106" s="1479"/>
      <c r="D1106" s="1436"/>
      <c r="E1106" s="1436"/>
      <c r="F1106" s="1436"/>
      <c r="G1106" s="1436"/>
      <c r="H1106" s="1436"/>
    </row>
    <row r="1107" spans="1:8">
      <c r="A1107" s="1479"/>
      <c r="B1107" s="1479"/>
      <c r="D1107" s="1436"/>
      <c r="E1107" s="1436"/>
      <c r="F1107" s="1436"/>
      <c r="G1107" s="1436"/>
      <c r="H1107" s="1436"/>
    </row>
    <row r="1108" spans="1:8">
      <c r="A1108" s="1479"/>
      <c r="B1108" s="1479"/>
      <c r="D1108" s="1436"/>
      <c r="E1108" s="1436"/>
      <c r="F1108" s="1436"/>
      <c r="G1108" s="1436"/>
      <c r="H1108" s="1436"/>
    </row>
    <row r="1109" spans="1:8">
      <c r="A1109" s="1479"/>
      <c r="B1109" s="1479"/>
      <c r="D1109" s="1436"/>
      <c r="E1109" s="1436"/>
      <c r="F1109" s="1436"/>
      <c r="G1109" s="1436"/>
      <c r="H1109" s="1436"/>
    </row>
    <row r="1110" spans="1:8">
      <c r="A1110" s="1479"/>
      <c r="B1110" s="1479"/>
      <c r="D1110" s="1436"/>
      <c r="E1110" s="1436"/>
      <c r="F1110" s="1436"/>
      <c r="G1110" s="1436"/>
      <c r="H1110" s="1436"/>
    </row>
    <row r="1111" spans="1:8">
      <c r="A1111" s="1479"/>
      <c r="B1111" s="1479"/>
      <c r="D1111" s="1436"/>
      <c r="E1111" s="1436"/>
      <c r="F1111" s="1436"/>
      <c r="G1111" s="1436"/>
      <c r="H1111" s="1436"/>
    </row>
    <row r="1112" spans="1:8">
      <c r="A1112" s="1479"/>
      <c r="B1112" s="1479"/>
      <c r="D1112" s="1436"/>
      <c r="E1112" s="1436"/>
      <c r="F1112" s="1436"/>
      <c r="G1112" s="1436"/>
      <c r="H1112" s="1436"/>
    </row>
    <row r="1113" spans="1:8">
      <c r="A1113" s="1479"/>
      <c r="B1113" s="1479"/>
      <c r="D1113" s="1436"/>
      <c r="E1113" s="1436"/>
      <c r="F1113" s="1436"/>
      <c r="G1113" s="1436"/>
      <c r="H1113" s="1436"/>
    </row>
    <row r="1114" spans="1:8">
      <c r="A1114" s="1479"/>
      <c r="B1114" s="1479"/>
      <c r="D1114" s="1436"/>
      <c r="E1114" s="1436"/>
      <c r="F1114" s="1436"/>
      <c r="G1114" s="1436"/>
      <c r="H1114" s="1436"/>
    </row>
    <row r="1115" spans="1:8">
      <c r="A1115" s="1479"/>
      <c r="B1115" s="1479"/>
      <c r="D1115" s="1436"/>
      <c r="E1115" s="1436"/>
      <c r="F1115" s="1436"/>
      <c r="G1115" s="1436"/>
      <c r="H1115" s="1436"/>
    </row>
    <row r="1116" spans="1:8">
      <c r="A1116" s="1479"/>
      <c r="B1116" s="1479"/>
      <c r="D1116" s="1436"/>
      <c r="E1116" s="1436"/>
      <c r="F1116" s="1436"/>
      <c r="G1116" s="1436"/>
      <c r="H1116" s="1436"/>
    </row>
    <row r="1117" spans="1:8">
      <c r="A1117" s="1479"/>
      <c r="B1117" s="1479"/>
      <c r="D1117" s="1436"/>
      <c r="E1117" s="1436"/>
      <c r="F1117" s="1436"/>
      <c r="G1117" s="1436"/>
      <c r="H1117" s="1436"/>
    </row>
    <row r="1118" spans="1:8">
      <c r="A1118" s="1479"/>
      <c r="B1118" s="1479"/>
      <c r="D1118" s="1436"/>
      <c r="E1118" s="1436"/>
      <c r="F1118" s="1436"/>
      <c r="G1118" s="1436"/>
      <c r="H1118" s="1436"/>
    </row>
    <row r="1119" spans="1:8">
      <c r="A1119" s="1479"/>
      <c r="B1119" s="1479"/>
      <c r="D1119" s="1436"/>
      <c r="E1119" s="1436"/>
      <c r="F1119" s="1436"/>
      <c r="G1119" s="1436"/>
      <c r="H1119" s="1436"/>
    </row>
    <row r="1120" spans="1:8">
      <c r="A1120" s="1479"/>
      <c r="B1120" s="1479"/>
      <c r="D1120" s="1436"/>
      <c r="E1120" s="1436"/>
      <c r="F1120" s="1436"/>
      <c r="G1120" s="1436"/>
      <c r="H1120" s="1436"/>
    </row>
    <row r="1121" spans="1:8">
      <c r="A1121" s="1479"/>
      <c r="B1121" s="1479"/>
      <c r="D1121" s="1436"/>
      <c r="E1121" s="1436"/>
      <c r="F1121" s="1436"/>
      <c r="G1121" s="1436"/>
      <c r="H1121" s="1436"/>
    </row>
    <row r="1122" spans="1:8">
      <c r="A1122" s="1479"/>
      <c r="B1122" s="1479"/>
      <c r="D1122" s="1436"/>
      <c r="E1122" s="1436"/>
      <c r="F1122" s="1436"/>
      <c r="G1122" s="1436"/>
      <c r="H1122" s="1436"/>
    </row>
    <row r="1123" spans="1:8">
      <c r="A1123" s="1479"/>
      <c r="B1123" s="1479"/>
      <c r="D1123" s="1436"/>
      <c r="E1123" s="1436"/>
      <c r="F1123" s="1436"/>
      <c r="G1123" s="1436"/>
      <c r="H1123" s="1436"/>
    </row>
    <row r="1124" spans="1:8">
      <c r="A1124" s="1479"/>
      <c r="B1124" s="1479"/>
      <c r="D1124" s="1436"/>
      <c r="E1124" s="1436"/>
      <c r="F1124" s="1436"/>
      <c r="G1124" s="1436"/>
      <c r="H1124" s="1436"/>
    </row>
    <row r="1125" spans="1:8">
      <c r="A1125" s="1479"/>
      <c r="B1125" s="1479"/>
      <c r="D1125" s="1436"/>
      <c r="E1125" s="1436"/>
      <c r="F1125" s="1436"/>
      <c r="G1125" s="1436"/>
      <c r="H1125" s="1436"/>
    </row>
    <row r="1126" spans="1:8">
      <c r="A1126" s="1479"/>
      <c r="B1126" s="1479"/>
      <c r="D1126" s="1436"/>
      <c r="E1126" s="1436"/>
      <c r="F1126" s="1436"/>
      <c r="G1126" s="1436"/>
      <c r="H1126" s="1436"/>
    </row>
    <row r="1127" spans="1:8">
      <c r="A1127" s="1479"/>
      <c r="B1127" s="1479"/>
      <c r="D1127" s="1436"/>
      <c r="E1127" s="1436"/>
      <c r="F1127" s="1436"/>
      <c r="G1127" s="1436"/>
      <c r="H1127" s="1436"/>
    </row>
    <row r="1128" spans="1:8">
      <c r="A1128" s="1479"/>
      <c r="B1128" s="1479"/>
      <c r="D1128" s="1436"/>
      <c r="E1128" s="1436"/>
      <c r="F1128" s="1436"/>
      <c r="G1128" s="1436"/>
      <c r="H1128" s="1436"/>
    </row>
    <row r="1129" spans="1:8">
      <c r="A1129" s="1479"/>
      <c r="B1129" s="1479"/>
      <c r="D1129" s="1436"/>
      <c r="E1129" s="1436"/>
      <c r="F1129" s="1436"/>
      <c r="G1129" s="1436"/>
      <c r="H1129" s="1436"/>
    </row>
    <row r="1130" spans="1:8">
      <c r="A1130" s="1479"/>
      <c r="B1130" s="1479"/>
      <c r="D1130" s="1436"/>
      <c r="E1130" s="1436"/>
      <c r="F1130" s="1436"/>
      <c r="G1130" s="1436"/>
      <c r="H1130" s="1436"/>
    </row>
    <row r="1131" spans="1:8">
      <c r="A1131" s="1479"/>
      <c r="B1131" s="1479"/>
      <c r="D1131" s="1436"/>
      <c r="E1131" s="1436"/>
      <c r="F1131" s="1436"/>
      <c r="G1131" s="1436"/>
      <c r="H1131" s="1436"/>
    </row>
    <row r="1132" spans="1:8">
      <c r="A1132" s="1479"/>
      <c r="B1132" s="1479"/>
      <c r="D1132" s="1436"/>
      <c r="E1132" s="1436"/>
      <c r="F1132" s="1436"/>
      <c r="G1132" s="1436"/>
      <c r="H1132" s="1436"/>
    </row>
    <row r="1133" spans="1:8">
      <c r="A1133" s="1479"/>
      <c r="B1133" s="1479"/>
      <c r="D1133" s="1436"/>
      <c r="E1133" s="1436"/>
      <c r="F1133" s="1436"/>
      <c r="G1133" s="1436"/>
      <c r="H1133" s="1436"/>
    </row>
    <row r="1134" spans="1:8">
      <c r="A1134" s="1479"/>
      <c r="B1134" s="1479"/>
      <c r="D1134" s="1436"/>
      <c r="E1134" s="1436"/>
      <c r="F1134" s="1436"/>
      <c r="G1134" s="1436"/>
      <c r="H1134" s="1436"/>
    </row>
    <row r="1135" spans="1:8">
      <c r="A1135" s="1479"/>
      <c r="B1135" s="1479"/>
      <c r="D1135" s="1436"/>
      <c r="E1135" s="1436"/>
      <c r="F1135" s="1436"/>
      <c r="G1135" s="1436"/>
      <c r="H1135" s="1436"/>
    </row>
    <row r="1136" spans="1:8">
      <c r="A1136" s="1479"/>
      <c r="B1136" s="1479"/>
      <c r="D1136" s="1436"/>
      <c r="E1136" s="1436"/>
      <c r="F1136" s="1436"/>
      <c r="G1136" s="1436"/>
      <c r="H1136" s="1436"/>
    </row>
    <row r="1137" spans="1:8">
      <c r="A1137" s="1479"/>
      <c r="B1137" s="1479"/>
      <c r="D1137" s="1436"/>
      <c r="E1137" s="1436"/>
      <c r="F1137" s="1436"/>
      <c r="G1137" s="1436"/>
      <c r="H1137" s="1436"/>
    </row>
    <row r="1138" spans="1:8">
      <c r="A1138" s="1479"/>
      <c r="B1138" s="1479"/>
      <c r="D1138" s="1436"/>
      <c r="E1138" s="1436"/>
      <c r="F1138" s="1436"/>
      <c r="G1138" s="1436"/>
      <c r="H1138" s="1436"/>
    </row>
    <row r="1139" spans="1:8">
      <c r="A1139" s="1479"/>
      <c r="B1139" s="1479"/>
      <c r="D1139" s="1436"/>
      <c r="E1139" s="1436"/>
      <c r="F1139" s="1436"/>
      <c r="G1139" s="1436"/>
      <c r="H1139" s="1436"/>
    </row>
    <row r="1140" spans="1:8">
      <c r="A1140" s="1479"/>
      <c r="B1140" s="1479"/>
      <c r="D1140" s="1436"/>
      <c r="E1140" s="1436"/>
      <c r="F1140" s="1436"/>
      <c r="G1140" s="1436"/>
      <c r="H1140" s="1436"/>
    </row>
    <row r="1141" spans="1:8">
      <c r="A1141" s="1479"/>
      <c r="B1141" s="1479"/>
      <c r="D1141" s="1436"/>
      <c r="E1141" s="1436"/>
      <c r="F1141" s="1436"/>
      <c r="G1141" s="1436"/>
      <c r="H1141" s="1436"/>
    </row>
    <row r="1142" spans="1:8">
      <c r="A1142" s="1479"/>
      <c r="B1142" s="1479"/>
      <c r="D1142" s="1436"/>
      <c r="E1142" s="1436"/>
      <c r="F1142" s="1436"/>
      <c r="G1142" s="1436"/>
      <c r="H1142" s="1436"/>
    </row>
    <row r="1143" spans="1:8">
      <c r="A1143" s="1479"/>
      <c r="B1143" s="1479"/>
      <c r="D1143" s="1436"/>
      <c r="E1143" s="1436"/>
      <c r="F1143" s="1436"/>
      <c r="G1143" s="1436"/>
      <c r="H1143" s="1436"/>
    </row>
    <row r="1144" spans="1:8">
      <c r="A1144" s="1479"/>
      <c r="B1144" s="1479"/>
      <c r="D1144" s="1436"/>
      <c r="E1144" s="1436"/>
      <c r="F1144" s="1436"/>
      <c r="G1144" s="1436"/>
      <c r="H1144" s="1436"/>
    </row>
    <row r="1145" spans="1:8">
      <c r="A1145" s="1479"/>
      <c r="B1145" s="1479"/>
      <c r="D1145" s="1436"/>
      <c r="E1145" s="1436"/>
      <c r="F1145" s="1436"/>
      <c r="G1145" s="1436"/>
      <c r="H1145" s="1436"/>
    </row>
    <row r="1146" spans="1:8">
      <c r="A1146" s="1479"/>
      <c r="B1146" s="1479"/>
      <c r="D1146" s="1436"/>
      <c r="E1146" s="1436"/>
      <c r="F1146" s="1436"/>
      <c r="G1146" s="1436"/>
      <c r="H1146" s="1436"/>
    </row>
    <row r="1147" spans="1:8">
      <c r="A1147" s="1479"/>
      <c r="B1147" s="1479"/>
      <c r="D1147" s="1436"/>
      <c r="E1147" s="1436"/>
      <c r="F1147" s="1436"/>
      <c r="G1147" s="1436"/>
      <c r="H1147" s="1436"/>
    </row>
    <row r="1148" spans="1:8">
      <c r="A1148" s="1479"/>
      <c r="B1148" s="1479"/>
      <c r="D1148" s="1436"/>
      <c r="E1148" s="1436"/>
      <c r="F1148" s="1436"/>
      <c r="G1148" s="1436"/>
      <c r="H1148" s="1436"/>
    </row>
    <row r="1149" spans="1:8">
      <c r="A1149" s="1479"/>
      <c r="B1149" s="1479"/>
      <c r="D1149" s="1436"/>
      <c r="E1149" s="1436"/>
      <c r="F1149" s="1436"/>
      <c r="G1149" s="1436"/>
      <c r="H1149" s="1436"/>
    </row>
    <row r="1150" spans="1:8">
      <c r="A1150" s="1479"/>
      <c r="B1150" s="1479"/>
      <c r="D1150" s="1436"/>
      <c r="E1150" s="1436"/>
      <c r="F1150" s="1436"/>
      <c r="G1150" s="1436"/>
      <c r="H1150" s="1436"/>
    </row>
    <row r="1151" spans="1:8">
      <c r="A1151" s="1479"/>
      <c r="B1151" s="1479"/>
      <c r="D1151" s="1436"/>
      <c r="E1151" s="1436"/>
      <c r="F1151" s="1436"/>
      <c r="G1151" s="1436"/>
      <c r="H1151" s="1436"/>
    </row>
    <row r="1152" spans="1:8">
      <c r="A1152" s="1479"/>
      <c r="B1152" s="1479"/>
      <c r="D1152" s="1436"/>
      <c r="E1152" s="1436"/>
      <c r="F1152" s="1436"/>
      <c r="G1152" s="1436"/>
      <c r="H1152" s="1436"/>
    </row>
    <row r="1153" spans="1:8">
      <c r="A1153" s="1479"/>
      <c r="B1153" s="1479"/>
      <c r="D1153" s="1436"/>
      <c r="E1153" s="1436"/>
      <c r="F1153" s="1436"/>
      <c r="G1153" s="1436"/>
      <c r="H1153" s="1436"/>
    </row>
    <row r="1154" spans="1:8">
      <c r="A1154" s="1479"/>
      <c r="B1154" s="1479"/>
      <c r="D1154" s="1436"/>
      <c r="E1154" s="1436"/>
      <c r="F1154" s="1436"/>
      <c r="G1154" s="1436"/>
      <c r="H1154" s="1436"/>
    </row>
    <row r="1155" spans="1:8">
      <c r="A1155" s="1479"/>
      <c r="B1155" s="1479"/>
      <c r="D1155" s="1436"/>
      <c r="E1155" s="1436"/>
      <c r="F1155" s="1436"/>
      <c r="G1155" s="1436"/>
      <c r="H1155" s="1436"/>
    </row>
    <row r="1156" spans="1:8">
      <c r="A1156" s="1479"/>
      <c r="B1156" s="1479"/>
      <c r="D1156" s="1436"/>
      <c r="E1156" s="1436"/>
      <c r="F1156" s="1436"/>
      <c r="G1156" s="1436"/>
      <c r="H1156" s="1436"/>
    </row>
    <row r="1157" spans="1:8">
      <c r="A1157" s="1479"/>
      <c r="B1157" s="1479"/>
      <c r="D1157" s="1436"/>
      <c r="E1157" s="1436"/>
      <c r="F1157" s="1436"/>
      <c r="G1157" s="1436"/>
      <c r="H1157" s="1436"/>
    </row>
    <row r="1158" spans="1:8">
      <c r="A1158" s="1479"/>
      <c r="B1158" s="1479"/>
      <c r="D1158" s="1436"/>
      <c r="E1158" s="1436"/>
      <c r="F1158" s="1436"/>
      <c r="G1158" s="1436"/>
      <c r="H1158" s="1436"/>
    </row>
    <row r="1159" spans="1:8">
      <c r="A1159" s="1479"/>
      <c r="B1159" s="1479"/>
      <c r="D1159" s="1436"/>
      <c r="E1159" s="1436"/>
      <c r="F1159" s="1436"/>
      <c r="G1159" s="1436"/>
      <c r="H1159" s="1436"/>
    </row>
    <row r="1160" spans="1:8">
      <c r="A1160" s="1479"/>
      <c r="B1160" s="1479"/>
      <c r="D1160" s="1436"/>
      <c r="E1160" s="1436"/>
      <c r="F1160" s="1436"/>
      <c r="G1160" s="1436"/>
      <c r="H1160" s="1436"/>
    </row>
    <row r="1161" spans="1:8">
      <c r="A1161" s="1479"/>
      <c r="B1161" s="1479"/>
      <c r="D1161" s="1436"/>
      <c r="E1161" s="1436"/>
      <c r="F1161" s="1436"/>
      <c r="G1161" s="1436"/>
      <c r="H1161" s="1436"/>
    </row>
    <row r="1162" spans="1:8">
      <c r="A1162" s="1479"/>
      <c r="B1162" s="1479"/>
      <c r="D1162" s="1436"/>
      <c r="E1162" s="1436"/>
      <c r="F1162" s="1436"/>
      <c r="G1162" s="1436"/>
      <c r="H1162" s="1436"/>
    </row>
    <row r="1163" spans="1:8">
      <c r="A1163" s="1479"/>
      <c r="B1163" s="1479"/>
      <c r="D1163" s="1436"/>
      <c r="E1163" s="1436"/>
      <c r="F1163" s="1436"/>
      <c r="G1163" s="1436"/>
      <c r="H1163" s="1436"/>
    </row>
    <row r="1164" spans="1:8">
      <c r="A1164" s="1479"/>
      <c r="B1164" s="1479"/>
      <c r="D1164" s="1436"/>
      <c r="E1164" s="1436"/>
      <c r="F1164" s="1436"/>
      <c r="G1164" s="1436"/>
      <c r="H1164" s="1436"/>
    </row>
    <row r="1165" spans="1:8">
      <c r="A1165" s="1479"/>
      <c r="B1165" s="1479"/>
      <c r="D1165" s="1436"/>
      <c r="E1165" s="1436"/>
      <c r="F1165" s="1436"/>
      <c r="G1165" s="1436"/>
      <c r="H1165" s="1436"/>
    </row>
    <row r="1166" spans="1:8">
      <c r="A1166" s="1479"/>
      <c r="B1166" s="1479"/>
      <c r="D1166" s="1436"/>
      <c r="E1166" s="1436"/>
      <c r="F1166" s="1436"/>
      <c r="G1166" s="1436"/>
      <c r="H1166" s="1436"/>
    </row>
    <row r="1167" spans="1:8">
      <c r="A1167" s="1479"/>
      <c r="B1167" s="1479"/>
      <c r="D1167" s="1436"/>
      <c r="E1167" s="1436"/>
      <c r="F1167" s="1436"/>
      <c r="G1167" s="1436"/>
      <c r="H1167" s="1436"/>
    </row>
    <row r="1168" spans="1:8">
      <c r="A1168" s="1479"/>
      <c r="B1168" s="1479"/>
      <c r="D1168" s="1436"/>
      <c r="E1168" s="1436"/>
      <c r="F1168" s="1436"/>
      <c r="G1168" s="1436"/>
      <c r="H1168" s="1436"/>
    </row>
    <row r="1169" spans="1:8">
      <c r="A1169" s="1479"/>
      <c r="B1169" s="1479"/>
      <c r="D1169" s="1436"/>
      <c r="E1169" s="1436"/>
      <c r="F1169" s="1436"/>
      <c r="G1169" s="1436"/>
      <c r="H1169" s="1436"/>
    </row>
    <row r="1170" spans="1:8">
      <c r="A1170" s="1479"/>
      <c r="B1170" s="1479"/>
      <c r="D1170" s="1436"/>
      <c r="E1170" s="1436"/>
      <c r="F1170" s="1436"/>
      <c r="G1170" s="1436"/>
      <c r="H1170" s="1436"/>
    </row>
    <row r="1171" spans="1:8">
      <c r="A1171" s="1479"/>
      <c r="B1171" s="1479"/>
      <c r="D1171" s="1436"/>
      <c r="E1171" s="1436"/>
      <c r="F1171" s="1436"/>
      <c r="G1171" s="1436"/>
      <c r="H1171" s="1436"/>
    </row>
    <row r="1172" spans="1:8">
      <c r="A1172" s="1479"/>
      <c r="B1172" s="1479"/>
      <c r="D1172" s="1436"/>
      <c r="E1172" s="1436"/>
      <c r="F1172" s="1436"/>
      <c r="G1172" s="1436"/>
      <c r="H1172" s="1436"/>
    </row>
    <row r="1173" spans="1:8">
      <c r="A1173" s="1479"/>
      <c r="B1173" s="1479"/>
      <c r="D1173" s="1436"/>
      <c r="E1173" s="1436"/>
      <c r="F1173" s="1436"/>
      <c r="G1173" s="1436"/>
      <c r="H1173" s="1436"/>
    </row>
    <row r="1174" spans="1:8">
      <c r="A1174" s="1479"/>
      <c r="B1174" s="1479"/>
      <c r="D1174" s="1436"/>
      <c r="E1174" s="1436"/>
      <c r="F1174" s="1436"/>
      <c r="G1174" s="1436"/>
      <c r="H1174" s="1436"/>
    </row>
    <row r="1175" spans="1:8">
      <c r="A1175" s="1479"/>
      <c r="B1175" s="1479"/>
      <c r="D1175" s="1436"/>
      <c r="E1175" s="1436"/>
      <c r="F1175" s="1436"/>
      <c r="G1175" s="1436"/>
      <c r="H1175" s="1436"/>
    </row>
    <row r="1176" spans="1:8">
      <c r="A1176" s="1479"/>
      <c r="B1176" s="1479"/>
      <c r="D1176" s="1436"/>
      <c r="E1176" s="1436"/>
      <c r="F1176" s="1436"/>
      <c r="G1176" s="1436"/>
      <c r="H1176" s="1436"/>
    </row>
    <row r="1177" spans="1:8">
      <c r="A1177" s="1479"/>
      <c r="B1177" s="1479"/>
      <c r="D1177" s="1436"/>
      <c r="E1177" s="1436"/>
      <c r="F1177" s="1436"/>
      <c r="G1177" s="1436"/>
      <c r="H1177" s="1436"/>
    </row>
    <row r="1178" spans="1:8">
      <c r="A1178" s="1479"/>
      <c r="B1178" s="1479"/>
      <c r="D1178" s="1436"/>
      <c r="E1178" s="1436"/>
      <c r="F1178" s="1436"/>
      <c r="G1178" s="1436"/>
      <c r="H1178" s="1436"/>
    </row>
    <row r="1179" spans="1:8">
      <c r="A1179" s="1479"/>
      <c r="B1179" s="1479"/>
      <c r="D1179" s="1436"/>
      <c r="E1179" s="1436"/>
      <c r="F1179" s="1436"/>
      <c r="G1179" s="1436"/>
      <c r="H1179" s="1436"/>
    </row>
    <row r="1180" spans="1:8">
      <c r="A1180" s="1479"/>
      <c r="B1180" s="1479"/>
      <c r="D1180" s="1436"/>
      <c r="E1180" s="1436"/>
      <c r="F1180" s="1436"/>
      <c r="G1180" s="1436"/>
      <c r="H1180" s="1436"/>
    </row>
    <row r="1181" spans="1:8">
      <c r="A1181" s="1479"/>
      <c r="B1181" s="1479"/>
      <c r="D1181" s="1436"/>
      <c r="E1181" s="1436"/>
      <c r="F1181" s="1436"/>
      <c r="G1181" s="1436"/>
      <c r="H1181" s="1436"/>
    </row>
    <row r="1182" spans="1:8">
      <c r="A1182" s="1479"/>
      <c r="B1182" s="1479"/>
      <c r="D1182" s="1436"/>
      <c r="E1182" s="1436"/>
      <c r="F1182" s="1436"/>
      <c r="G1182" s="1436"/>
      <c r="H1182" s="1436"/>
    </row>
    <row r="1183" spans="1:8">
      <c r="A1183" s="1479"/>
      <c r="B1183" s="1479"/>
      <c r="D1183" s="1436"/>
      <c r="E1183" s="1436"/>
      <c r="F1183" s="1436"/>
      <c r="G1183" s="1436"/>
      <c r="H1183" s="1436"/>
    </row>
    <row r="1184" spans="1:8">
      <c r="A1184" s="1479"/>
      <c r="B1184" s="1479"/>
      <c r="D1184" s="1436"/>
      <c r="E1184" s="1436"/>
      <c r="F1184" s="1436"/>
      <c r="G1184" s="1436"/>
      <c r="H1184" s="1436"/>
    </row>
    <row r="1185" spans="1:8">
      <c r="A1185" s="1479"/>
      <c r="B1185" s="1479"/>
      <c r="D1185" s="1436"/>
      <c r="E1185" s="1436"/>
      <c r="F1185" s="1436"/>
      <c r="G1185" s="1436"/>
      <c r="H1185" s="1436"/>
    </row>
    <row r="1186" spans="1:8">
      <c r="A1186" s="1479"/>
      <c r="B1186" s="1479"/>
      <c r="D1186" s="1436"/>
      <c r="E1186" s="1436"/>
      <c r="F1186" s="1436"/>
      <c r="G1186" s="1436"/>
      <c r="H1186" s="1436"/>
    </row>
    <row r="1187" spans="1:8">
      <c r="A1187" s="1479"/>
      <c r="B1187" s="1479"/>
      <c r="D1187" s="1436"/>
      <c r="E1187" s="1436"/>
      <c r="F1187" s="1436"/>
      <c r="G1187" s="1436"/>
      <c r="H1187" s="1436"/>
    </row>
    <row r="1188" spans="1:8">
      <c r="A1188" s="1479"/>
      <c r="B1188" s="1479"/>
      <c r="D1188" s="1436"/>
      <c r="E1188" s="1436"/>
      <c r="F1188" s="1436"/>
      <c r="G1188" s="1436"/>
      <c r="H1188" s="1436"/>
    </row>
    <row r="1189" spans="1:8">
      <c r="A1189" s="1479"/>
      <c r="B1189" s="1479"/>
      <c r="D1189" s="1436"/>
      <c r="E1189" s="1436"/>
      <c r="F1189" s="1436"/>
      <c r="G1189" s="1436"/>
      <c r="H1189" s="1436"/>
    </row>
    <row r="1190" spans="1:8">
      <c r="A1190" s="1479"/>
      <c r="B1190" s="1479"/>
      <c r="D1190" s="1436"/>
      <c r="E1190" s="1436"/>
      <c r="F1190" s="1436"/>
      <c r="G1190" s="1436"/>
      <c r="H1190" s="1436"/>
    </row>
    <row r="1191" spans="1:8">
      <c r="A1191" s="1479"/>
      <c r="B1191" s="1479"/>
      <c r="D1191" s="1436"/>
      <c r="E1191" s="1436"/>
      <c r="F1191" s="1436"/>
      <c r="G1191" s="1436"/>
      <c r="H1191" s="1436"/>
    </row>
    <row r="1192" spans="1:8">
      <c r="A1192" s="1479"/>
      <c r="B1192" s="1479"/>
      <c r="D1192" s="1436"/>
      <c r="E1192" s="1436"/>
      <c r="F1192" s="1436"/>
      <c r="G1192" s="1436"/>
      <c r="H1192" s="1436"/>
    </row>
    <row r="1193" spans="1:8">
      <c r="A1193" s="1479"/>
      <c r="B1193" s="1479"/>
      <c r="D1193" s="1436"/>
      <c r="E1193" s="1436"/>
      <c r="F1193" s="1436"/>
      <c r="G1193" s="1436"/>
      <c r="H1193" s="1436"/>
    </row>
    <row r="1194" spans="1:8">
      <c r="A1194" s="1479"/>
      <c r="B1194" s="1479"/>
      <c r="D1194" s="1436"/>
      <c r="E1194" s="1436"/>
      <c r="F1194" s="1436"/>
      <c r="G1194" s="1436"/>
      <c r="H1194" s="1436"/>
    </row>
    <row r="1195" spans="1:8">
      <c r="A1195" s="1479"/>
      <c r="B1195" s="1479"/>
      <c r="D1195" s="1436"/>
      <c r="E1195" s="1436"/>
      <c r="F1195" s="1436"/>
      <c r="G1195" s="1436"/>
      <c r="H1195" s="1436"/>
    </row>
    <row r="1196" spans="1:8">
      <c r="A1196" s="1479"/>
      <c r="B1196" s="1479"/>
      <c r="D1196" s="1436"/>
      <c r="E1196" s="1436"/>
      <c r="F1196" s="1436"/>
      <c r="G1196" s="1436"/>
      <c r="H1196" s="1436"/>
    </row>
    <row r="1197" spans="1:8">
      <c r="A1197" s="1479"/>
      <c r="B1197" s="1479"/>
      <c r="D1197" s="1436"/>
      <c r="E1197" s="1436"/>
      <c r="F1197" s="1436"/>
      <c r="G1197" s="1436"/>
      <c r="H1197" s="1436"/>
    </row>
    <row r="1198" spans="1:8">
      <c r="A1198" s="1479"/>
      <c r="B1198" s="1479"/>
      <c r="D1198" s="1436"/>
      <c r="E1198" s="1436"/>
      <c r="F1198" s="1436"/>
      <c r="G1198" s="1436"/>
      <c r="H1198" s="1436"/>
    </row>
    <row r="1199" spans="1:8">
      <c r="A1199" s="1479"/>
      <c r="B1199" s="1479"/>
      <c r="D1199" s="1436"/>
      <c r="E1199" s="1436"/>
      <c r="F1199" s="1436"/>
      <c r="G1199" s="1436"/>
      <c r="H1199" s="1436"/>
    </row>
    <row r="1200" spans="1:8">
      <c r="A1200" s="1479"/>
      <c r="B1200" s="1479"/>
      <c r="D1200" s="1436"/>
      <c r="E1200" s="1436"/>
      <c r="F1200" s="1436"/>
      <c r="G1200" s="1436"/>
      <c r="H1200" s="1436"/>
    </row>
    <row r="1201" spans="1:8">
      <c r="A1201" s="1479"/>
      <c r="B1201" s="1479"/>
      <c r="D1201" s="1436"/>
      <c r="E1201" s="1436"/>
      <c r="F1201" s="1436"/>
      <c r="G1201" s="1436"/>
      <c r="H1201" s="1436"/>
    </row>
    <row r="1202" spans="1:8">
      <c r="A1202" s="1479"/>
      <c r="B1202" s="1479"/>
      <c r="D1202" s="1436"/>
      <c r="E1202" s="1436"/>
      <c r="F1202" s="1436"/>
      <c r="G1202" s="1436"/>
      <c r="H1202" s="1436"/>
    </row>
    <row r="1203" spans="1:8">
      <c r="A1203" s="1479"/>
      <c r="B1203" s="1479"/>
      <c r="D1203" s="1436"/>
      <c r="E1203" s="1436"/>
      <c r="F1203" s="1436"/>
      <c r="G1203" s="1436"/>
      <c r="H1203" s="1436"/>
    </row>
    <row r="1204" spans="1:8">
      <c r="A1204" s="1479"/>
      <c r="B1204" s="1479"/>
      <c r="D1204" s="1436"/>
      <c r="E1204" s="1436"/>
      <c r="F1204" s="1436"/>
      <c r="G1204" s="1436"/>
      <c r="H1204" s="1436"/>
    </row>
    <row r="1205" spans="1:8">
      <c r="A1205" s="1479"/>
      <c r="B1205" s="1479"/>
      <c r="D1205" s="1436"/>
      <c r="E1205" s="1436"/>
      <c r="F1205" s="1436"/>
      <c r="G1205" s="1436"/>
      <c r="H1205" s="1436"/>
    </row>
    <row r="1206" spans="1:8">
      <c r="A1206" s="1479"/>
      <c r="B1206" s="1479"/>
      <c r="D1206" s="1436"/>
      <c r="E1206" s="1436"/>
      <c r="F1206" s="1436"/>
      <c r="G1206" s="1436"/>
      <c r="H1206" s="1436"/>
    </row>
    <row r="1207" spans="1:8">
      <c r="A1207" s="1479"/>
      <c r="B1207" s="1479"/>
      <c r="D1207" s="1436"/>
      <c r="E1207" s="1436"/>
      <c r="F1207" s="1436"/>
      <c r="G1207" s="1436"/>
      <c r="H1207" s="1436"/>
    </row>
    <row r="1208" spans="1:8">
      <c r="A1208" s="1479"/>
      <c r="B1208" s="1479"/>
      <c r="D1208" s="1436"/>
      <c r="E1208" s="1436"/>
      <c r="F1208" s="1436"/>
      <c r="G1208" s="1436"/>
      <c r="H1208" s="1436"/>
    </row>
    <row r="1209" spans="1:8">
      <c r="A1209" s="1479"/>
      <c r="B1209" s="1479"/>
      <c r="D1209" s="1436"/>
      <c r="E1209" s="1436"/>
      <c r="F1209" s="1436"/>
      <c r="G1209" s="1436"/>
      <c r="H1209" s="1436"/>
    </row>
    <row r="1210" spans="1:8">
      <c r="A1210" s="1479"/>
      <c r="B1210" s="1479"/>
      <c r="D1210" s="1436"/>
      <c r="E1210" s="1436"/>
      <c r="F1210" s="1436"/>
      <c r="G1210" s="1436"/>
      <c r="H1210" s="1436"/>
    </row>
    <row r="1211" spans="1:8">
      <c r="A1211" s="1479"/>
      <c r="B1211" s="1479"/>
      <c r="D1211" s="1436"/>
      <c r="E1211" s="1436"/>
      <c r="F1211" s="1436"/>
      <c r="G1211" s="1436"/>
      <c r="H1211" s="1436"/>
    </row>
    <row r="1212" spans="1:8">
      <c r="A1212" s="1479"/>
      <c r="B1212" s="1479"/>
      <c r="D1212" s="1436"/>
      <c r="E1212" s="1436"/>
      <c r="F1212" s="1436"/>
      <c r="G1212" s="1436"/>
      <c r="H1212" s="1436"/>
    </row>
    <row r="1213" spans="1:8">
      <c r="A1213" s="1479"/>
      <c r="B1213" s="1479"/>
      <c r="D1213" s="1436"/>
      <c r="E1213" s="1436"/>
      <c r="F1213" s="1436"/>
      <c r="G1213" s="1436"/>
      <c r="H1213" s="1436"/>
    </row>
    <row r="1214" spans="1:8">
      <c r="A1214" s="1479"/>
      <c r="B1214" s="1479"/>
      <c r="D1214" s="1436"/>
      <c r="E1214" s="1436"/>
      <c r="F1214" s="1436"/>
      <c r="G1214" s="1436"/>
      <c r="H1214" s="1436"/>
    </row>
    <row r="1215" spans="1:8">
      <c r="A1215" s="1479"/>
      <c r="B1215" s="1479"/>
      <c r="D1215" s="1436"/>
      <c r="E1215" s="1436"/>
      <c r="F1215" s="1436"/>
      <c r="G1215" s="1436"/>
      <c r="H1215" s="1436"/>
    </row>
    <row r="1216" spans="1:8">
      <c r="A1216" s="1479"/>
      <c r="B1216" s="1479"/>
      <c r="D1216" s="1436"/>
      <c r="E1216" s="1436"/>
      <c r="F1216" s="1436"/>
      <c r="G1216" s="1436"/>
      <c r="H1216" s="1436"/>
    </row>
    <row r="1217" spans="1:8">
      <c r="A1217" s="1479"/>
      <c r="B1217" s="1479"/>
      <c r="D1217" s="1436"/>
      <c r="E1217" s="1436"/>
      <c r="F1217" s="1436"/>
      <c r="G1217" s="1436"/>
      <c r="H1217" s="1436"/>
    </row>
    <row r="1218" spans="1:8">
      <c r="A1218" s="1479"/>
      <c r="B1218" s="1479"/>
      <c r="D1218" s="1436"/>
      <c r="E1218" s="1436"/>
      <c r="F1218" s="1436"/>
      <c r="G1218" s="1436"/>
      <c r="H1218" s="1436"/>
    </row>
    <row r="1219" spans="1:8">
      <c r="A1219" s="1479"/>
      <c r="B1219" s="1479"/>
      <c r="D1219" s="1436"/>
      <c r="E1219" s="1436"/>
      <c r="F1219" s="1436"/>
      <c r="G1219" s="1436"/>
      <c r="H1219" s="1436"/>
    </row>
    <row r="1220" spans="1:8">
      <c r="A1220" s="1479"/>
      <c r="B1220" s="1479"/>
      <c r="D1220" s="1436"/>
      <c r="E1220" s="1436"/>
      <c r="F1220" s="1436"/>
      <c r="G1220" s="1436"/>
      <c r="H1220" s="1436"/>
    </row>
    <row r="1221" spans="1:8">
      <c r="A1221" s="1479"/>
      <c r="B1221" s="1479"/>
      <c r="D1221" s="1436"/>
      <c r="E1221" s="1436"/>
      <c r="F1221" s="1436"/>
      <c r="G1221" s="1436"/>
      <c r="H1221" s="1436"/>
    </row>
    <row r="1222" spans="1:8">
      <c r="A1222" s="1479"/>
      <c r="B1222" s="1479"/>
      <c r="D1222" s="1436"/>
      <c r="E1222" s="1436"/>
      <c r="F1222" s="1436"/>
      <c r="G1222" s="1436"/>
      <c r="H1222" s="1436"/>
    </row>
    <row r="1223" spans="1:8">
      <c r="A1223" s="1479"/>
      <c r="B1223" s="1479"/>
      <c r="D1223" s="1436"/>
      <c r="E1223" s="1436"/>
      <c r="F1223" s="1436"/>
      <c r="G1223" s="1436"/>
      <c r="H1223" s="1436"/>
    </row>
    <row r="1224" spans="1:8">
      <c r="A1224" s="1479"/>
      <c r="B1224" s="1479"/>
      <c r="D1224" s="1436"/>
      <c r="E1224" s="1436"/>
      <c r="F1224" s="1436"/>
      <c r="G1224" s="1436"/>
      <c r="H1224" s="1436"/>
    </row>
    <row r="1225" spans="1:8">
      <c r="A1225" s="1479"/>
      <c r="B1225" s="1479"/>
      <c r="D1225" s="1436"/>
      <c r="E1225" s="1436"/>
      <c r="F1225" s="1436"/>
      <c r="G1225" s="1436"/>
      <c r="H1225" s="1436"/>
    </row>
    <row r="1226" spans="1:8">
      <c r="A1226" s="1479"/>
      <c r="B1226" s="1479"/>
      <c r="D1226" s="1436"/>
      <c r="E1226" s="1436"/>
      <c r="F1226" s="1436"/>
      <c r="G1226" s="1436"/>
      <c r="H1226" s="1436"/>
    </row>
    <row r="1227" spans="1:8">
      <c r="A1227" s="1479"/>
      <c r="B1227" s="1479"/>
      <c r="D1227" s="1436"/>
      <c r="E1227" s="1436"/>
      <c r="F1227" s="1436"/>
      <c r="G1227" s="1436"/>
      <c r="H1227" s="1436"/>
    </row>
    <row r="1228" spans="1:8">
      <c r="A1228" s="1479"/>
      <c r="B1228" s="1479"/>
      <c r="D1228" s="1436"/>
      <c r="E1228" s="1436"/>
      <c r="F1228" s="1436"/>
      <c r="G1228" s="1436"/>
      <c r="H1228" s="1436"/>
    </row>
    <row r="1229" spans="1:8">
      <c r="A1229" s="1479"/>
      <c r="B1229" s="1479"/>
      <c r="D1229" s="1436"/>
      <c r="E1229" s="1436"/>
      <c r="F1229" s="1436"/>
      <c r="G1229" s="1436"/>
      <c r="H1229" s="1436"/>
    </row>
    <row r="1230" spans="1:8">
      <c r="A1230" s="1479"/>
      <c r="B1230" s="1479"/>
      <c r="D1230" s="1436"/>
      <c r="E1230" s="1436"/>
      <c r="F1230" s="1436"/>
      <c r="G1230" s="1436"/>
      <c r="H1230" s="1436"/>
    </row>
    <row r="1231" spans="1:8">
      <c r="A1231" s="1479"/>
      <c r="B1231" s="1479"/>
      <c r="D1231" s="1436"/>
      <c r="E1231" s="1436"/>
      <c r="F1231" s="1436"/>
      <c r="G1231" s="1436"/>
      <c r="H1231" s="1436"/>
    </row>
    <row r="1232" spans="1:8">
      <c r="A1232" s="1479"/>
      <c r="B1232" s="1479"/>
      <c r="D1232" s="1436"/>
      <c r="E1232" s="1436"/>
      <c r="F1232" s="1436"/>
      <c r="G1232" s="1436"/>
      <c r="H1232" s="1436"/>
    </row>
    <row r="1233" spans="1:8">
      <c r="A1233" s="1479"/>
      <c r="B1233" s="1479"/>
      <c r="D1233" s="1436"/>
      <c r="E1233" s="1436"/>
      <c r="F1233" s="1436"/>
      <c r="G1233" s="1436"/>
      <c r="H1233" s="1436"/>
    </row>
    <row r="1234" spans="1:8">
      <c r="A1234" s="1479"/>
      <c r="B1234" s="1479"/>
      <c r="D1234" s="1436"/>
      <c r="E1234" s="1436"/>
      <c r="F1234" s="1436"/>
      <c r="G1234" s="1436"/>
      <c r="H1234" s="1436"/>
    </row>
    <row r="1235" spans="1:8">
      <c r="A1235" s="1479"/>
      <c r="B1235" s="1479"/>
      <c r="D1235" s="1436"/>
      <c r="E1235" s="1436"/>
      <c r="F1235" s="1436"/>
      <c r="G1235" s="1436"/>
      <c r="H1235" s="1436"/>
    </row>
    <row r="1236" spans="1:8">
      <c r="A1236" s="1479"/>
      <c r="B1236" s="1479"/>
      <c r="D1236" s="1436"/>
      <c r="E1236" s="1436"/>
      <c r="F1236" s="1436"/>
      <c r="G1236" s="1436"/>
      <c r="H1236" s="1436"/>
    </row>
    <row r="1237" spans="1:8">
      <c r="A1237" s="1479"/>
      <c r="B1237" s="1479"/>
      <c r="D1237" s="1436"/>
      <c r="E1237" s="1436"/>
      <c r="F1237" s="1436"/>
      <c r="G1237" s="1436"/>
      <c r="H1237" s="1436"/>
    </row>
    <row r="1238" spans="1:8">
      <c r="A1238" s="1479"/>
      <c r="B1238" s="1479"/>
      <c r="D1238" s="1436"/>
      <c r="E1238" s="1436"/>
      <c r="F1238" s="1436"/>
      <c r="G1238" s="1436"/>
      <c r="H1238" s="1436"/>
    </row>
    <row r="1239" spans="1:8">
      <c r="A1239" s="1479"/>
      <c r="B1239" s="1479"/>
      <c r="D1239" s="1436"/>
      <c r="E1239" s="1436"/>
      <c r="F1239" s="1436"/>
      <c r="G1239" s="1436"/>
      <c r="H1239" s="1436"/>
    </row>
    <row r="1240" spans="1:8">
      <c r="A1240" s="1479"/>
      <c r="B1240" s="1479"/>
      <c r="D1240" s="1436"/>
      <c r="E1240" s="1436"/>
      <c r="F1240" s="1436"/>
      <c r="G1240" s="1436"/>
      <c r="H1240" s="1436"/>
    </row>
    <row r="1241" spans="1:8">
      <c r="A1241" s="1479"/>
      <c r="B1241" s="1479"/>
      <c r="D1241" s="1436"/>
      <c r="E1241" s="1436"/>
      <c r="F1241" s="1436"/>
      <c r="G1241" s="1436"/>
      <c r="H1241" s="1436"/>
    </row>
    <row r="1242" spans="1:8">
      <c r="A1242" s="1479"/>
      <c r="B1242" s="1479"/>
      <c r="D1242" s="1436"/>
      <c r="E1242" s="1436"/>
      <c r="F1242" s="1436"/>
      <c r="G1242" s="1436"/>
      <c r="H1242" s="1436"/>
    </row>
    <row r="1243" spans="1:8">
      <c r="A1243" s="1479"/>
      <c r="B1243" s="1479"/>
      <c r="D1243" s="1436"/>
      <c r="E1243" s="1436"/>
      <c r="F1243" s="1436"/>
      <c r="G1243" s="1436"/>
      <c r="H1243" s="1436"/>
    </row>
    <row r="1244" spans="1:8">
      <c r="A1244" s="1479"/>
      <c r="B1244" s="1479"/>
      <c r="D1244" s="1436"/>
      <c r="E1244" s="1436"/>
      <c r="F1244" s="1436"/>
      <c r="G1244" s="1436"/>
      <c r="H1244" s="1436"/>
    </row>
    <row r="1245" spans="1:8">
      <c r="A1245" s="1479"/>
      <c r="B1245" s="1479"/>
      <c r="D1245" s="1436"/>
      <c r="E1245" s="1436"/>
      <c r="F1245" s="1436"/>
      <c r="G1245" s="1436"/>
      <c r="H1245" s="1436"/>
    </row>
    <row r="1246" spans="1:8">
      <c r="A1246" s="1479"/>
      <c r="B1246" s="1479"/>
      <c r="D1246" s="1436"/>
      <c r="E1246" s="1436"/>
      <c r="F1246" s="1436"/>
      <c r="G1246" s="1436"/>
      <c r="H1246" s="1436"/>
    </row>
    <row r="1247" spans="1:8">
      <c r="A1247" s="1479"/>
      <c r="B1247" s="1479"/>
      <c r="D1247" s="1436"/>
      <c r="E1247" s="1436"/>
      <c r="F1247" s="1436"/>
      <c r="G1247" s="1436"/>
      <c r="H1247" s="1436"/>
    </row>
    <row r="1248" spans="1:8">
      <c r="A1248" s="1479"/>
      <c r="B1248" s="1479"/>
      <c r="D1248" s="1436"/>
      <c r="E1248" s="1436"/>
      <c r="F1248" s="1436"/>
      <c r="G1248" s="1436"/>
      <c r="H1248" s="1436"/>
    </row>
    <row r="1249" spans="1:8">
      <c r="A1249" s="1479"/>
      <c r="B1249" s="1479"/>
      <c r="D1249" s="1436"/>
      <c r="E1249" s="1436"/>
      <c r="F1249" s="1436"/>
      <c r="G1249" s="1436"/>
      <c r="H1249" s="1436"/>
    </row>
    <row r="1250" spans="1:8">
      <c r="A1250" s="1479"/>
      <c r="B1250" s="1479"/>
      <c r="D1250" s="1436"/>
      <c r="E1250" s="1436"/>
      <c r="F1250" s="1436"/>
      <c r="G1250" s="1436"/>
      <c r="H1250" s="1436"/>
    </row>
    <row r="1251" spans="1:8">
      <c r="A1251" s="1479"/>
      <c r="B1251" s="1479"/>
      <c r="D1251" s="1436"/>
      <c r="E1251" s="1436"/>
      <c r="F1251" s="1436"/>
      <c r="G1251" s="1436"/>
      <c r="H1251" s="1436"/>
    </row>
    <row r="1252" spans="1:8">
      <c r="A1252" s="1479"/>
      <c r="B1252" s="1479"/>
      <c r="D1252" s="1436"/>
      <c r="E1252" s="1436"/>
      <c r="F1252" s="1436"/>
      <c r="G1252" s="1436"/>
      <c r="H1252" s="1436"/>
    </row>
    <row r="1253" spans="1:8">
      <c r="A1253" s="1479"/>
      <c r="B1253" s="1479"/>
      <c r="D1253" s="1436"/>
      <c r="E1253" s="1436"/>
      <c r="F1253" s="1436"/>
      <c r="G1253" s="1436"/>
      <c r="H1253" s="1436"/>
    </row>
    <row r="1254" spans="1:8">
      <c r="A1254" s="1479"/>
      <c r="B1254" s="1479"/>
      <c r="D1254" s="1436"/>
      <c r="E1254" s="1436"/>
      <c r="F1254" s="1436"/>
      <c r="G1254" s="1436"/>
      <c r="H1254" s="1436"/>
    </row>
    <row r="1255" spans="1:8">
      <c r="A1255" s="1479"/>
      <c r="B1255" s="1479"/>
      <c r="D1255" s="1436"/>
      <c r="E1255" s="1436"/>
      <c r="F1255" s="1436"/>
      <c r="G1255" s="1436"/>
      <c r="H1255" s="1436"/>
    </row>
    <row r="1256" spans="1:8">
      <c r="A1256" s="1479"/>
      <c r="B1256" s="1479"/>
      <c r="D1256" s="1436"/>
      <c r="E1256" s="1436"/>
      <c r="F1256" s="1436"/>
      <c r="G1256" s="1436"/>
      <c r="H1256" s="1436"/>
    </row>
    <row r="1257" spans="1:8">
      <c r="A1257" s="1479"/>
      <c r="B1257" s="1479"/>
      <c r="D1257" s="1436"/>
      <c r="E1257" s="1436"/>
      <c r="F1257" s="1436"/>
      <c r="G1257" s="1436"/>
      <c r="H1257" s="1436"/>
    </row>
    <row r="1258" spans="1:8">
      <c r="A1258" s="1479"/>
      <c r="B1258" s="1479"/>
      <c r="D1258" s="1436"/>
      <c r="E1258" s="1436"/>
      <c r="F1258" s="1436"/>
      <c r="G1258" s="1436"/>
      <c r="H1258" s="1436"/>
    </row>
    <row r="1259" spans="1:8">
      <c r="A1259" s="1479"/>
      <c r="B1259" s="1479"/>
      <c r="D1259" s="1436"/>
      <c r="E1259" s="1436"/>
      <c r="F1259" s="1436"/>
      <c r="G1259" s="1436"/>
      <c r="H1259" s="1436"/>
    </row>
    <row r="1260" spans="1:8">
      <c r="A1260" s="1479"/>
      <c r="B1260" s="1479"/>
      <c r="D1260" s="1436"/>
      <c r="E1260" s="1436"/>
      <c r="F1260" s="1436"/>
      <c r="G1260" s="1436"/>
      <c r="H1260" s="1436"/>
    </row>
    <row r="1261" spans="1:8">
      <c r="A1261" s="1479"/>
      <c r="B1261" s="1479"/>
      <c r="D1261" s="1436"/>
      <c r="E1261" s="1436"/>
      <c r="F1261" s="1436"/>
      <c r="G1261" s="1436"/>
      <c r="H1261" s="1436"/>
    </row>
    <row r="1262" spans="1:8">
      <c r="A1262" s="1479"/>
      <c r="B1262" s="1479"/>
      <c r="D1262" s="1436"/>
      <c r="E1262" s="1436"/>
      <c r="F1262" s="1436"/>
      <c r="G1262" s="1436"/>
      <c r="H1262" s="1436"/>
    </row>
    <row r="1263" spans="1:8">
      <c r="A1263" s="1479"/>
      <c r="B1263" s="1479"/>
      <c r="D1263" s="1436"/>
      <c r="E1263" s="1436"/>
      <c r="F1263" s="1436"/>
      <c r="G1263" s="1436"/>
      <c r="H1263" s="1436"/>
    </row>
    <row r="1264" spans="1:8">
      <c r="A1264" s="1479"/>
      <c r="B1264" s="1479"/>
      <c r="D1264" s="1436"/>
      <c r="E1264" s="1436"/>
      <c r="F1264" s="1436"/>
      <c r="G1264" s="1436"/>
      <c r="H1264" s="1436"/>
    </row>
    <row r="1265" spans="1:8">
      <c r="A1265" s="1479"/>
      <c r="B1265" s="1479"/>
      <c r="D1265" s="1436"/>
      <c r="E1265" s="1436"/>
      <c r="F1265" s="1436"/>
      <c r="G1265" s="1436"/>
      <c r="H1265" s="1436"/>
    </row>
    <row r="1266" spans="1:8">
      <c r="A1266" s="1479"/>
      <c r="B1266" s="1479"/>
      <c r="D1266" s="1436"/>
      <c r="E1266" s="1436"/>
      <c r="F1266" s="1436"/>
      <c r="G1266" s="1436"/>
      <c r="H1266" s="1436"/>
    </row>
    <row r="1267" spans="1:8">
      <c r="A1267" s="1479"/>
      <c r="B1267" s="1479"/>
      <c r="D1267" s="1436"/>
      <c r="E1267" s="1436"/>
      <c r="F1267" s="1436"/>
      <c r="G1267" s="1436"/>
      <c r="H1267" s="1436"/>
    </row>
    <row r="1268" spans="1:8">
      <c r="A1268" s="1479"/>
      <c r="B1268" s="1479"/>
      <c r="D1268" s="1436"/>
      <c r="E1268" s="1436"/>
      <c r="F1268" s="1436"/>
      <c r="G1268" s="1436"/>
      <c r="H1268" s="1436"/>
    </row>
    <row r="1269" spans="1:8">
      <c r="A1269" s="1479"/>
      <c r="B1269" s="1479"/>
      <c r="D1269" s="1436"/>
      <c r="E1269" s="1436"/>
      <c r="F1269" s="1436"/>
      <c r="G1269" s="1436"/>
      <c r="H1269" s="1436"/>
    </row>
    <row r="1270" spans="1:8">
      <c r="A1270" s="1479"/>
      <c r="B1270" s="1479"/>
      <c r="D1270" s="1436"/>
      <c r="E1270" s="1436"/>
      <c r="F1270" s="1436"/>
      <c r="G1270" s="1436"/>
      <c r="H1270" s="1436"/>
    </row>
    <row r="1271" spans="1:8">
      <c r="A1271" s="1479"/>
      <c r="B1271" s="1479"/>
      <c r="D1271" s="1436"/>
      <c r="E1271" s="1436"/>
      <c r="F1271" s="1436"/>
      <c r="G1271" s="1436"/>
      <c r="H1271" s="1436"/>
    </row>
    <row r="1272" spans="1:8">
      <c r="A1272" s="1479"/>
      <c r="B1272" s="1479"/>
      <c r="D1272" s="1436"/>
      <c r="E1272" s="1436"/>
      <c r="F1272" s="1436"/>
      <c r="G1272" s="1436"/>
      <c r="H1272" s="1436"/>
    </row>
    <row r="1273" spans="1:8">
      <c r="A1273" s="1479"/>
      <c r="B1273" s="1479"/>
      <c r="D1273" s="1436"/>
      <c r="E1273" s="1436"/>
      <c r="F1273" s="1436"/>
      <c r="G1273" s="1436"/>
      <c r="H1273" s="1436"/>
    </row>
    <row r="1274" spans="1:8">
      <c r="A1274" s="1479"/>
      <c r="B1274" s="1479"/>
      <c r="D1274" s="1436"/>
      <c r="E1274" s="1436"/>
      <c r="F1274" s="1436"/>
      <c r="G1274" s="1436"/>
      <c r="H1274" s="1436"/>
    </row>
    <row r="1275" spans="1:8">
      <c r="A1275" s="1479"/>
      <c r="B1275" s="1479"/>
      <c r="D1275" s="1436"/>
      <c r="E1275" s="1436"/>
      <c r="F1275" s="1436"/>
      <c r="G1275" s="1436"/>
      <c r="H1275" s="1436"/>
    </row>
    <row r="1276" spans="1:8">
      <c r="A1276" s="1479"/>
      <c r="B1276" s="1479"/>
      <c r="D1276" s="1436"/>
      <c r="E1276" s="1436"/>
      <c r="F1276" s="1436"/>
      <c r="G1276" s="1436"/>
      <c r="H1276" s="1436"/>
    </row>
    <row r="1277" spans="1:8">
      <c r="A1277" s="1479"/>
      <c r="B1277" s="1479"/>
      <c r="D1277" s="1436"/>
      <c r="E1277" s="1436"/>
      <c r="F1277" s="1436"/>
      <c r="G1277" s="1436"/>
      <c r="H1277" s="1436"/>
    </row>
    <row r="1278" spans="1:8">
      <c r="A1278" s="1479"/>
      <c r="B1278" s="1479"/>
      <c r="D1278" s="1436"/>
      <c r="E1278" s="1436"/>
      <c r="F1278" s="1436"/>
      <c r="G1278" s="1436"/>
      <c r="H1278" s="1436"/>
    </row>
    <row r="1279" spans="1:8">
      <c r="A1279" s="1479"/>
      <c r="B1279" s="1479"/>
      <c r="D1279" s="1436"/>
      <c r="E1279" s="1436"/>
      <c r="F1279" s="1436"/>
      <c r="G1279" s="1436"/>
      <c r="H1279" s="1436"/>
    </row>
    <row r="1280" spans="1:8">
      <c r="A1280" s="1479"/>
      <c r="B1280" s="1479"/>
      <c r="D1280" s="1436"/>
      <c r="E1280" s="1436"/>
      <c r="F1280" s="1436"/>
      <c r="G1280" s="1436"/>
      <c r="H1280" s="1436"/>
    </row>
    <row r="1281" spans="1:8">
      <c r="A1281" s="1479"/>
      <c r="B1281" s="1479"/>
      <c r="D1281" s="1436"/>
      <c r="E1281" s="1436"/>
      <c r="F1281" s="1436"/>
      <c r="G1281" s="1436"/>
      <c r="H1281" s="1436"/>
    </row>
    <row r="1282" spans="1:8">
      <c r="A1282" s="1479"/>
      <c r="B1282" s="1479"/>
      <c r="D1282" s="1436"/>
      <c r="E1282" s="1436"/>
      <c r="F1282" s="1436"/>
      <c r="G1282" s="1436"/>
      <c r="H1282" s="1436"/>
    </row>
    <row r="1283" spans="1:8">
      <c r="A1283" s="1479"/>
      <c r="B1283" s="1479"/>
      <c r="D1283" s="1436"/>
      <c r="E1283" s="1436"/>
      <c r="F1283" s="1436"/>
      <c r="G1283" s="1436"/>
      <c r="H1283" s="1436"/>
    </row>
    <row r="1284" spans="1:8">
      <c r="A1284" s="1479"/>
      <c r="B1284" s="1479"/>
      <c r="D1284" s="1436"/>
      <c r="E1284" s="1436"/>
      <c r="F1284" s="1436"/>
      <c r="G1284" s="1436"/>
      <c r="H1284" s="1436"/>
    </row>
    <row r="1285" spans="1:8">
      <c r="A1285" s="1479"/>
      <c r="B1285" s="1479"/>
      <c r="D1285" s="1436"/>
      <c r="E1285" s="1436"/>
      <c r="F1285" s="1436"/>
      <c r="G1285" s="1436"/>
      <c r="H1285" s="1436"/>
    </row>
    <row r="1286" spans="1:8">
      <c r="A1286" s="1479"/>
      <c r="B1286" s="1479"/>
      <c r="D1286" s="1436"/>
      <c r="E1286" s="1436"/>
      <c r="F1286" s="1436"/>
      <c r="G1286" s="1436"/>
      <c r="H1286" s="1436"/>
    </row>
    <row r="1287" spans="1:8">
      <c r="A1287" s="1479"/>
      <c r="B1287" s="1479"/>
      <c r="D1287" s="1436"/>
      <c r="E1287" s="1436"/>
      <c r="F1287" s="1436"/>
      <c r="G1287" s="1436"/>
      <c r="H1287" s="1436"/>
    </row>
    <row r="1288" spans="1:8">
      <c r="A1288" s="1479"/>
      <c r="B1288" s="1479"/>
      <c r="D1288" s="1436"/>
      <c r="E1288" s="1436"/>
      <c r="F1288" s="1436"/>
      <c r="G1288" s="1436"/>
      <c r="H1288" s="1436"/>
    </row>
    <row r="1289" spans="1:8">
      <c r="A1289" s="1479"/>
      <c r="B1289" s="1479"/>
      <c r="D1289" s="1436"/>
      <c r="E1289" s="1436"/>
      <c r="F1289" s="1436"/>
      <c r="G1289" s="1436"/>
      <c r="H1289" s="1436"/>
    </row>
    <row r="1290" spans="1:8">
      <c r="A1290" s="1479"/>
      <c r="B1290" s="1479"/>
      <c r="D1290" s="1436"/>
      <c r="E1290" s="1436"/>
      <c r="F1290" s="1436"/>
      <c r="G1290" s="1436"/>
      <c r="H1290" s="1436"/>
    </row>
    <row r="1291" spans="1:8">
      <c r="A1291" s="1479"/>
      <c r="B1291" s="1479"/>
      <c r="D1291" s="1436"/>
      <c r="E1291" s="1436"/>
      <c r="F1291" s="1436"/>
      <c r="G1291" s="1436"/>
      <c r="H1291" s="1436"/>
    </row>
    <row r="1292" spans="1:8">
      <c r="A1292" s="1479"/>
      <c r="B1292" s="1479"/>
      <c r="D1292" s="1436"/>
      <c r="E1292" s="1436"/>
      <c r="F1292" s="1436"/>
      <c r="G1292" s="1436"/>
      <c r="H1292" s="1436"/>
    </row>
    <row r="1293" spans="1:8">
      <c r="A1293" s="1479"/>
      <c r="B1293" s="1479"/>
      <c r="D1293" s="1436"/>
      <c r="E1293" s="1436"/>
      <c r="F1293" s="1436"/>
      <c r="G1293" s="1436"/>
      <c r="H1293" s="1436"/>
    </row>
    <row r="1294" spans="1:8">
      <c r="A1294" s="1479"/>
      <c r="B1294" s="1479"/>
      <c r="D1294" s="1436"/>
      <c r="E1294" s="1436"/>
      <c r="F1294" s="1436"/>
      <c r="G1294" s="1436"/>
      <c r="H1294" s="1436"/>
    </row>
    <row r="1295" spans="1:8">
      <c r="A1295" s="1479"/>
      <c r="B1295" s="1479"/>
      <c r="D1295" s="1436"/>
      <c r="E1295" s="1436"/>
      <c r="F1295" s="1436"/>
      <c r="G1295" s="1436"/>
      <c r="H1295" s="1436"/>
    </row>
    <row r="1296" spans="1:8">
      <c r="A1296" s="1479"/>
      <c r="B1296" s="1479"/>
      <c r="D1296" s="1436"/>
      <c r="E1296" s="1436"/>
      <c r="F1296" s="1436"/>
      <c r="G1296" s="1436"/>
      <c r="H1296" s="1436"/>
    </row>
    <row r="1297" spans="1:8">
      <c r="A1297" s="1479"/>
      <c r="B1297" s="1479"/>
      <c r="D1297" s="1436"/>
      <c r="E1297" s="1436"/>
      <c r="F1297" s="1436"/>
      <c r="G1297" s="1436"/>
      <c r="H1297" s="1436"/>
    </row>
    <row r="1298" spans="1:8">
      <c r="A1298" s="1479"/>
      <c r="B1298" s="1479"/>
      <c r="D1298" s="1436"/>
      <c r="E1298" s="1436"/>
      <c r="F1298" s="1436"/>
      <c r="G1298" s="1436"/>
      <c r="H1298" s="1436"/>
    </row>
    <row r="1299" spans="1:8">
      <c r="A1299" s="1479"/>
      <c r="B1299" s="1479"/>
      <c r="D1299" s="1436"/>
      <c r="E1299" s="1436"/>
      <c r="F1299" s="1436"/>
      <c r="G1299" s="1436"/>
      <c r="H1299" s="1436"/>
    </row>
    <row r="1300" spans="1:8">
      <c r="A1300" s="1479"/>
      <c r="B1300" s="1479"/>
      <c r="D1300" s="1436"/>
      <c r="E1300" s="1436"/>
      <c r="F1300" s="1436"/>
      <c r="G1300" s="1436"/>
      <c r="H1300" s="1436"/>
    </row>
    <row r="1301" spans="1:8">
      <c r="A1301" s="1479"/>
      <c r="B1301" s="1479"/>
      <c r="D1301" s="1436"/>
      <c r="E1301" s="1436"/>
      <c r="F1301" s="1436"/>
      <c r="G1301" s="1436"/>
      <c r="H1301" s="1436"/>
    </row>
    <row r="1302" spans="1:8">
      <c r="A1302" s="1479"/>
      <c r="B1302" s="1479"/>
      <c r="D1302" s="1436"/>
      <c r="E1302" s="1436"/>
      <c r="F1302" s="1436"/>
      <c r="G1302" s="1436"/>
      <c r="H1302" s="1436"/>
    </row>
    <row r="1303" spans="1:8">
      <c r="A1303" s="1479"/>
      <c r="B1303" s="1479"/>
      <c r="D1303" s="1436"/>
      <c r="E1303" s="1436"/>
      <c r="F1303" s="1436"/>
      <c r="G1303" s="1436"/>
      <c r="H1303" s="1436"/>
    </row>
    <row r="1304" spans="1:8">
      <c r="A1304" s="1479"/>
      <c r="B1304" s="1479"/>
      <c r="D1304" s="1436"/>
      <c r="E1304" s="1436"/>
      <c r="F1304" s="1436"/>
      <c r="G1304" s="1436"/>
      <c r="H1304" s="1436"/>
    </row>
    <row r="1305" spans="1:8">
      <c r="A1305" s="1479"/>
      <c r="B1305" s="1479"/>
    </row>
    <row r="1306" spans="1:8">
      <c r="A1306" s="1479"/>
      <c r="B1306" s="1479"/>
    </row>
    <row r="1307" spans="1:8">
      <c r="A1307" s="1479"/>
      <c r="B1307" s="1479"/>
    </row>
    <row r="1308" spans="1:8">
      <c r="A1308" s="1479"/>
      <c r="B1308" s="1479"/>
    </row>
    <row r="1309" spans="1:8">
      <c r="A1309" s="1479"/>
      <c r="B1309" s="1479"/>
    </row>
    <row r="1310" spans="1:8">
      <c r="A1310" s="1479"/>
      <c r="B1310" s="1479"/>
    </row>
    <row r="1311" spans="1:8">
      <c r="A1311" s="1479"/>
      <c r="B1311" s="1479"/>
    </row>
    <row r="1312" spans="1:8">
      <c r="A1312" s="1479"/>
      <c r="B1312" s="1479"/>
    </row>
    <row r="1313" spans="1:149">
      <c r="A1313" s="1479"/>
      <c r="B1313" s="1479"/>
    </row>
    <row r="1314" spans="1:149">
      <c r="A1314" s="1479"/>
      <c r="B1314" s="1479"/>
    </row>
    <row r="1315" spans="1:149">
      <c r="A1315" s="1479"/>
      <c r="B1315" s="1479"/>
    </row>
    <row r="1316" spans="1:149">
      <c r="A1316" s="1479"/>
      <c r="B1316" s="1479"/>
    </row>
    <row r="1317" spans="1:149">
      <c r="A1317" s="1479"/>
      <c r="B1317" s="1479"/>
    </row>
    <row r="1318" spans="1:149">
      <c r="A1318" s="1479"/>
      <c r="B1318" s="1479"/>
    </row>
    <row r="1319" spans="1:149">
      <c r="A1319" s="1479"/>
      <c r="B1319" s="1479"/>
      <c r="ES1319" s="1436" t="s">
        <v>40</v>
      </c>
    </row>
  </sheetData>
  <printOptions horizontalCentered="1"/>
  <pageMargins left="0.19685039370078741" right="0.19685039370078741" top="0.39370078740157483" bottom="0.35433070866141736" header="0.23622047244094491" footer="0.19685039370078741"/>
  <pageSetup paperSize="9" scale="73" fitToHeight="7" orientation="portrait" r:id="rId1"/>
  <headerFooter alignWithMargins="0">
    <oddHeader xml:space="preserve">&amp;R&amp;"Arial,Standard"&amp;10   &amp;"Times New Roman,Standard"&amp;8       </oddHeader>
    <oddFooter xml:space="preserve">&amp;R&amp;14
</oddFooter>
  </headerFooter>
  <rowBreaks count="1" manualBreakCount="1">
    <brk id="65" max="7" man="1"/>
  </rowBreaks>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L1325"/>
  <sheetViews>
    <sheetView zoomScaleNormal="100" workbookViewId="0"/>
  </sheetViews>
  <sheetFormatPr baseColWidth="10" defaultColWidth="11.42578125" defaultRowHeight="16.5"/>
  <cols>
    <col min="1" max="1" width="50.42578125" style="1480" customWidth="1"/>
    <col min="2" max="2" width="8.42578125" style="1480" customWidth="1"/>
    <col min="3" max="3" width="5.42578125" style="1436" customWidth="1"/>
    <col min="4" max="4" width="9.42578125" style="1437" customWidth="1"/>
    <col min="5" max="5" width="7.42578125" style="1437" customWidth="1"/>
    <col min="6" max="6" width="15.5703125" style="1437" customWidth="1"/>
    <col min="7" max="7" width="19.42578125" style="1437" customWidth="1"/>
    <col min="8" max="8" width="19.42578125" style="1438" customWidth="1"/>
    <col min="9" max="16384" width="11.42578125" style="1436"/>
  </cols>
  <sheetData>
    <row r="1" spans="1:8" s="1439" customFormat="1">
      <c r="A1" s="1745" t="s">
        <v>520</v>
      </c>
      <c r="B1" s="1670"/>
      <c r="C1" s="1671"/>
      <c r="D1" s="1671"/>
      <c r="E1" s="1671"/>
      <c r="F1" s="1671"/>
      <c r="G1" s="1671"/>
      <c r="H1" s="1671"/>
    </row>
    <row r="2" spans="1:8">
      <c r="A2" s="1865" t="s">
        <v>453</v>
      </c>
      <c r="B2" s="1865"/>
      <c r="C2" s="1864"/>
      <c r="D2" s="1863"/>
      <c r="E2" s="1865"/>
      <c r="F2" s="1862"/>
      <c r="G2" s="1866"/>
      <c r="H2" s="1867"/>
    </row>
    <row r="3" spans="1:8" ht="49.5">
      <c r="A3" s="1880" t="s">
        <v>72</v>
      </c>
      <c r="B3" s="1880" t="s">
        <v>475</v>
      </c>
      <c r="C3" s="1881" t="s">
        <v>120</v>
      </c>
      <c r="D3" s="1882" t="s">
        <v>94</v>
      </c>
      <c r="E3" s="1883" t="s">
        <v>457</v>
      </c>
      <c r="F3" s="1884" t="s">
        <v>458</v>
      </c>
      <c r="G3" s="1885" t="s">
        <v>496</v>
      </c>
      <c r="H3" s="1886" t="s">
        <v>497</v>
      </c>
    </row>
    <row r="4" spans="1:8" s="1404" customFormat="1">
      <c r="A4" s="1488" t="s">
        <v>185</v>
      </c>
      <c r="B4" s="1654"/>
      <c r="C4" s="1444">
        <v>2002</v>
      </c>
      <c r="D4" s="1441">
        <v>46</v>
      </c>
      <c r="E4" s="1442">
        <v>0</v>
      </c>
      <c r="F4" s="1443">
        <v>22</v>
      </c>
      <c r="G4" s="1442">
        <v>14</v>
      </c>
      <c r="H4" s="1442">
        <v>0</v>
      </c>
    </row>
    <row r="5" spans="1:8" s="1404" customFormat="1">
      <c r="A5" s="1687" t="s">
        <v>185</v>
      </c>
      <c r="B5" s="1652"/>
      <c r="C5" s="1444">
        <v>2003</v>
      </c>
      <c r="D5" s="1441">
        <v>52</v>
      </c>
      <c r="E5" s="1442">
        <v>3</v>
      </c>
      <c r="F5" s="1443">
        <v>24</v>
      </c>
      <c r="G5" s="1442">
        <v>13</v>
      </c>
      <c r="H5" s="1442">
        <v>0</v>
      </c>
    </row>
    <row r="6" spans="1:8" s="1404" customFormat="1">
      <c r="A6" s="1687" t="s">
        <v>185</v>
      </c>
      <c r="B6" s="1652"/>
      <c r="C6" s="1444">
        <v>2004</v>
      </c>
      <c r="D6" s="1441">
        <v>52</v>
      </c>
      <c r="E6" s="1442">
        <v>3</v>
      </c>
      <c r="F6" s="1443">
        <v>29</v>
      </c>
      <c r="G6" s="1442">
        <v>18</v>
      </c>
      <c r="H6" s="1442">
        <v>11</v>
      </c>
    </row>
    <row r="7" spans="1:8" s="1404" customFormat="1">
      <c r="A7" s="1687" t="s">
        <v>185</v>
      </c>
      <c r="B7" s="1652"/>
      <c r="C7" s="1444">
        <v>2005</v>
      </c>
      <c r="D7" s="1441">
        <v>47</v>
      </c>
      <c r="E7" s="1442">
        <v>3</v>
      </c>
      <c r="F7" s="1443">
        <v>22</v>
      </c>
      <c r="G7" s="1442">
        <v>11</v>
      </c>
      <c r="H7" s="1442">
        <v>4</v>
      </c>
    </row>
    <row r="8" spans="1:8" s="1404" customFormat="1">
      <c r="A8" s="1687" t="s">
        <v>185</v>
      </c>
      <c r="B8" s="1652"/>
      <c r="C8" s="1444">
        <v>2006</v>
      </c>
      <c r="D8" s="1441">
        <v>54</v>
      </c>
      <c r="E8" s="1442">
        <v>3</v>
      </c>
      <c r="F8" s="1443">
        <v>23</v>
      </c>
      <c r="G8" s="1442">
        <v>24</v>
      </c>
      <c r="H8" s="1442">
        <v>3</v>
      </c>
    </row>
    <row r="9" spans="1:8" s="1404" customFormat="1">
      <c r="A9" s="1687" t="s">
        <v>185</v>
      </c>
      <c r="B9" s="1652"/>
      <c r="C9" s="1444">
        <v>2007</v>
      </c>
      <c r="D9" s="1441">
        <v>60</v>
      </c>
      <c r="E9" s="1442">
        <v>0</v>
      </c>
      <c r="F9" s="1443">
        <v>17</v>
      </c>
      <c r="G9" s="1445" t="s">
        <v>195</v>
      </c>
      <c r="H9" s="1445" t="s">
        <v>195</v>
      </c>
    </row>
    <row r="10" spans="1:8" s="1404" customFormat="1">
      <c r="A10" s="1687" t="s">
        <v>185</v>
      </c>
      <c r="B10" s="1661"/>
      <c r="C10" s="1460">
        <v>2008</v>
      </c>
      <c r="D10" s="1441">
        <v>44</v>
      </c>
      <c r="E10" s="1442">
        <v>3</v>
      </c>
      <c r="F10" s="1443">
        <v>23</v>
      </c>
      <c r="G10" s="1442">
        <v>0</v>
      </c>
      <c r="H10" s="1445" t="s">
        <v>195</v>
      </c>
    </row>
    <row r="11" spans="1:8" s="1404" customFormat="1">
      <c r="A11" s="1687" t="s">
        <v>185</v>
      </c>
      <c r="B11" s="1661"/>
      <c r="C11" s="1460">
        <v>2009</v>
      </c>
      <c r="D11" s="1441">
        <v>47</v>
      </c>
      <c r="E11" s="1442">
        <v>3</v>
      </c>
      <c r="F11" s="1443">
        <v>21</v>
      </c>
      <c r="G11" s="1442">
        <v>0</v>
      </c>
      <c r="H11" s="1442">
        <v>13</v>
      </c>
    </row>
    <row r="12" spans="1:8" s="1404" customFormat="1">
      <c r="A12" s="1687" t="s">
        <v>185</v>
      </c>
      <c r="B12" s="1661"/>
      <c r="C12" s="1460">
        <v>2010</v>
      </c>
      <c r="D12" s="1441">
        <v>48</v>
      </c>
      <c r="E12" s="1442">
        <v>3</v>
      </c>
      <c r="F12" s="1443">
        <v>30</v>
      </c>
      <c r="G12" s="1442">
        <v>18</v>
      </c>
      <c r="H12" s="1442">
        <v>9</v>
      </c>
    </row>
    <row r="13" spans="1:8" s="1404" customFormat="1">
      <c r="A13" s="1687" t="s">
        <v>185</v>
      </c>
      <c r="B13" s="1661"/>
      <c r="C13" s="1460">
        <v>2011</v>
      </c>
      <c r="D13" s="1441">
        <v>48</v>
      </c>
      <c r="E13" s="1442">
        <v>3</v>
      </c>
      <c r="F13" s="1443">
        <v>18</v>
      </c>
      <c r="G13" s="1442">
        <v>12</v>
      </c>
      <c r="H13" s="1442">
        <v>0</v>
      </c>
    </row>
    <row r="14" spans="1:8" s="1404" customFormat="1">
      <c r="A14" s="1687" t="s">
        <v>185</v>
      </c>
      <c r="B14" s="1661"/>
      <c r="C14" s="1460">
        <v>2012</v>
      </c>
      <c r="D14" s="1441">
        <v>42</v>
      </c>
      <c r="E14" s="1442">
        <v>6</v>
      </c>
      <c r="F14" s="1443">
        <v>21</v>
      </c>
      <c r="G14" s="1442">
        <v>24</v>
      </c>
      <c r="H14" s="1442">
        <v>15</v>
      </c>
    </row>
    <row r="15" spans="1:8" s="1404" customFormat="1">
      <c r="A15" s="1687" t="s">
        <v>185</v>
      </c>
      <c r="B15" s="1661"/>
      <c r="C15" s="1460">
        <v>2013</v>
      </c>
      <c r="D15" s="1441">
        <v>66</v>
      </c>
      <c r="E15" s="1442">
        <v>3</v>
      </c>
      <c r="F15" s="1443">
        <v>21</v>
      </c>
      <c r="G15" s="1442">
        <v>9</v>
      </c>
      <c r="H15" s="1442">
        <v>9</v>
      </c>
    </row>
    <row r="16" spans="1:8" s="1404" customFormat="1">
      <c r="A16" s="1687" t="s">
        <v>185</v>
      </c>
      <c r="B16" s="1661"/>
      <c r="C16" s="1460">
        <v>2014</v>
      </c>
      <c r="D16" s="1441">
        <v>63</v>
      </c>
      <c r="E16" s="1461">
        <v>0</v>
      </c>
      <c r="F16" s="1443">
        <v>39</v>
      </c>
      <c r="G16" s="1442">
        <v>27</v>
      </c>
      <c r="H16" s="1442">
        <v>18</v>
      </c>
    </row>
    <row r="17" spans="1:8" s="1404" customFormat="1">
      <c r="A17" s="1687" t="s">
        <v>185</v>
      </c>
      <c r="B17" s="1661"/>
      <c r="C17" s="1460">
        <v>2015</v>
      </c>
      <c r="D17" s="1441">
        <v>66</v>
      </c>
      <c r="E17" s="1461">
        <v>0</v>
      </c>
      <c r="F17" s="1443">
        <v>30</v>
      </c>
      <c r="G17" s="1442">
        <v>15</v>
      </c>
      <c r="H17" s="1442">
        <v>0</v>
      </c>
    </row>
    <row r="18" spans="1:8" s="1404" customFormat="1">
      <c r="A18" s="1687" t="s">
        <v>185</v>
      </c>
      <c r="B18" s="1661"/>
      <c r="C18" s="1460">
        <v>2016</v>
      </c>
      <c r="D18" s="1441">
        <v>66</v>
      </c>
      <c r="E18" s="1461">
        <v>0</v>
      </c>
      <c r="F18" s="1443">
        <v>39</v>
      </c>
      <c r="G18" s="1442">
        <v>27</v>
      </c>
      <c r="H18" s="1442">
        <v>0</v>
      </c>
    </row>
    <row r="19" spans="1:8" s="1404" customFormat="1">
      <c r="A19" s="1687" t="s">
        <v>185</v>
      </c>
      <c r="B19" s="1661"/>
      <c r="C19" s="1460">
        <v>2017</v>
      </c>
      <c r="D19" s="1441">
        <v>51</v>
      </c>
      <c r="E19" s="1461">
        <v>3</v>
      </c>
      <c r="F19" s="1443">
        <v>24</v>
      </c>
      <c r="G19" s="1442">
        <v>18</v>
      </c>
      <c r="H19" s="1442">
        <v>3</v>
      </c>
    </row>
    <row r="20" spans="1:8" s="1404" customFormat="1">
      <c r="A20" s="1687" t="s">
        <v>185</v>
      </c>
      <c r="B20" s="1661"/>
      <c r="C20" s="1460">
        <v>2018</v>
      </c>
      <c r="D20" s="1441">
        <v>42</v>
      </c>
      <c r="E20" s="1461">
        <v>3</v>
      </c>
      <c r="F20" s="1443">
        <v>30</v>
      </c>
      <c r="G20" s="1442">
        <v>27</v>
      </c>
      <c r="H20" s="1442">
        <v>0</v>
      </c>
    </row>
    <row r="21" spans="1:8" s="1404" customFormat="1">
      <c r="A21" s="1687" t="s">
        <v>185</v>
      </c>
      <c r="B21" s="1661"/>
      <c r="C21" s="1460">
        <v>2019</v>
      </c>
      <c r="D21" s="1441">
        <v>51</v>
      </c>
      <c r="E21" s="1461">
        <v>0</v>
      </c>
      <c r="F21" s="1443">
        <v>27</v>
      </c>
      <c r="G21" s="1442">
        <v>6</v>
      </c>
      <c r="H21" s="1442">
        <v>12</v>
      </c>
    </row>
    <row r="22" spans="1:8" s="1404" customFormat="1">
      <c r="A22" s="1687" t="s">
        <v>185</v>
      </c>
      <c r="B22" s="1661"/>
      <c r="C22" s="1460">
        <v>2020</v>
      </c>
      <c r="D22" s="1441">
        <v>66</v>
      </c>
      <c r="E22" s="1461">
        <v>6</v>
      </c>
      <c r="F22" s="1443">
        <v>48</v>
      </c>
      <c r="G22" s="1442">
        <v>12</v>
      </c>
      <c r="H22" s="1442">
        <v>3</v>
      </c>
    </row>
    <row r="23" spans="1:8" s="1404" customFormat="1">
      <c r="A23" s="1687"/>
      <c r="B23" s="1661"/>
      <c r="C23" s="1768">
        <v>2021</v>
      </c>
      <c r="D23" s="1441">
        <v>63</v>
      </c>
      <c r="E23" s="1461">
        <v>3</v>
      </c>
      <c r="F23" s="1443">
        <v>30</v>
      </c>
      <c r="G23" s="1442">
        <v>12</v>
      </c>
      <c r="H23" s="1442">
        <v>0</v>
      </c>
    </row>
    <row r="24" spans="1:8" s="1404" customFormat="1">
      <c r="A24" s="1687"/>
      <c r="B24" s="1661"/>
      <c r="C24" s="1768">
        <v>2022</v>
      </c>
      <c r="D24" s="1441">
        <v>48</v>
      </c>
      <c r="E24" s="1461">
        <v>3</v>
      </c>
      <c r="F24" s="1443">
        <v>36</v>
      </c>
      <c r="G24" s="1442">
        <v>33</v>
      </c>
      <c r="H24" s="1442">
        <v>9</v>
      </c>
    </row>
    <row r="25" spans="1:8" s="1404" customFormat="1">
      <c r="A25" s="1687"/>
      <c r="B25" s="1661"/>
      <c r="C25" s="1768">
        <v>2023</v>
      </c>
      <c r="D25" s="1441">
        <v>57</v>
      </c>
      <c r="E25" s="1461">
        <v>6</v>
      </c>
      <c r="F25" s="1443">
        <v>36</v>
      </c>
      <c r="G25" s="1442">
        <v>15</v>
      </c>
      <c r="H25" s="1442">
        <v>0</v>
      </c>
    </row>
    <row r="26" spans="1:8" s="1404" customFormat="1">
      <c r="A26" s="1689" t="s">
        <v>185</v>
      </c>
      <c r="B26" s="1662"/>
      <c r="C26" s="1482">
        <v>2024</v>
      </c>
      <c r="D26" s="1447">
        <v>60</v>
      </c>
      <c r="E26" s="1483">
        <v>9</v>
      </c>
      <c r="F26" s="1449">
        <v>45</v>
      </c>
      <c r="G26" s="1448">
        <v>24</v>
      </c>
      <c r="H26" s="1448">
        <v>15</v>
      </c>
    </row>
    <row r="27" spans="1:8" s="1404" customFormat="1">
      <c r="A27" s="1488" t="s">
        <v>486</v>
      </c>
      <c r="B27" s="1668">
        <v>2</v>
      </c>
      <c r="C27" s="1444">
        <v>2002</v>
      </c>
      <c r="D27" s="1441">
        <v>1842</v>
      </c>
      <c r="E27" s="1442">
        <v>112</v>
      </c>
      <c r="F27" s="1443">
        <v>640</v>
      </c>
      <c r="G27" s="1442">
        <v>611</v>
      </c>
      <c r="H27" s="1442">
        <v>60</v>
      </c>
    </row>
    <row r="28" spans="1:8" s="1404" customFormat="1">
      <c r="A28" s="1687" t="s">
        <v>486</v>
      </c>
      <c r="B28" s="1654"/>
      <c r="C28" s="1444">
        <v>2003</v>
      </c>
      <c r="D28" s="1441">
        <v>1679</v>
      </c>
      <c r="E28" s="1442">
        <v>77</v>
      </c>
      <c r="F28" s="1443">
        <v>618</v>
      </c>
      <c r="G28" s="1442">
        <v>561</v>
      </c>
      <c r="H28" s="1442">
        <v>16</v>
      </c>
    </row>
    <row r="29" spans="1:8" s="1404" customFormat="1">
      <c r="A29" s="1687" t="s">
        <v>486</v>
      </c>
      <c r="B29" s="1652"/>
      <c r="C29" s="1444">
        <v>2004</v>
      </c>
      <c r="D29" s="1441">
        <v>1912</v>
      </c>
      <c r="E29" s="1442">
        <v>95</v>
      </c>
      <c r="F29" s="1443">
        <v>641</v>
      </c>
      <c r="G29" s="1442">
        <v>605</v>
      </c>
      <c r="H29" s="1442">
        <v>20</v>
      </c>
    </row>
    <row r="30" spans="1:8" s="1404" customFormat="1">
      <c r="A30" s="1687" t="s">
        <v>486</v>
      </c>
      <c r="B30" s="1652"/>
      <c r="C30" s="1444">
        <v>2005</v>
      </c>
      <c r="D30" s="1441">
        <v>1911</v>
      </c>
      <c r="E30" s="1442">
        <v>87</v>
      </c>
      <c r="F30" s="1443">
        <v>675</v>
      </c>
      <c r="G30" s="1442">
        <v>639</v>
      </c>
      <c r="H30" s="1442">
        <v>24</v>
      </c>
    </row>
    <row r="31" spans="1:8" s="1404" customFormat="1">
      <c r="A31" s="1687" t="s">
        <v>486</v>
      </c>
      <c r="B31" s="1652"/>
      <c r="C31" s="1444">
        <v>2006</v>
      </c>
      <c r="D31" s="1441">
        <v>2184</v>
      </c>
      <c r="E31" s="1442">
        <v>111</v>
      </c>
      <c r="F31" s="1443">
        <v>664</v>
      </c>
      <c r="G31" s="1442">
        <v>641</v>
      </c>
      <c r="H31" s="1442">
        <v>72</v>
      </c>
    </row>
    <row r="32" spans="1:8" s="1404" customFormat="1">
      <c r="A32" s="1687" t="s">
        <v>486</v>
      </c>
      <c r="B32" s="1652"/>
      <c r="C32" s="1444">
        <v>2007</v>
      </c>
      <c r="D32" s="1441">
        <v>1951</v>
      </c>
      <c r="E32" s="1442">
        <v>91</v>
      </c>
      <c r="F32" s="1443">
        <v>651</v>
      </c>
      <c r="G32" s="1445" t="s">
        <v>195</v>
      </c>
      <c r="H32" s="1445" t="s">
        <v>195</v>
      </c>
    </row>
    <row r="33" spans="1:8" s="1404" customFormat="1">
      <c r="A33" s="1687" t="s">
        <v>486</v>
      </c>
      <c r="B33" s="1652"/>
      <c r="C33" s="1444">
        <v>2008</v>
      </c>
      <c r="D33" s="1441">
        <v>1912</v>
      </c>
      <c r="E33" s="1442">
        <v>90</v>
      </c>
      <c r="F33" s="1443">
        <v>644</v>
      </c>
      <c r="G33" s="1442">
        <v>549</v>
      </c>
      <c r="H33" s="1445" t="s">
        <v>195</v>
      </c>
    </row>
    <row r="34" spans="1:8" s="1404" customFormat="1">
      <c r="A34" s="1687" t="s">
        <v>486</v>
      </c>
      <c r="B34" s="1652"/>
      <c r="C34" s="1444">
        <v>2009</v>
      </c>
      <c r="D34" s="1441">
        <v>1911</v>
      </c>
      <c r="E34" s="1442">
        <v>93</v>
      </c>
      <c r="F34" s="1443">
        <v>657</v>
      </c>
      <c r="G34" s="1442">
        <v>381</v>
      </c>
      <c r="H34" s="1442">
        <v>15</v>
      </c>
    </row>
    <row r="35" spans="1:8" s="1404" customFormat="1">
      <c r="A35" s="1687" t="s">
        <v>486</v>
      </c>
      <c r="B35" s="1652"/>
      <c r="C35" s="1444">
        <v>2010</v>
      </c>
      <c r="D35" s="1441">
        <v>1809</v>
      </c>
      <c r="E35" s="1442">
        <v>87</v>
      </c>
      <c r="F35" s="1443">
        <v>621</v>
      </c>
      <c r="G35" s="1442">
        <v>600</v>
      </c>
      <c r="H35" s="1442">
        <v>72</v>
      </c>
    </row>
    <row r="36" spans="1:8" s="1404" customFormat="1">
      <c r="A36" s="1687" t="s">
        <v>486</v>
      </c>
      <c r="B36" s="1652"/>
      <c r="C36" s="1444">
        <v>2011</v>
      </c>
      <c r="D36" s="1441">
        <v>1779</v>
      </c>
      <c r="E36" s="1442">
        <v>81</v>
      </c>
      <c r="F36" s="1443">
        <v>603</v>
      </c>
      <c r="G36" s="1442">
        <v>621</v>
      </c>
      <c r="H36" s="1442">
        <v>27</v>
      </c>
    </row>
    <row r="37" spans="1:8" s="1404" customFormat="1">
      <c r="A37" s="1687" t="s">
        <v>486</v>
      </c>
      <c r="B37" s="1652"/>
      <c r="C37" s="1444">
        <v>2012</v>
      </c>
      <c r="D37" s="1441">
        <v>1755</v>
      </c>
      <c r="E37" s="1442">
        <v>78</v>
      </c>
      <c r="F37" s="1443">
        <v>612</v>
      </c>
      <c r="G37" s="1442">
        <v>582</v>
      </c>
      <c r="H37" s="1442">
        <v>24</v>
      </c>
    </row>
    <row r="38" spans="1:8" s="1404" customFormat="1">
      <c r="A38" s="1687" t="s">
        <v>486</v>
      </c>
      <c r="B38" s="1652"/>
      <c r="C38" s="1444">
        <v>2013</v>
      </c>
      <c r="D38" s="1441">
        <v>1731</v>
      </c>
      <c r="E38" s="1442">
        <v>96</v>
      </c>
      <c r="F38" s="1443">
        <v>615</v>
      </c>
      <c r="G38" s="1442">
        <v>576</v>
      </c>
      <c r="H38" s="1442">
        <v>63</v>
      </c>
    </row>
    <row r="39" spans="1:8" s="1404" customFormat="1">
      <c r="A39" s="1687" t="s">
        <v>486</v>
      </c>
      <c r="B39" s="1652"/>
      <c r="C39" s="1444">
        <v>2014</v>
      </c>
      <c r="D39" s="1441">
        <v>1677</v>
      </c>
      <c r="E39" s="1442">
        <v>102</v>
      </c>
      <c r="F39" s="1443">
        <v>594</v>
      </c>
      <c r="G39" s="1442">
        <v>573</v>
      </c>
      <c r="H39" s="1442">
        <v>75</v>
      </c>
    </row>
    <row r="40" spans="1:8" s="1404" customFormat="1">
      <c r="A40" s="1687" t="s">
        <v>486</v>
      </c>
      <c r="B40" s="1652"/>
      <c r="C40" s="1444">
        <v>2015</v>
      </c>
      <c r="D40" s="1441">
        <v>1656</v>
      </c>
      <c r="E40" s="1442">
        <v>111</v>
      </c>
      <c r="F40" s="1443">
        <v>582</v>
      </c>
      <c r="G40" s="1442">
        <v>534</v>
      </c>
      <c r="H40" s="1442">
        <v>60</v>
      </c>
    </row>
    <row r="41" spans="1:8" s="1404" customFormat="1">
      <c r="A41" s="1687" t="s">
        <v>486</v>
      </c>
      <c r="B41" s="1652"/>
      <c r="C41" s="1444">
        <v>2016</v>
      </c>
      <c r="D41" s="1441">
        <v>1656</v>
      </c>
      <c r="E41" s="1442">
        <v>120</v>
      </c>
      <c r="F41" s="1443">
        <v>627</v>
      </c>
      <c r="G41" s="1442">
        <v>567</v>
      </c>
      <c r="H41" s="1442">
        <v>48</v>
      </c>
    </row>
    <row r="42" spans="1:8" s="1404" customFormat="1">
      <c r="A42" s="1687" t="s">
        <v>486</v>
      </c>
      <c r="B42" s="1652"/>
      <c r="C42" s="1444">
        <v>2017</v>
      </c>
      <c r="D42" s="1441">
        <v>1704</v>
      </c>
      <c r="E42" s="1442">
        <v>132</v>
      </c>
      <c r="F42" s="1443">
        <v>642</v>
      </c>
      <c r="G42" s="1442">
        <v>540</v>
      </c>
      <c r="H42" s="1442">
        <v>51</v>
      </c>
    </row>
    <row r="43" spans="1:8" s="1404" customFormat="1">
      <c r="A43" s="1687" t="s">
        <v>486</v>
      </c>
      <c r="B43" s="1652"/>
      <c r="C43" s="1444">
        <v>2018</v>
      </c>
      <c r="D43" s="1441">
        <v>1710</v>
      </c>
      <c r="E43" s="1442">
        <v>135</v>
      </c>
      <c r="F43" s="1443">
        <v>633</v>
      </c>
      <c r="G43" s="1442">
        <f>552</f>
        <v>552</v>
      </c>
      <c r="H43" s="1442">
        <v>60</v>
      </c>
    </row>
    <row r="44" spans="1:8" s="1404" customFormat="1">
      <c r="A44" s="1687" t="s">
        <v>486</v>
      </c>
      <c r="B44" s="1652"/>
      <c r="C44" s="1444">
        <v>2019</v>
      </c>
      <c r="D44" s="1441">
        <v>1743</v>
      </c>
      <c r="E44" s="1442">
        <v>141</v>
      </c>
      <c r="F44" s="1443">
        <v>663</v>
      </c>
      <c r="G44" s="1442">
        <v>579</v>
      </c>
      <c r="H44" s="1442">
        <v>78</v>
      </c>
    </row>
    <row r="45" spans="1:8" s="1404" customFormat="1">
      <c r="A45" s="1687" t="s">
        <v>486</v>
      </c>
      <c r="B45" s="1652"/>
      <c r="C45" s="1444">
        <v>2020</v>
      </c>
      <c r="D45" s="1441">
        <v>1845</v>
      </c>
      <c r="E45" s="1442">
        <v>156</v>
      </c>
      <c r="F45" s="1443">
        <v>696</v>
      </c>
      <c r="G45" s="1442">
        <v>567</v>
      </c>
      <c r="H45" s="1442">
        <v>30</v>
      </c>
    </row>
    <row r="46" spans="1:8" s="1404" customFormat="1">
      <c r="A46" s="1687"/>
      <c r="B46" s="1652"/>
      <c r="C46" s="1472">
        <v>2021</v>
      </c>
      <c r="D46" s="1441">
        <v>1917</v>
      </c>
      <c r="E46" s="1442">
        <v>168</v>
      </c>
      <c r="F46" s="1443">
        <v>729</v>
      </c>
      <c r="G46" s="1442">
        <v>570</v>
      </c>
      <c r="H46" s="1442">
        <f>15+84</f>
        <v>99</v>
      </c>
    </row>
    <row r="47" spans="1:8" s="1404" customFormat="1">
      <c r="A47" s="1687"/>
      <c r="B47" s="1652"/>
      <c r="C47" s="1472">
        <v>2022</v>
      </c>
      <c r="D47" s="1441">
        <v>2004</v>
      </c>
      <c r="E47" s="1442">
        <v>183</v>
      </c>
      <c r="F47" s="1443">
        <v>759</v>
      </c>
      <c r="G47" s="1442">
        <v>606</v>
      </c>
      <c r="H47" s="1442">
        <v>54</v>
      </c>
    </row>
    <row r="48" spans="1:8" s="1404" customFormat="1">
      <c r="A48" s="1687"/>
      <c r="B48" s="1652"/>
      <c r="C48" s="1472">
        <v>2023</v>
      </c>
      <c r="D48" s="1441">
        <v>2091</v>
      </c>
      <c r="E48" s="1442">
        <v>195</v>
      </c>
      <c r="F48" s="1443">
        <v>798</v>
      </c>
      <c r="G48" s="1442">
        <v>633</v>
      </c>
      <c r="H48" s="1442">
        <v>111</v>
      </c>
    </row>
    <row r="49" spans="1:8" s="1404" customFormat="1">
      <c r="A49" s="1689" t="s">
        <v>486</v>
      </c>
      <c r="B49" s="1655"/>
      <c r="C49" s="1481">
        <v>2024</v>
      </c>
      <c r="D49" s="1447">
        <v>2205</v>
      </c>
      <c r="E49" s="1448">
        <v>225</v>
      </c>
      <c r="F49" s="1449">
        <v>834</v>
      </c>
      <c r="G49" s="1448">
        <v>648</v>
      </c>
      <c r="H49" s="1448">
        <v>42</v>
      </c>
    </row>
    <row r="50" spans="1:8" s="1404" customFormat="1" ht="16.5" customHeight="1">
      <c r="A50" s="1489" t="s">
        <v>537</v>
      </c>
      <c r="B50" s="1657"/>
      <c r="C50" s="1444">
        <v>2008</v>
      </c>
      <c r="D50" s="1441">
        <v>30</v>
      </c>
      <c r="E50" s="1442">
        <v>3</v>
      </c>
      <c r="F50" s="1443">
        <v>14</v>
      </c>
      <c r="G50" s="1445" t="s">
        <v>195</v>
      </c>
      <c r="H50" s="1442">
        <v>0</v>
      </c>
    </row>
    <row r="51" spans="1:8" s="1404" customFormat="1" ht="16.5" customHeight="1">
      <c r="A51" s="1690" t="s">
        <v>454</v>
      </c>
      <c r="B51" s="1658"/>
      <c r="C51" s="1444">
        <v>2009</v>
      </c>
      <c r="D51" s="1441">
        <v>32</v>
      </c>
      <c r="E51" s="1442">
        <v>3</v>
      </c>
      <c r="F51" s="1443">
        <v>13</v>
      </c>
      <c r="G51" s="1445" t="s">
        <v>195</v>
      </c>
      <c r="H51" s="1442">
        <v>0</v>
      </c>
    </row>
    <row r="52" spans="1:8" s="1404" customFormat="1" ht="16.5" customHeight="1">
      <c r="A52" s="1690" t="s">
        <v>454</v>
      </c>
      <c r="B52" s="1658"/>
      <c r="C52" s="1444">
        <v>2010</v>
      </c>
      <c r="D52" s="1441">
        <v>30</v>
      </c>
      <c r="E52" s="1442">
        <v>3</v>
      </c>
      <c r="F52" s="1443">
        <v>6</v>
      </c>
      <c r="G52" s="1442">
        <v>6</v>
      </c>
      <c r="H52" s="1442">
        <v>0</v>
      </c>
    </row>
    <row r="53" spans="1:8" s="1404" customFormat="1" ht="16.5" customHeight="1">
      <c r="A53" s="1690" t="s">
        <v>454</v>
      </c>
      <c r="B53" s="1652"/>
      <c r="C53" s="1444">
        <v>2011</v>
      </c>
      <c r="D53" s="1441">
        <v>33</v>
      </c>
      <c r="E53" s="1442">
        <v>0</v>
      </c>
      <c r="F53" s="1443">
        <v>15</v>
      </c>
      <c r="G53" s="1442">
        <v>12</v>
      </c>
      <c r="H53" s="1442">
        <v>0</v>
      </c>
    </row>
    <row r="54" spans="1:8" s="1404" customFormat="1" ht="16.5" customHeight="1">
      <c r="A54" s="1690" t="s">
        <v>454</v>
      </c>
      <c r="B54" s="1652"/>
      <c r="C54" s="1444">
        <v>2012</v>
      </c>
      <c r="D54" s="1441">
        <v>24</v>
      </c>
      <c r="E54" s="1442">
        <v>0</v>
      </c>
      <c r="F54" s="1443">
        <v>6</v>
      </c>
      <c r="G54" s="1442">
        <v>12</v>
      </c>
      <c r="H54" s="1442">
        <v>0</v>
      </c>
    </row>
    <row r="55" spans="1:8" s="1404" customFormat="1" ht="16.5" customHeight="1">
      <c r="A55" s="1690" t="s">
        <v>454</v>
      </c>
      <c r="B55" s="1652"/>
      <c r="C55" s="1444">
        <v>2013</v>
      </c>
      <c r="D55" s="1441">
        <v>18</v>
      </c>
      <c r="E55" s="1442">
        <v>0</v>
      </c>
      <c r="F55" s="1443">
        <v>0</v>
      </c>
      <c r="G55" s="1442">
        <v>6</v>
      </c>
      <c r="H55" s="1442">
        <v>0</v>
      </c>
    </row>
    <row r="56" spans="1:8" s="1404" customFormat="1" ht="16.5" customHeight="1">
      <c r="A56" s="1690" t="s">
        <v>454</v>
      </c>
      <c r="B56" s="1652"/>
      <c r="C56" s="1444">
        <v>2014</v>
      </c>
      <c r="D56" s="1441">
        <v>9</v>
      </c>
      <c r="E56" s="1442">
        <v>0</v>
      </c>
      <c r="F56" s="1443">
        <v>3</v>
      </c>
      <c r="G56" s="1442">
        <v>12</v>
      </c>
      <c r="H56" s="1442">
        <v>0</v>
      </c>
    </row>
    <row r="57" spans="1:8" s="1404" customFormat="1" ht="16.5" customHeight="1">
      <c r="A57" s="1690" t="s">
        <v>454</v>
      </c>
      <c r="B57" s="1652"/>
      <c r="C57" s="1444">
        <v>2015</v>
      </c>
      <c r="D57" s="1441">
        <v>12</v>
      </c>
      <c r="E57" s="1442">
        <v>0</v>
      </c>
      <c r="F57" s="1443">
        <v>6</v>
      </c>
      <c r="G57" s="1442">
        <v>6</v>
      </c>
      <c r="H57" s="1442">
        <v>0</v>
      </c>
    </row>
    <row r="58" spans="1:8" s="1404" customFormat="1" ht="16.5" customHeight="1">
      <c r="A58" s="1690" t="s">
        <v>454</v>
      </c>
      <c r="B58" s="1652"/>
      <c r="C58" s="1444">
        <v>2016</v>
      </c>
      <c r="D58" s="1441">
        <v>15</v>
      </c>
      <c r="E58" s="1442">
        <v>0</v>
      </c>
      <c r="F58" s="1443">
        <v>6</v>
      </c>
      <c r="G58" s="1442">
        <v>0</v>
      </c>
      <c r="H58" s="1442">
        <v>0</v>
      </c>
    </row>
    <row r="59" spans="1:8" s="1404" customFormat="1" ht="16.5" customHeight="1">
      <c r="A59" s="1690" t="s">
        <v>454</v>
      </c>
      <c r="B59" s="1652"/>
      <c r="C59" s="1444">
        <v>2017</v>
      </c>
      <c r="D59" s="1441">
        <v>12</v>
      </c>
      <c r="E59" s="1442">
        <v>0</v>
      </c>
      <c r="F59" s="1443">
        <v>3</v>
      </c>
      <c r="G59" s="1442">
        <v>3</v>
      </c>
      <c r="H59" s="1442">
        <v>0</v>
      </c>
    </row>
    <row r="60" spans="1:8" s="1404" customFormat="1" ht="16.5" customHeight="1">
      <c r="A60" s="1690" t="s">
        <v>454</v>
      </c>
      <c r="B60" s="1652"/>
      <c r="C60" s="1444">
        <v>2018</v>
      </c>
      <c r="D60" s="1441">
        <v>6</v>
      </c>
      <c r="E60" s="1442">
        <v>0</v>
      </c>
      <c r="F60" s="1443">
        <v>3</v>
      </c>
      <c r="G60" s="1442">
        <v>6</v>
      </c>
      <c r="H60" s="1442">
        <v>0</v>
      </c>
    </row>
    <row r="61" spans="1:8" s="1404" customFormat="1" ht="16.5" customHeight="1">
      <c r="A61" s="1690" t="s">
        <v>454</v>
      </c>
      <c r="B61" s="1652"/>
      <c r="C61" s="1444">
        <v>2019</v>
      </c>
      <c r="D61" s="1441">
        <v>6</v>
      </c>
      <c r="E61" s="1442">
        <v>0</v>
      </c>
      <c r="F61" s="1443">
        <v>3</v>
      </c>
      <c r="G61" s="1442">
        <v>3</v>
      </c>
      <c r="H61" s="1442">
        <v>0</v>
      </c>
    </row>
    <row r="62" spans="1:8" s="1404" customFormat="1" ht="16.5" customHeight="1">
      <c r="A62" s="1690" t="s">
        <v>454</v>
      </c>
      <c r="B62" s="1652"/>
      <c r="C62" s="1444">
        <v>2020</v>
      </c>
      <c r="D62" s="1441">
        <v>6</v>
      </c>
      <c r="E62" s="1442">
        <v>0</v>
      </c>
      <c r="F62" s="1443">
        <v>3</v>
      </c>
      <c r="G62" s="1442">
        <v>3</v>
      </c>
      <c r="H62" s="1442">
        <v>0</v>
      </c>
    </row>
    <row r="63" spans="1:8" s="1404" customFormat="1" ht="16.5" customHeight="1">
      <c r="A63" s="1690"/>
      <c r="B63" s="1652"/>
      <c r="C63" s="1472">
        <v>2021</v>
      </c>
      <c r="D63" s="1441">
        <v>6</v>
      </c>
      <c r="E63" s="1442">
        <v>0</v>
      </c>
      <c r="F63" s="1443">
        <v>0</v>
      </c>
      <c r="G63" s="1461">
        <v>0</v>
      </c>
      <c r="H63" s="1442">
        <v>0</v>
      </c>
    </row>
    <row r="64" spans="1:8" s="1404" customFormat="1" ht="16.5" customHeight="1">
      <c r="A64" s="1690"/>
      <c r="B64" s="1652"/>
      <c r="C64" s="1472">
        <v>2022</v>
      </c>
      <c r="D64" s="1441">
        <v>9</v>
      </c>
      <c r="E64" s="1442">
        <v>0</v>
      </c>
      <c r="F64" s="1443">
        <v>6</v>
      </c>
      <c r="G64" s="1461">
        <v>3</v>
      </c>
      <c r="H64" s="1442">
        <v>0</v>
      </c>
    </row>
    <row r="65" spans="1:8" s="1404" customFormat="1" ht="16.5" customHeight="1">
      <c r="A65" s="1690"/>
      <c r="B65" s="1652"/>
      <c r="C65" s="1472">
        <v>2023</v>
      </c>
      <c r="D65" s="1441">
        <v>12</v>
      </c>
      <c r="E65" s="1442">
        <v>0</v>
      </c>
      <c r="F65" s="1443">
        <v>6</v>
      </c>
      <c r="G65" s="1461">
        <v>0</v>
      </c>
      <c r="H65" s="1442">
        <v>0</v>
      </c>
    </row>
    <row r="66" spans="1:8" s="1404" customFormat="1" ht="16.5" customHeight="1">
      <c r="A66" s="1785" t="s">
        <v>454</v>
      </c>
      <c r="B66" s="1655"/>
      <c r="C66" s="1481">
        <v>2024</v>
      </c>
      <c r="D66" s="1447">
        <v>9</v>
      </c>
      <c r="E66" s="1938">
        <v>0</v>
      </c>
      <c r="F66" s="1939">
        <v>0</v>
      </c>
      <c r="G66" s="1938">
        <v>0</v>
      </c>
      <c r="H66" s="1939">
        <v>0</v>
      </c>
    </row>
    <row r="67" spans="1:8" s="1404" customFormat="1">
      <c r="A67" s="1488" t="s">
        <v>455</v>
      </c>
      <c r="B67" s="1654"/>
      <c r="C67" s="1444">
        <v>2002</v>
      </c>
      <c r="D67" s="1441">
        <v>765</v>
      </c>
      <c r="E67" s="1442">
        <v>116</v>
      </c>
      <c r="F67" s="1443">
        <v>294</v>
      </c>
      <c r="G67" s="1442">
        <v>213</v>
      </c>
      <c r="H67" s="1442">
        <v>40</v>
      </c>
    </row>
    <row r="68" spans="1:8" s="1404" customFormat="1">
      <c r="A68" s="1687" t="s">
        <v>455</v>
      </c>
      <c r="B68" s="1652"/>
      <c r="C68" s="1444">
        <v>2003</v>
      </c>
      <c r="D68" s="1441">
        <v>856</v>
      </c>
      <c r="E68" s="1442">
        <v>127</v>
      </c>
      <c r="F68" s="1443">
        <v>310</v>
      </c>
      <c r="G68" s="1442">
        <v>204</v>
      </c>
      <c r="H68" s="1442">
        <v>51</v>
      </c>
    </row>
    <row r="69" spans="1:8" s="1404" customFormat="1">
      <c r="A69" s="1687" t="s">
        <v>455</v>
      </c>
      <c r="B69" s="1652"/>
      <c r="C69" s="1444">
        <v>2004</v>
      </c>
      <c r="D69" s="1441">
        <v>838</v>
      </c>
      <c r="E69" s="1442">
        <v>115</v>
      </c>
      <c r="F69" s="1443">
        <v>276</v>
      </c>
      <c r="G69" s="1442">
        <v>238</v>
      </c>
      <c r="H69" s="1442">
        <v>42</v>
      </c>
    </row>
    <row r="70" spans="1:8" s="1404" customFormat="1">
      <c r="A70" s="1687" t="s">
        <v>455</v>
      </c>
      <c r="B70" s="1652"/>
      <c r="C70" s="1444">
        <v>2005</v>
      </c>
      <c r="D70" s="1441">
        <v>856</v>
      </c>
      <c r="E70" s="1442">
        <v>110</v>
      </c>
      <c r="F70" s="1443">
        <v>296</v>
      </c>
      <c r="G70" s="1442">
        <v>264</v>
      </c>
      <c r="H70" s="1442">
        <v>27</v>
      </c>
    </row>
    <row r="71" spans="1:8" s="1404" customFormat="1">
      <c r="A71" s="1687" t="s">
        <v>455</v>
      </c>
      <c r="B71" s="1652"/>
      <c r="C71" s="1444">
        <v>2006</v>
      </c>
      <c r="D71" s="1441">
        <v>845</v>
      </c>
      <c r="E71" s="1442">
        <v>127</v>
      </c>
      <c r="F71" s="1443">
        <v>284</v>
      </c>
      <c r="G71" s="1442">
        <v>270</v>
      </c>
      <c r="H71" s="1442">
        <v>41</v>
      </c>
    </row>
    <row r="72" spans="1:8" s="1404" customFormat="1">
      <c r="A72" s="1687" t="s">
        <v>455</v>
      </c>
      <c r="B72" s="1652"/>
      <c r="C72" s="1444">
        <v>2007</v>
      </c>
      <c r="D72" s="1441">
        <v>785</v>
      </c>
      <c r="E72" s="1442">
        <v>145</v>
      </c>
      <c r="F72" s="1443">
        <v>263</v>
      </c>
      <c r="G72" s="1445" t="s">
        <v>195</v>
      </c>
      <c r="H72" s="1445" t="s">
        <v>195</v>
      </c>
    </row>
    <row r="73" spans="1:8" s="1404" customFormat="1">
      <c r="A73" s="1687" t="s">
        <v>455</v>
      </c>
      <c r="B73" s="1661"/>
      <c r="C73" s="1460">
        <v>2008</v>
      </c>
      <c r="D73" s="1441">
        <v>862</v>
      </c>
      <c r="E73" s="1442">
        <v>163</v>
      </c>
      <c r="F73" s="1443">
        <v>279</v>
      </c>
      <c r="G73" s="1442">
        <v>193</v>
      </c>
      <c r="H73" s="1445" t="s">
        <v>195</v>
      </c>
    </row>
    <row r="74" spans="1:8" s="1404" customFormat="1">
      <c r="A74" s="1687" t="s">
        <v>455</v>
      </c>
      <c r="B74" s="1661"/>
      <c r="C74" s="1460">
        <v>2009</v>
      </c>
      <c r="D74" s="1441">
        <v>826</v>
      </c>
      <c r="E74" s="1442">
        <v>154</v>
      </c>
      <c r="F74" s="1443">
        <v>270</v>
      </c>
      <c r="G74" s="1442">
        <v>193</v>
      </c>
      <c r="H74" s="1445" t="s">
        <v>195</v>
      </c>
    </row>
    <row r="75" spans="1:8" s="1404" customFormat="1">
      <c r="A75" s="1687" t="s">
        <v>455</v>
      </c>
      <c r="B75" s="1661"/>
      <c r="C75" s="1460">
        <v>2010</v>
      </c>
      <c r="D75" s="1441">
        <v>516</v>
      </c>
      <c r="E75" s="1442">
        <v>105</v>
      </c>
      <c r="F75" s="1443">
        <v>42</v>
      </c>
      <c r="G75" s="1442">
        <v>255</v>
      </c>
      <c r="H75" s="1442">
        <v>39</v>
      </c>
    </row>
    <row r="76" spans="1:8" s="1404" customFormat="1">
      <c r="A76" s="1687" t="s">
        <v>455</v>
      </c>
      <c r="B76" s="1661"/>
      <c r="C76" s="1460">
        <v>2011</v>
      </c>
      <c r="D76" s="1441">
        <v>240</v>
      </c>
      <c r="E76" s="1442">
        <v>57</v>
      </c>
      <c r="F76" s="1443">
        <v>0</v>
      </c>
      <c r="G76" s="1442">
        <v>195</v>
      </c>
      <c r="H76" s="1442">
        <v>36</v>
      </c>
    </row>
    <row r="77" spans="1:8" s="1404" customFormat="1">
      <c r="A77" s="1687" t="s">
        <v>455</v>
      </c>
      <c r="B77" s="1661"/>
      <c r="C77" s="1460">
        <v>2012</v>
      </c>
      <c r="D77" s="1441">
        <v>18</v>
      </c>
      <c r="E77" s="1442">
        <v>6</v>
      </c>
      <c r="F77" s="1443">
        <v>0</v>
      </c>
      <c r="G77" s="1442">
        <v>180</v>
      </c>
      <c r="H77" s="1442">
        <v>21</v>
      </c>
    </row>
    <row r="78" spans="1:8" s="1404" customFormat="1">
      <c r="A78" s="1687" t="s">
        <v>455</v>
      </c>
      <c r="B78" s="1661"/>
      <c r="C78" s="1460">
        <v>2013</v>
      </c>
      <c r="D78" s="1441">
        <v>18</v>
      </c>
      <c r="E78" s="1442">
        <v>3</v>
      </c>
      <c r="F78" s="1443">
        <v>3</v>
      </c>
      <c r="G78" s="1442">
        <v>18</v>
      </c>
      <c r="H78" s="1442">
        <v>51</v>
      </c>
    </row>
    <row r="79" spans="1:8" s="1404" customFormat="1">
      <c r="A79" s="1687" t="s">
        <v>455</v>
      </c>
      <c r="B79" s="1661"/>
      <c r="C79" s="1460">
        <v>2014</v>
      </c>
      <c r="D79" s="1441">
        <v>12</v>
      </c>
      <c r="E79" s="1442">
        <v>0</v>
      </c>
      <c r="F79" s="1443">
        <v>0</v>
      </c>
      <c r="G79" s="1442">
        <v>3</v>
      </c>
      <c r="H79" s="1442">
        <v>60</v>
      </c>
    </row>
    <row r="80" spans="1:8" s="1404" customFormat="1">
      <c r="A80" s="1687" t="s">
        <v>455</v>
      </c>
      <c r="B80" s="1661"/>
      <c r="C80" s="1460">
        <v>2015</v>
      </c>
      <c r="D80" s="1441">
        <v>9</v>
      </c>
      <c r="E80" s="1442">
        <v>3</v>
      </c>
      <c r="F80" s="1443">
        <v>0</v>
      </c>
      <c r="G80" s="1442">
        <v>9</v>
      </c>
      <c r="H80" s="1442">
        <v>45</v>
      </c>
    </row>
    <row r="81" spans="1:8" s="1404" customFormat="1">
      <c r="A81" s="1687" t="s">
        <v>455</v>
      </c>
      <c r="B81" s="1661"/>
      <c r="C81" s="1460">
        <v>2016</v>
      </c>
      <c r="D81" s="1441">
        <v>15</v>
      </c>
      <c r="E81" s="1442">
        <v>6</v>
      </c>
      <c r="F81" s="1443">
        <v>0</v>
      </c>
      <c r="G81" s="1442">
        <v>3</v>
      </c>
      <c r="H81" s="1442">
        <v>39</v>
      </c>
    </row>
    <row r="82" spans="1:8" s="1404" customFormat="1">
      <c r="A82" s="1687" t="s">
        <v>455</v>
      </c>
      <c r="B82" s="1661"/>
      <c r="C82" s="1460">
        <v>2017</v>
      </c>
      <c r="D82" s="1441">
        <v>0</v>
      </c>
      <c r="E82" s="1442">
        <v>0</v>
      </c>
      <c r="F82" s="1443">
        <v>0</v>
      </c>
      <c r="G82" s="1462">
        <v>0</v>
      </c>
      <c r="H82" s="1462">
        <v>45</v>
      </c>
    </row>
    <row r="83" spans="1:8" s="1404" customFormat="1">
      <c r="A83" s="1687" t="s">
        <v>455</v>
      </c>
      <c r="B83" s="1661"/>
      <c r="C83" s="1460">
        <v>2018</v>
      </c>
      <c r="D83" s="1441">
        <v>0</v>
      </c>
      <c r="E83" s="1442">
        <v>0</v>
      </c>
      <c r="F83" s="1443">
        <v>0</v>
      </c>
      <c r="G83" s="1462">
        <v>0</v>
      </c>
      <c r="H83" s="1462">
        <v>69</v>
      </c>
    </row>
    <row r="84" spans="1:8" s="1404" customFormat="1">
      <c r="A84" s="1687" t="s">
        <v>455</v>
      </c>
      <c r="B84" s="1661"/>
      <c r="C84" s="1460">
        <v>2019</v>
      </c>
      <c r="D84" s="1441">
        <v>0</v>
      </c>
      <c r="E84" s="1442">
        <v>0</v>
      </c>
      <c r="F84" s="1443">
        <v>0</v>
      </c>
      <c r="G84" s="1462">
        <v>0</v>
      </c>
      <c r="H84" s="1442">
        <v>51</v>
      </c>
    </row>
    <row r="85" spans="1:8" s="1404" customFormat="1">
      <c r="A85" s="1687" t="s">
        <v>455</v>
      </c>
      <c r="B85" s="1661"/>
      <c r="C85" s="1460">
        <v>2020</v>
      </c>
      <c r="D85" s="1441">
        <v>0</v>
      </c>
      <c r="E85" s="1442">
        <v>0</v>
      </c>
      <c r="F85" s="1443">
        <v>0</v>
      </c>
      <c r="G85" s="1462">
        <v>0</v>
      </c>
      <c r="H85" s="1442">
        <v>57</v>
      </c>
    </row>
    <row r="86" spans="1:8" s="1404" customFormat="1">
      <c r="A86" s="1687"/>
      <c r="B86" s="1661"/>
      <c r="C86" s="1768">
        <v>2021</v>
      </c>
      <c r="D86" s="1441">
        <v>0</v>
      </c>
      <c r="E86" s="1442">
        <v>0</v>
      </c>
      <c r="F86" s="1443">
        <v>0</v>
      </c>
      <c r="G86" s="1462">
        <v>0</v>
      </c>
      <c r="H86" s="1442">
        <v>72</v>
      </c>
    </row>
    <row r="87" spans="1:8" s="1404" customFormat="1">
      <c r="A87" s="1687"/>
      <c r="B87" s="1661"/>
      <c r="C87" s="1768">
        <v>2022</v>
      </c>
      <c r="D87" s="1441">
        <v>0</v>
      </c>
      <c r="E87" s="1442">
        <v>0</v>
      </c>
      <c r="F87" s="1443">
        <v>0</v>
      </c>
      <c r="G87" s="1462">
        <v>0</v>
      </c>
      <c r="H87" s="1442">
        <v>21</v>
      </c>
    </row>
    <row r="88" spans="1:8" s="1404" customFormat="1">
      <c r="A88" s="1687"/>
      <c r="B88" s="1661"/>
      <c r="C88" s="1768">
        <v>2023</v>
      </c>
      <c r="D88" s="1441">
        <v>0</v>
      </c>
      <c r="E88" s="1442">
        <v>0</v>
      </c>
      <c r="F88" s="1443">
        <v>0</v>
      </c>
      <c r="G88" s="1462">
        <v>0</v>
      </c>
      <c r="H88" s="1442">
        <v>45</v>
      </c>
    </row>
    <row r="89" spans="1:8" s="1404" customFormat="1">
      <c r="A89" s="1689" t="s">
        <v>455</v>
      </c>
      <c r="B89" s="1662"/>
      <c r="C89" s="1482">
        <v>2024</v>
      </c>
      <c r="D89" s="1940">
        <v>0</v>
      </c>
      <c r="E89" s="1815">
        <v>0</v>
      </c>
      <c r="F89" s="1939">
        <v>0</v>
      </c>
      <c r="G89" s="1817">
        <v>0</v>
      </c>
      <c r="H89" s="1448">
        <v>51</v>
      </c>
    </row>
    <row r="90" spans="1:8" s="1404" customFormat="1">
      <c r="A90" s="1490" t="s">
        <v>413</v>
      </c>
      <c r="B90" s="1663"/>
      <c r="C90" s="1460">
        <v>2013</v>
      </c>
      <c r="D90" s="1463">
        <v>15</v>
      </c>
      <c r="E90" s="1415">
        <v>10</v>
      </c>
      <c r="F90" s="1443">
        <v>18</v>
      </c>
      <c r="G90" s="1445">
        <v>0</v>
      </c>
      <c r="H90" s="1445">
        <v>0</v>
      </c>
    </row>
    <row r="91" spans="1:8" s="1404" customFormat="1">
      <c r="A91" s="1688" t="s">
        <v>413</v>
      </c>
      <c r="B91" s="1664"/>
      <c r="C91" s="1460">
        <v>2014</v>
      </c>
      <c r="D91" s="1463">
        <v>48</v>
      </c>
      <c r="E91" s="1415">
        <v>30</v>
      </c>
      <c r="F91" s="1416">
        <v>30</v>
      </c>
      <c r="G91" s="1445">
        <v>0</v>
      </c>
      <c r="H91" s="1445">
        <v>0</v>
      </c>
    </row>
    <row r="92" spans="1:8" s="1404" customFormat="1">
      <c r="A92" s="1688" t="s">
        <v>413</v>
      </c>
      <c r="B92" s="1664"/>
      <c r="C92" s="1460">
        <v>2015</v>
      </c>
      <c r="D92" s="1463">
        <v>81</v>
      </c>
      <c r="E92" s="1415">
        <v>51</v>
      </c>
      <c r="F92" s="1416">
        <v>36</v>
      </c>
      <c r="G92" s="1462">
        <v>3</v>
      </c>
      <c r="H92" s="1462">
        <v>0</v>
      </c>
    </row>
    <row r="93" spans="1:8" s="1404" customFormat="1">
      <c r="A93" s="1688" t="s">
        <v>413</v>
      </c>
      <c r="B93" s="1664"/>
      <c r="C93" s="1460">
        <v>2016</v>
      </c>
      <c r="D93" s="1463">
        <v>93</v>
      </c>
      <c r="E93" s="1415">
        <v>51</v>
      </c>
      <c r="F93" s="1416">
        <v>36</v>
      </c>
      <c r="G93" s="1462">
        <v>21</v>
      </c>
      <c r="H93" s="1462">
        <v>0</v>
      </c>
    </row>
    <row r="94" spans="1:8" s="1404" customFormat="1">
      <c r="A94" s="1688" t="s">
        <v>413</v>
      </c>
      <c r="B94" s="1664"/>
      <c r="C94" s="1460">
        <v>2017</v>
      </c>
      <c r="D94" s="1464">
        <v>105</v>
      </c>
      <c r="E94" s="1465">
        <v>57</v>
      </c>
      <c r="F94" s="1466">
        <v>45</v>
      </c>
      <c r="G94" s="1467">
        <v>27</v>
      </c>
      <c r="H94" s="1462">
        <v>0</v>
      </c>
    </row>
    <row r="95" spans="1:8" s="1404" customFormat="1">
      <c r="A95" s="1688" t="s">
        <v>413</v>
      </c>
      <c r="B95" s="1664"/>
      <c r="C95" s="1460">
        <v>2018</v>
      </c>
      <c r="D95" s="1464">
        <v>108</v>
      </c>
      <c r="E95" s="1465">
        <v>57</v>
      </c>
      <c r="F95" s="1466">
        <v>48</v>
      </c>
      <c r="G95" s="1467">
        <v>30</v>
      </c>
      <c r="H95" s="1462">
        <v>0</v>
      </c>
    </row>
    <row r="96" spans="1:8" s="1404" customFormat="1">
      <c r="A96" s="1688" t="s">
        <v>413</v>
      </c>
      <c r="B96" s="1664"/>
      <c r="C96" s="1460">
        <v>2019</v>
      </c>
      <c r="D96" s="1464">
        <v>120</v>
      </c>
      <c r="E96" s="1465">
        <v>54</v>
      </c>
      <c r="F96" s="1466">
        <v>48</v>
      </c>
      <c r="G96" s="1467">
        <v>27</v>
      </c>
      <c r="H96" s="1462">
        <v>0</v>
      </c>
    </row>
    <row r="97" spans="1:8" s="1404" customFormat="1">
      <c r="A97" s="1688" t="s">
        <v>413</v>
      </c>
      <c r="B97" s="1664"/>
      <c r="C97" s="1460">
        <v>2020</v>
      </c>
      <c r="D97" s="1464">
        <v>132</v>
      </c>
      <c r="E97" s="1465">
        <v>60</v>
      </c>
      <c r="F97" s="1466">
        <v>60</v>
      </c>
      <c r="G97" s="1467">
        <v>42</v>
      </c>
      <c r="H97" s="1462">
        <v>0</v>
      </c>
    </row>
    <row r="98" spans="1:8" s="1404" customFormat="1">
      <c r="A98" s="1688"/>
      <c r="B98" s="1664"/>
      <c r="C98" s="1768">
        <v>2021</v>
      </c>
      <c r="D98" s="1464">
        <v>138</v>
      </c>
      <c r="E98" s="1465">
        <v>57</v>
      </c>
      <c r="F98" s="1466">
        <v>60</v>
      </c>
      <c r="G98" s="1467">
        <v>21</v>
      </c>
      <c r="H98" s="1462">
        <v>0</v>
      </c>
    </row>
    <row r="99" spans="1:8" s="1404" customFormat="1">
      <c r="A99" s="1688"/>
      <c r="B99" s="1664"/>
      <c r="C99" s="1768">
        <v>2022</v>
      </c>
      <c r="D99" s="1464">
        <v>159</v>
      </c>
      <c r="E99" s="1465">
        <v>78</v>
      </c>
      <c r="F99" s="1466">
        <v>60</v>
      </c>
      <c r="G99" s="1467">
        <v>30</v>
      </c>
      <c r="H99" s="1462">
        <v>18</v>
      </c>
    </row>
    <row r="100" spans="1:8" s="1404" customFormat="1">
      <c r="A100" s="1688"/>
      <c r="B100" s="1664"/>
      <c r="C100" s="1768">
        <v>2023</v>
      </c>
      <c r="D100" s="1464">
        <v>156</v>
      </c>
      <c r="E100" s="1465">
        <v>84</v>
      </c>
      <c r="F100" s="1466">
        <v>63</v>
      </c>
      <c r="G100" s="1467">
        <v>48</v>
      </c>
      <c r="H100" s="1462">
        <v>0</v>
      </c>
    </row>
    <row r="101" spans="1:8" s="1404" customFormat="1">
      <c r="A101" s="1691" t="s">
        <v>413</v>
      </c>
      <c r="B101" s="1665"/>
      <c r="C101" s="1482">
        <v>2024</v>
      </c>
      <c r="D101" s="1484">
        <v>162</v>
      </c>
      <c r="E101" s="1485">
        <v>87</v>
      </c>
      <c r="F101" s="1486">
        <v>60</v>
      </c>
      <c r="G101" s="1487">
        <v>45</v>
      </c>
      <c r="H101" s="1817">
        <v>0</v>
      </c>
    </row>
    <row r="102" spans="1:8" s="1404" customFormat="1">
      <c r="A102" s="1488" t="s">
        <v>526</v>
      </c>
      <c r="B102" s="1654"/>
      <c r="C102" s="1444">
        <v>2002</v>
      </c>
      <c r="D102" s="1441">
        <v>34</v>
      </c>
      <c r="E102" s="1442">
        <v>20</v>
      </c>
      <c r="F102" s="1443">
        <v>14</v>
      </c>
      <c r="G102" s="1442">
        <v>13</v>
      </c>
      <c r="H102" s="1442">
        <v>0</v>
      </c>
    </row>
    <row r="103" spans="1:8" s="1404" customFormat="1">
      <c r="A103" s="1692" t="s">
        <v>526</v>
      </c>
      <c r="B103" s="1654"/>
      <c r="C103" s="1444">
        <v>2003</v>
      </c>
      <c r="D103" s="1441">
        <v>33</v>
      </c>
      <c r="E103" s="1442">
        <v>22</v>
      </c>
      <c r="F103" s="1443">
        <v>12</v>
      </c>
      <c r="G103" s="1442">
        <v>4</v>
      </c>
      <c r="H103" s="1442">
        <v>0</v>
      </c>
    </row>
    <row r="104" spans="1:8" s="1404" customFormat="1">
      <c r="A104" s="1692" t="s">
        <v>526</v>
      </c>
      <c r="B104" s="1652"/>
      <c r="C104" s="1444">
        <v>2004</v>
      </c>
      <c r="D104" s="1441">
        <v>34</v>
      </c>
      <c r="E104" s="1442">
        <v>23</v>
      </c>
      <c r="F104" s="1443">
        <v>11</v>
      </c>
      <c r="G104" s="1442">
        <v>10</v>
      </c>
      <c r="H104" s="1442">
        <v>0</v>
      </c>
    </row>
    <row r="105" spans="1:8" s="1404" customFormat="1">
      <c r="A105" s="1692" t="s">
        <v>526</v>
      </c>
      <c r="B105" s="1652"/>
      <c r="C105" s="1444">
        <v>2005</v>
      </c>
      <c r="D105" s="1441">
        <v>26</v>
      </c>
      <c r="E105" s="1442">
        <v>17</v>
      </c>
      <c r="F105" s="1443">
        <v>9</v>
      </c>
      <c r="G105" s="1442">
        <v>8</v>
      </c>
      <c r="H105" s="1442">
        <v>0</v>
      </c>
    </row>
    <row r="106" spans="1:8" s="1404" customFormat="1">
      <c r="A106" s="1692" t="s">
        <v>526</v>
      </c>
      <c r="B106" s="1652"/>
      <c r="C106" s="1444">
        <v>2006</v>
      </c>
      <c r="D106" s="1441">
        <v>28</v>
      </c>
      <c r="E106" s="1442">
        <v>17</v>
      </c>
      <c r="F106" s="1443">
        <v>8</v>
      </c>
      <c r="G106" s="1442">
        <v>11</v>
      </c>
      <c r="H106" s="1442">
        <v>0</v>
      </c>
    </row>
    <row r="107" spans="1:8" s="1404" customFormat="1">
      <c r="A107" s="1692" t="s">
        <v>526</v>
      </c>
      <c r="B107" s="1652"/>
      <c r="C107" s="1444">
        <v>2007</v>
      </c>
      <c r="D107" s="1441">
        <v>25</v>
      </c>
      <c r="E107" s="1442">
        <v>15</v>
      </c>
      <c r="F107" s="1443">
        <v>8</v>
      </c>
      <c r="G107" s="1445" t="s">
        <v>195</v>
      </c>
      <c r="H107" s="1442">
        <v>0</v>
      </c>
    </row>
    <row r="108" spans="1:8" s="1404" customFormat="1">
      <c r="A108" s="1692" t="s">
        <v>526</v>
      </c>
      <c r="B108" s="1440"/>
      <c r="C108" s="1444">
        <v>2008</v>
      </c>
      <c r="D108" s="1441">
        <v>26</v>
      </c>
      <c r="E108" s="1442">
        <v>14</v>
      </c>
      <c r="F108" s="1443">
        <v>10</v>
      </c>
      <c r="G108" s="1442">
        <v>0</v>
      </c>
      <c r="H108" s="1442">
        <v>0</v>
      </c>
    </row>
    <row r="109" spans="1:8" s="1404" customFormat="1">
      <c r="A109" s="1692" t="s">
        <v>526</v>
      </c>
      <c r="B109" s="1440"/>
      <c r="C109" s="1444">
        <v>2009</v>
      </c>
      <c r="D109" s="1441">
        <v>27</v>
      </c>
      <c r="E109" s="1442">
        <v>13</v>
      </c>
      <c r="F109" s="1443">
        <v>9</v>
      </c>
      <c r="G109" s="1442">
        <v>0</v>
      </c>
      <c r="H109" s="1442">
        <v>0</v>
      </c>
    </row>
    <row r="110" spans="1:8" s="1404" customFormat="1">
      <c r="A110" s="1692" t="s">
        <v>526</v>
      </c>
      <c r="B110" s="1440"/>
      <c r="C110" s="1444">
        <v>2010</v>
      </c>
      <c r="D110" s="1441">
        <v>27</v>
      </c>
      <c r="E110" s="1442">
        <v>15</v>
      </c>
      <c r="F110" s="1443">
        <v>9</v>
      </c>
      <c r="G110" s="1442">
        <v>6</v>
      </c>
      <c r="H110" s="1442">
        <v>0</v>
      </c>
    </row>
    <row r="111" spans="1:8" s="1404" customFormat="1">
      <c r="A111" s="1692" t="s">
        <v>526</v>
      </c>
      <c r="B111" s="1440"/>
      <c r="C111" s="1444">
        <v>2011</v>
      </c>
      <c r="D111" s="1441">
        <v>27</v>
      </c>
      <c r="E111" s="1442">
        <v>15</v>
      </c>
      <c r="F111" s="1443">
        <v>12</v>
      </c>
      <c r="G111" s="1442">
        <v>9</v>
      </c>
      <c r="H111" s="1442">
        <v>0</v>
      </c>
    </row>
    <row r="112" spans="1:8" s="1404" customFormat="1">
      <c r="A112" s="1692" t="s">
        <v>526</v>
      </c>
      <c r="B112" s="1440"/>
      <c r="C112" s="1444">
        <v>2012</v>
      </c>
      <c r="D112" s="1441">
        <v>27</v>
      </c>
      <c r="E112" s="1442">
        <v>15</v>
      </c>
      <c r="F112" s="1443">
        <v>12</v>
      </c>
      <c r="G112" s="1442">
        <v>9</v>
      </c>
      <c r="H112" s="1442">
        <v>0</v>
      </c>
    </row>
    <row r="113" spans="1:8" s="1404" customFormat="1">
      <c r="A113" s="1692" t="s">
        <v>526</v>
      </c>
      <c r="B113" s="1440"/>
      <c r="C113" s="1444">
        <v>2013</v>
      </c>
      <c r="D113" s="1441">
        <v>21</v>
      </c>
      <c r="E113" s="1442">
        <v>9</v>
      </c>
      <c r="F113" s="1443">
        <v>3</v>
      </c>
      <c r="G113" s="1442">
        <v>12</v>
      </c>
      <c r="H113" s="1442">
        <v>0</v>
      </c>
    </row>
    <row r="114" spans="1:8" s="1404" customFormat="1">
      <c r="A114" s="1692" t="s">
        <v>526</v>
      </c>
      <c r="B114" s="1440"/>
      <c r="C114" s="1444">
        <v>2014</v>
      </c>
      <c r="D114" s="1441">
        <v>9</v>
      </c>
      <c r="E114" s="1442">
        <v>3</v>
      </c>
      <c r="F114" s="1443">
        <v>0</v>
      </c>
      <c r="G114" s="1442">
        <v>6</v>
      </c>
      <c r="H114" s="1442">
        <v>0</v>
      </c>
    </row>
    <row r="115" spans="1:8" s="1404" customFormat="1">
      <c r="A115" s="1692" t="s">
        <v>526</v>
      </c>
      <c r="B115" s="1440"/>
      <c r="C115" s="1444">
        <v>2015</v>
      </c>
      <c r="D115" s="1468" t="s">
        <v>195</v>
      </c>
      <c r="E115" s="1445" t="s">
        <v>195</v>
      </c>
      <c r="F115" s="1469" t="s">
        <v>195</v>
      </c>
      <c r="G115" s="1442">
        <v>12</v>
      </c>
      <c r="H115" s="1442">
        <v>0</v>
      </c>
    </row>
    <row r="116" spans="1:8" s="1404" customFormat="1">
      <c r="A116" s="1692" t="s">
        <v>526</v>
      </c>
      <c r="B116" s="1440"/>
      <c r="C116" s="1444">
        <v>2016</v>
      </c>
      <c r="D116" s="1468" t="s">
        <v>195</v>
      </c>
      <c r="E116" s="1445" t="s">
        <v>195</v>
      </c>
      <c r="F116" s="1469" t="s">
        <v>195</v>
      </c>
      <c r="G116" s="1445" t="s">
        <v>195</v>
      </c>
      <c r="H116" s="1442">
        <v>0</v>
      </c>
    </row>
    <row r="117" spans="1:8" s="1404" customFormat="1">
      <c r="A117" s="1692" t="s">
        <v>526</v>
      </c>
      <c r="B117" s="1440"/>
      <c r="C117" s="1444">
        <v>2017</v>
      </c>
      <c r="D117" s="1470" t="s">
        <v>195</v>
      </c>
      <c r="E117" s="1462" t="s">
        <v>195</v>
      </c>
      <c r="F117" s="1471" t="s">
        <v>195</v>
      </c>
      <c r="G117" s="1462" t="s">
        <v>195</v>
      </c>
      <c r="H117" s="1442">
        <v>0</v>
      </c>
    </row>
    <row r="118" spans="1:8" s="1404" customFormat="1">
      <c r="A118" s="1692" t="s">
        <v>526</v>
      </c>
      <c r="B118" s="1440"/>
      <c r="C118" s="1444">
        <v>2018</v>
      </c>
      <c r="D118" s="1470" t="s">
        <v>195</v>
      </c>
      <c r="E118" s="1462" t="s">
        <v>195</v>
      </c>
      <c r="F118" s="1471" t="s">
        <v>195</v>
      </c>
      <c r="G118" s="1462" t="s">
        <v>195</v>
      </c>
      <c r="H118" s="1442">
        <v>0</v>
      </c>
    </row>
    <row r="119" spans="1:8" s="1404" customFormat="1">
      <c r="A119" s="1692" t="s">
        <v>526</v>
      </c>
      <c r="B119" s="1440"/>
      <c r="C119" s="1444">
        <v>2019</v>
      </c>
      <c r="D119" s="1470" t="s">
        <v>195</v>
      </c>
      <c r="E119" s="1462" t="s">
        <v>195</v>
      </c>
      <c r="F119" s="1471" t="s">
        <v>195</v>
      </c>
      <c r="G119" s="1462" t="s">
        <v>195</v>
      </c>
      <c r="H119" s="1442">
        <v>0</v>
      </c>
    </row>
    <row r="120" spans="1:8" s="1404" customFormat="1">
      <c r="A120" s="1692" t="s">
        <v>526</v>
      </c>
      <c r="B120" s="1440"/>
      <c r="C120" s="1444">
        <v>2020</v>
      </c>
      <c r="D120" s="1470" t="s">
        <v>195</v>
      </c>
      <c r="E120" s="1462" t="s">
        <v>195</v>
      </c>
      <c r="F120" s="1471" t="s">
        <v>195</v>
      </c>
      <c r="G120" s="1462" t="s">
        <v>195</v>
      </c>
      <c r="H120" s="1442">
        <v>0</v>
      </c>
    </row>
    <row r="121" spans="1:8" s="1404" customFormat="1">
      <c r="A121" s="1692"/>
      <c r="B121" s="1440"/>
      <c r="C121" s="1472">
        <v>2021</v>
      </c>
      <c r="D121" s="1470" t="s">
        <v>195</v>
      </c>
      <c r="E121" s="1462" t="s">
        <v>195</v>
      </c>
      <c r="F121" s="1471" t="s">
        <v>195</v>
      </c>
      <c r="G121" s="1462" t="s">
        <v>195</v>
      </c>
      <c r="H121" s="1442">
        <v>0</v>
      </c>
    </row>
    <row r="122" spans="1:8" s="1404" customFormat="1">
      <c r="A122" s="1692"/>
      <c r="B122" s="1440"/>
      <c r="C122" s="1472">
        <v>2022</v>
      </c>
      <c r="D122" s="1470" t="s">
        <v>195</v>
      </c>
      <c r="E122" s="1462" t="s">
        <v>195</v>
      </c>
      <c r="F122" s="1471" t="s">
        <v>195</v>
      </c>
      <c r="G122" s="1462" t="s">
        <v>195</v>
      </c>
      <c r="H122" s="1442">
        <v>0</v>
      </c>
    </row>
    <row r="123" spans="1:8" s="1404" customFormat="1">
      <c r="A123" s="1692"/>
      <c r="B123" s="1440"/>
      <c r="C123" s="1472">
        <v>2023</v>
      </c>
      <c r="D123" s="1470" t="s">
        <v>195</v>
      </c>
      <c r="E123" s="1462" t="s">
        <v>195</v>
      </c>
      <c r="F123" s="1471" t="s">
        <v>195</v>
      </c>
      <c r="G123" s="1462" t="s">
        <v>195</v>
      </c>
      <c r="H123" s="1442">
        <v>0</v>
      </c>
    </row>
    <row r="124" spans="1:8" s="1404" customFormat="1">
      <c r="A124" s="1693" t="s">
        <v>526</v>
      </c>
      <c r="B124" s="1653"/>
      <c r="C124" s="1481">
        <v>2024</v>
      </c>
      <c r="D124" s="1816" t="s">
        <v>195</v>
      </c>
      <c r="E124" s="1817" t="s">
        <v>195</v>
      </c>
      <c r="F124" s="1818" t="s">
        <v>195</v>
      </c>
      <c r="G124" s="1817" t="s">
        <v>195</v>
      </c>
      <c r="H124" s="1815">
        <v>0</v>
      </c>
    </row>
    <row r="125" spans="1:8" s="1404" customFormat="1">
      <c r="A125" s="1488" t="s">
        <v>456</v>
      </c>
      <c r="B125" s="1647"/>
      <c r="C125" s="1444">
        <v>2011</v>
      </c>
      <c r="D125" s="1441">
        <v>462</v>
      </c>
      <c r="E125" s="1442">
        <v>105</v>
      </c>
      <c r="F125" s="1443">
        <v>252</v>
      </c>
      <c r="G125" s="1442">
        <v>0</v>
      </c>
      <c r="H125" s="1442">
        <v>0</v>
      </c>
    </row>
    <row r="126" spans="1:8" s="1404" customFormat="1">
      <c r="A126" s="1687" t="s">
        <v>456</v>
      </c>
      <c r="B126" s="1654"/>
      <c r="C126" s="1444">
        <v>2012</v>
      </c>
      <c r="D126" s="1441">
        <v>681</v>
      </c>
      <c r="E126" s="1442">
        <v>153</v>
      </c>
      <c r="F126" s="1443">
        <v>246</v>
      </c>
      <c r="G126" s="1442">
        <v>27</v>
      </c>
      <c r="H126" s="1442">
        <v>0</v>
      </c>
    </row>
    <row r="127" spans="1:8" s="1404" customFormat="1">
      <c r="A127" s="1687" t="s">
        <v>456</v>
      </c>
      <c r="B127" s="1652"/>
      <c r="C127" s="1444">
        <v>2013</v>
      </c>
      <c r="D127" s="1441">
        <v>663</v>
      </c>
      <c r="E127" s="1442">
        <v>162</v>
      </c>
      <c r="F127" s="1443">
        <v>237</v>
      </c>
      <c r="G127" s="1442">
        <v>195</v>
      </c>
      <c r="H127" s="1442">
        <v>0</v>
      </c>
    </row>
    <row r="128" spans="1:8" s="1404" customFormat="1">
      <c r="A128" s="1687" t="s">
        <v>456</v>
      </c>
      <c r="B128" s="1652"/>
      <c r="C128" s="1444">
        <v>2014</v>
      </c>
      <c r="D128" s="1441">
        <v>711</v>
      </c>
      <c r="E128" s="1442">
        <v>174</v>
      </c>
      <c r="F128" s="1443">
        <v>282</v>
      </c>
      <c r="G128" s="1442">
        <v>213</v>
      </c>
      <c r="H128" s="1442">
        <v>0</v>
      </c>
    </row>
    <row r="129" spans="1:8" s="1404" customFormat="1">
      <c r="A129" s="1687"/>
      <c r="B129" s="1652"/>
      <c r="C129" s="1444">
        <v>2015</v>
      </c>
      <c r="D129" s="1441">
        <v>747</v>
      </c>
      <c r="E129" s="1442">
        <v>174</v>
      </c>
      <c r="F129" s="1443">
        <v>285</v>
      </c>
      <c r="G129" s="1442">
        <v>216</v>
      </c>
      <c r="H129" s="1442">
        <v>0</v>
      </c>
    </row>
    <row r="130" spans="1:8" s="1404" customFormat="1">
      <c r="A130" s="1687" t="s">
        <v>456</v>
      </c>
      <c r="B130" s="1652"/>
      <c r="C130" s="1444">
        <v>2016</v>
      </c>
      <c r="D130" s="1441">
        <v>774</v>
      </c>
      <c r="E130" s="1442">
        <v>171</v>
      </c>
      <c r="F130" s="1443">
        <v>273</v>
      </c>
      <c r="G130" s="1442">
        <v>228</v>
      </c>
      <c r="H130" s="1442">
        <v>0</v>
      </c>
    </row>
    <row r="131" spans="1:8" s="1404" customFormat="1">
      <c r="A131" s="1687" t="s">
        <v>456</v>
      </c>
      <c r="B131" s="1652"/>
      <c r="C131" s="1444">
        <v>2017</v>
      </c>
      <c r="D131" s="1441">
        <v>762</v>
      </c>
      <c r="E131" s="1442">
        <v>180</v>
      </c>
      <c r="F131" s="1443">
        <v>264</v>
      </c>
      <c r="G131" s="1442">
        <v>225</v>
      </c>
      <c r="H131" s="1442">
        <v>0</v>
      </c>
    </row>
    <row r="132" spans="1:8" s="1404" customFormat="1">
      <c r="A132" s="1687" t="s">
        <v>456</v>
      </c>
      <c r="B132" s="1652"/>
      <c r="C132" s="1444">
        <v>2018</v>
      </c>
      <c r="D132" s="1441">
        <v>753</v>
      </c>
      <c r="E132" s="1442">
        <v>180</v>
      </c>
      <c r="F132" s="1443">
        <v>261</v>
      </c>
      <c r="G132" s="1442">
        <v>261</v>
      </c>
      <c r="H132" s="1442">
        <v>0</v>
      </c>
    </row>
    <row r="133" spans="1:8" s="1404" customFormat="1">
      <c r="A133" s="1687" t="s">
        <v>456</v>
      </c>
      <c r="B133" s="1652"/>
      <c r="C133" s="1444">
        <v>2019</v>
      </c>
      <c r="D133" s="1441">
        <v>720</v>
      </c>
      <c r="E133" s="1442">
        <v>174</v>
      </c>
      <c r="F133" s="1443">
        <v>246</v>
      </c>
      <c r="G133" s="1442">
        <v>234</v>
      </c>
      <c r="H133" s="1442">
        <v>0</v>
      </c>
    </row>
    <row r="134" spans="1:8" s="1404" customFormat="1">
      <c r="A134" s="1687" t="s">
        <v>456</v>
      </c>
      <c r="B134" s="1652"/>
      <c r="C134" s="1444">
        <v>2020</v>
      </c>
      <c r="D134" s="1441">
        <v>693</v>
      </c>
      <c r="E134" s="1442">
        <v>165</v>
      </c>
      <c r="F134" s="1443">
        <v>234</v>
      </c>
      <c r="G134" s="1442">
        <v>228</v>
      </c>
      <c r="H134" s="1442">
        <v>0</v>
      </c>
    </row>
    <row r="135" spans="1:8" s="1404" customFormat="1">
      <c r="A135" s="1687"/>
      <c r="B135" s="1652"/>
      <c r="C135" s="1472">
        <v>2021</v>
      </c>
      <c r="D135" s="1441">
        <v>636</v>
      </c>
      <c r="E135" s="1442">
        <v>165</v>
      </c>
      <c r="F135" s="1443">
        <v>207</v>
      </c>
      <c r="G135" s="1442">
        <v>213</v>
      </c>
      <c r="H135" s="1442">
        <v>0</v>
      </c>
    </row>
    <row r="136" spans="1:8" s="1404" customFormat="1">
      <c r="A136" s="1687"/>
      <c r="B136" s="1652"/>
      <c r="C136" s="1472">
        <v>2022</v>
      </c>
      <c r="D136" s="1441">
        <v>582</v>
      </c>
      <c r="E136" s="1442">
        <v>162</v>
      </c>
      <c r="F136" s="1443">
        <v>192</v>
      </c>
      <c r="G136" s="1442">
        <v>210</v>
      </c>
      <c r="H136" s="1442">
        <v>0</v>
      </c>
    </row>
    <row r="137" spans="1:8" s="1404" customFormat="1">
      <c r="A137" s="1687"/>
      <c r="B137" s="1652"/>
      <c r="C137" s="1472">
        <v>2023</v>
      </c>
      <c r="D137" s="1441">
        <v>543</v>
      </c>
      <c r="E137" s="1442">
        <v>165</v>
      </c>
      <c r="F137" s="1443">
        <v>192</v>
      </c>
      <c r="G137" s="1442">
        <v>195</v>
      </c>
      <c r="H137" s="1442">
        <v>0</v>
      </c>
    </row>
    <row r="138" spans="1:8" s="1404" customFormat="1">
      <c r="A138" s="1689" t="s">
        <v>456</v>
      </c>
      <c r="B138" s="1655"/>
      <c r="C138" s="1481">
        <v>2024</v>
      </c>
      <c r="D138" s="1447">
        <v>561</v>
      </c>
      <c r="E138" s="1448">
        <v>174</v>
      </c>
      <c r="F138" s="1449">
        <v>210</v>
      </c>
      <c r="G138" s="1448">
        <v>153</v>
      </c>
      <c r="H138" s="1815">
        <v>0</v>
      </c>
    </row>
    <row r="139" spans="1:8" s="1404" customFormat="1">
      <c r="A139" s="1488" t="s">
        <v>525</v>
      </c>
      <c r="B139" s="1654"/>
      <c r="C139" s="1444">
        <v>2002</v>
      </c>
      <c r="D139" s="1441">
        <v>505</v>
      </c>
      <c r="E139" s="1442">
        <v>419</v>
      </c>
      <c r="F139" s="1443">
        <v>179</v>
      </c>
      <c r="G139" s="1442">
        <v>159</v>
      </c>
      <c r="H139" s="1442">
        <v>15</v>
      </c>
    </row>
    <row r="140" spans="1:8" s="1404" customFormat="1">
      <c r="A140" s="1687" t="s">
        <v>525</v>
      </c>
      <c r="B140" s="1652"/>
      <c r="C140" s="1444">
        <v>2003</v>
      </c>
      <c r="D140" s="1441">
        <v>517</v>
      </c>
      <c r="E140" s="1442">
        <v>440</v>
      </c>
      <c r="F140" s="1443">
        <v>180</v>
      </c>
      <c r="G140" s="1442">
        <v>153</v>
      </c>
      <c r="H140" s="1442">
        <v>18</v>
      </c>
    </row>
    <row r="141" spans="1:8" s="1404" customFormat="1">
      <c r="A141" s="1687" t="s">
        <v>525</v>
      </c>
      <c r="B141" s="1652"/>
      <c r="C141" s="1444">
        <v>2004</v>
      </c>
      <c r="D141" s="1441">
        <v>508</v>
      </c>
      <c r="E141" s="1442">
        <v>425</v>
      </c>
      <c r="F141" s="1443">
        <v>177</v>
      </c>
      <c r="G141" s="1442">
        <v>159</v>
      </c>
      <c r="H141" s="1442">
        <v>21</v>
      </c>
    </row>
    <row r="142" spans="1:8" s="1404" customFormat="1">
      <c r="A142" s="1687" t="s">
        <v>525</v>
      </c>
      <c r="B142" s="1652"/>
      <c r="C142" s="1444">
        <v>2005</v>
      </c>
      <c r="D142" s="1441">
        <v>492</v>
      </c>
      <c r="E142" s="1442">
        <v>426</v>
      </c>
      <c r="F142" s="1443">
        <v>158</v>
      </c>
      <c r="G142" s="1442">
        <v>172</v>
      </c>
      <c r="H142" s="1442">
        <v>12</v>
      </c>
    </row>
    <row r="143" spans="1:8" s="1404" customFormat="1">
      <c r="A143" s="1687" t="s">
        <v>525</v>
      </c>
      <c r="B143" s="1652"/>
      <c r="C143" s="1444">
        <v>2006</v>
      </c>
      <c r="D143" s="1441">
        <v>496</v>
      </c>
      <c r="E143" s="1442">
        <v>419</v>
      </c>
      <c r="F143" s="1443">
        <v>171</v>
      </c>
      <c r="G143" s="1442">
        <v>161</v>
      </c>
      <c r="H143" s="1442">
        <v>14</v>
      </c>
    </row>
    <row r="144" spans="1:8" s="1404" customFormat="1">
      <c r="A144" s="1687" t="s">
        <v>525</v>
      </c>
      <c r="B144" s="1652"/>
      <c r="C144" s="1444">
        <v>2007</v>
      </c>
      <c r="D144" s="1441">
        <v>419</v>
      </c>
      <c r="E144" s="1442">
        <v>356</v>
      </c>
      <c r="F144" s="1443">
        <v>146</v>
      </c>
      <c r="G144" s="1445" t="s">
        <v>195</v>
      </c>
      <c r="H144" s="1445" t="s">
        <v>195</v>
      </c>
    </row>
    <row r="145" spans="1:8" s="1404" customFormat="1">
      <c r="A145" s="1687" t="s">
        <v>525</v>
      </c>
      <c r="B145" s="1666"/>
      <c r="C145" s="1460">
        <v>2008</v>
      </c>
      <c r="D145" s="1441">
        <v>506</v>
      </c>
      <c r="E145" s="1442">
        <v>411</v>
      </c>
      <c r="F145" s="1443">
        <v>176</v>
      </c>
      <c r="G145" s="1442">
        <v>120</v>
      </c>
      <c r="H145" s="1445" t="s">
        <v>195</v>
      </c>
    </row>
    <row r="146" spans="1:8" s="1404" customFormat="1">
      <c r="A146" s="1687" t="s">
        <v>525</v>
      </c>
      <c r="B146" s="1666"/>
      <c r="C146" s="1460">
        <v>2009</v>
      </c>
      <c r="D146" s="1441">
        <v>527</v>
      </c>
      <c r="E146" s="1442">
        <v>429</v>
      </c>
      <c r="F146" s="1443">
        <v>177</v>
      </c>
      <c r="G146" s="1442">
        <v>65</v>
      </c>
      <c r="H146" s="1445" t="s">
        <v>195</v>
      </c>
    </row>
    <row r="147" spans="1:8" s="1404" customFormat="1">
      <c r="A147" s="1687" t="s">
        <v>525</v>
      </c>
      <c r="B147" s="1666"/>
      <c r="C147" s="1460">
        <v>2010</v>
      </c>
      <c r="D147" s="1441">
        <v>465</v>
      </c>
      <c r="E147" s="1442">
        <v>390</v>
      </c>
      <c r="F147" s="1443">
        <v>156</v>
      </c>
      <c r="G147" s="1442">
        <v>147</v>
      </c>
      <c r="H147" s="1442">
        <v>18</v>
      </c>
    </row>
    <row r="148" spans="1:8" s="1404" customFormat="1">
      <c r="A148" s="1687" t="s">
        <v>525</v>
      </c>
      <c r="B148" s="1666"/>
      <c r="C148" s="1460">
        <v>2011</v>
      </c>
      <c r="D148" s="1441">
        <v>471</v>
      </c>
      <c r="E148" s="1442">
        <v>384</v>
      </c>
      <c r="F148" s="1443">
        <v>156</v>
      </c>
      <c r="G148" s="1442">
        <v>141</v>
      </c>
      <c r="H148" s="1442">
        <v>24</v>
      </c>
    </row>
    <row r="149" spans="1:8" s="1404" customFormat="1">
      <c r="A149" s="1687" t="s">
        <v>525</v>
      </c>
      <c r="B149" s="1666"/>
      <c r="C149" s="1460">
        <v>2012</v>
      </c>
      <c r="D149" s="1441">
        <v>483</v>
      </c>
      <c r="E149" s="1442">
        <v>387</v>
      </c>
      <c r="F149" s="1443">
        <v>177</v>
      </c>
      <c r="G149" s="1442">
        <v>156</v>
      </c>
      <c r="H149" s="1442">
        <v>24</v>
      </c>
    </row>
    <row r="150" spans="1:8" s="1404" customFormat="1">
      <c r="A150" s="1687" t="s">
        <v>525</v>
      </c>
      <c r="B150" s="1666"/>
      <c r="C150" s="1460">
        <v>2013</v>
      </c>
      <c r="D150" s="1441">
        <v>489</v>
      </c>
      <c r="E150" s="1442">
        <v>384</v>
      </c>
      <c r="F150" s="1443">
        <v>171</v>
      </c>
      <c r="G150" s="1442">
        <v>159</v>
      </c>
      <c r="H150" s="1442">
        <v>21</v>
      </c>
    </row>
    <row r="151" spans="1:8" s="1404" customFormat="1">
      <c r="A151" s="1687" t="s">
        <v>525</v>
      </c>
      <c r="B151" s="1666"/>
      <c r="C151" s="1460">
        <v>2014</v>
      </c>
      <c r="D151" s="1441">
        <v>504</v>
      </c>
      <c r="E151" s="1442">
        <v>396</v>
      </c>
      <c r="F151" s="1443">
        <v>171</v>
      </c>
      <c r="G151" s="1442">
        <v>123</v>
      </c>
      <c r="H151" s="1442">
        <v>15</v>
      </c>
    </row>
    <row r="152" spans="1:8" s="1404" customFormat="1">
      <c r="A152" s="1687" t="s">
        <v>525</v>
      </c>
      <c r="B152" s="1666"/>
      <c r="C152" s="1460">
        <v>2015</v>
      </c>
      <c r="D152" s="1441">
        <v>492</v>
      </c>
      <c r="E152" s="1442">
        <v>384</v>
      </c>
      <c r="F152" s="1443">
        <v>162</v>
      </c>
      <c r="G152" s="1442">
        <v>159</v>
      </c>
      <c r="H152" s="1442">
        <v>24</v>
      </c>
    </row>
    <row r="153" spans="1:8" s="1404" customFormat="1">
      <c r="A153" s="1687" t="s">
        <v>525</v>
      </c>
      <c r="B153" s="1666"/>
      <c r="C153" s="1460">
        <v>2016</v>
      </c>
      <c r="D153" s="1441">
        <v>483</v>
      </c>
      <c r="E153" s="1442">
        <v>372</v>
      </c>
      <c r="F153" s="1443">
        <v>177</v>
      </c>
      <c r="G153" s="1442">
        <v>168</v>
      </c>
      <c r="H153" s="1442">
        <v>15</v>
      </c>
    </row>
    <row r="154" spans="1:8" s="1404" customFormat="1">
      <c r="A154" s="1687" t="s">
        <v>525</v>
      </c>
      <c r="B154" s="1666"/>
      <c r="C154" s="1460">
        <v>2017</v>
      </c>
      <c r="D154" s="1441">
        <v>510</v>
      </c>
      <c r="E154" s="1442">
        <v>375</v>
      </c>
      <c r="F154" s="1443">
        <v>174</v>
      </c>
      <c r="G154" s="1442">
        <v>138</v>
      </c>
      <c r="H154" s="1442">
        <v>21</v>
      </c>
    </row>
    <row r="155" spans="1:8" s="1404" customFormat="1">
      <c r="A155" s="1687" t="s">
        <v>525</v>
      </c>
      <c r="B155" s="1666"/>
      <c r="C155" s="1460">
        <v>2018</v>
      </c>
      <c r="D155" s="1441">
        <v>486</v>
      </c>
      <c r="E155" s="1442">
        <v>354</v>
      </c>
      <c r="F155" s="1443">
        <v>162</v>
      </c>
      <c r="G155" s="1442">
        <v>153</v>
      </c>
      <c r="H155" s="1442">
        <v>18</v>
      </c>
    </row>
    <row r="156" spans="1:8" s="1404" customFormat="1">
      <c r="A156" s="1687" t="s">
        <v>525</v>
      </c>
      <c r="B156" s="1666"/>
      <c r="C156" s="1460">
        <v>2019</v>
      </c>
      <c r="D156" s="1441">
        <v>474</v>
      </c>
      <c r="E156" s="1442">
        <v>354</v>
      </c>
      <c r="F156" s="1443">
        <v>168</v>
      </c>
      <c r="G156" s="1442">
        <v>171</v>
      </c>
      <c r="H156" s="1442">
        <v>12</v>
      </c>
    </row>
    <row r="157" spans="1:8" s="1404" customFormat="1">
      <c r="A157" s="1687" t="s">
        <v>525</v>
      </c>
      <c r="B157" s="1666"/>
      <c r="C157" s="1460">
        <v>2020</v>
      </c>
      <c r="D157" s="1441">
        <v>456</v>
      </c>
      <c r="E157" s="1442">
        <v>339</v>
      </c>
      <c r="F157" s="1443">
        <v>147</v>
      </c>
      <c r="G157" s="1442">
        <v>144</v>
      </c>
      <c r="H157" s="1442">
        <v>18</v>
      </c>
    </row>
    <row r="158" spans="1:8" s="1404" customFormat="1">
      <c r="A158" s="1687"/>
      <c r="B158" s="1666"/>
      <c r="C158" s="1768">
        <v>2021</v>
      </c>
      <c r="D158" s="1441">
        <v>432</v>
      </c>
      <c r="E158" s="1442">
        <v>318</v>
      </c>
      <c r="F158" s="1443">
        <v>138</v>
      </c>
      <c r="G158" s="1442">
        <v>150</v>
      </c>
      <c r="H158" s="1442">
        <v>12</v>
      </c>
    </row>
    <row r="159" spans="1:8" s="1404" customFormat="1">
      <c r="A159" s="1687"/>
      <c r="B159" s="1666"/>
      <c r="C159" s="1768">
        <v>2022</v>
      </c>
      <c r="D159" s="1441">
        <v>390</v>
      </c>
      <c r="E159" s="1442">
        <v>294</v>
      </c>
      <c r="F159" s="1443">
        <v>129</v>
      </c>
      <c r="G159" s="1442">
        <v>159</v>
      </c>
      <c r="H159" s="1442">
        <v>18</v>
      </c>
    </row>
    <row r="160" spans="1:8" s="1404" customFormat="1">
      <c r="A160" s="1687"/>
      <c r="B160" s="1666"/>
      <c r="C160" s="1768">
        <v>2023</v>
      </c>
      <c r="D160" s="1441">
        <v>402</v>
      </c>
      <c r="E160" s="1442">
        <v>303</v>
      </c>
      <c r="F160" s="1443">
        <v>150</v>
      </c>
      <c r="G160" s="1442">
        <v>129</v>
      </c>
      <c r="H160" s="1442">
        <v>15</v>
      </c>
    </row>
    <row r="161" spans="1:8" s="1404" customFormat="1">
      <c r="A161" s="1689" t="s">
        <v>525</v>
      </c>
      <c r="B161" s="1667"/>
      <c r="C161" s="1482">
        <v>2024</v>
      </c>
      <c r="D161" s="1447">
        <v>417</v>
      </c>
      <c r="E161" s="1448">
        <v>312</v>
      </c>
      <c r="F161" s="1449">
        <v>153</v>
      </c>
      <c r="G161" s="1448">
        <v>111</v>
      </c>
      <c r="H161" s="1448">
        <v>21</v>
      </c>
    </row>
    <row r="162" spans="1:8" s="1404" customFormat="1">
      <c r="A162" s="1488" t="s">
        <v>91</v>
      </c>
      <c r="B162" s="1654"/>
      <c r="C162" s="1444">
        <v>2002</v>
      </c>
      <c r="D162" s="1441">
        <v>281</v>
      </c>
      <c r="E162" s="1442">
        <v>277</v>
      </c>
      <c r="F162" s="1443">
        <v>173</v>
      </c>
      <c r="G162" s="1442">
        <v>476</v>
      </c>
      <c r="H162" s="1442">
        <v>117</v>
      </c>
    </row>
    <row r="163" spans="1:8" s="1404" customFormat="1">
      <c r="A163" s="1687" t="s">
        <v>91</v>
      </c>
      <c r="B163" s="1652"/>
      <c r="C163" s="1444">
        <v>2003</v>
      </c>
      <c r="D163" s="1441">
        <v>340</v>
      </c>
      <c r="E163" s="1442">
        <v>340</v>
      </c>
      <c r="F163" s="1443">
        <v>183</v>
      </c>
      <c r="G163" s="1442">
        <v>395</v>
      </c>
      <c r="H163" s="1442">
        <v>79</v>
      </c>
    </row>
    <row r="164" spans="1:8" s="1404" customFormat="1">
      <c r="A164" s="1687" t="s">
        <v>91</v>
      </c>
      <c r="B164" s="1652"/>
      <c r="C164" s="1444">
        <v>2004</v>
      </c>
      <c r="D164" s="1441">
        <v>336</v>
      </c>
      <c r="E164" s="1442">
        <v>336</v>
      </c>
      <c r="F164" s="1443">
        <v>175</v>
      </c>
      <c r="G164" s="1442">
        <v>541</v>
      </c>
      <c r="H164" s="1442">
        <v>90</v>
      </c>
    </row>
    <row r="165" spans="1:8" s="1404" customFormat="1">
      <c r="A165" s="1687" t="s">
        <v>91</v>
      </c>
      <c r="B165" s="1652"/>
      <c r="C165" s="1444">
        <v>2005</v>
      </c>
      <c r="D165" s="1441">
        <v>342</v>
      </c>
      <c r="E165" s="1442">
        <v>341</v>
      </c>
      <c r="F165" s="1443">
        <v>190</v>
      </c>
      <c r="G165" s="1442">
        <v>520</v>
      </c>
      <c r="H165" s="1442">
        <v>83</v>
      </c>
    </row>
    <row r="166" spans="1:8" s="1404" customFormat="1">
      <c r="A166" s="1687" t="s">
        <v>91</v>
      </c>
      <c r="B166" s="1652"/>
      <c r="C166" s="1444">
        <v>2006</v>
      </c>
      <c r="D166" s="1441">
        <v>302</v>
      </c>
      <c r="E166" s="1442">
        <v>302</v>
      </c>
      <c r="F166" s="1443">
        <v>148</v>
      </c>
      <c r="G166" s="1442">
        <v>437</v>
      </c>
      <c r="H166" s="1442">
        <v>82</v>
      </c>
    </row>
    <row r="167" spans="1:8" s="1404" customFormat="1">
      <c r="A167" s="1687" t="s">
        <v>91</v>
      </c>
      <c r="B167" s="1652"/>
      <c r="C167" s="1444">
        <v>2007</v>
      </c>
      <c r="D167" s="1441">
        <v>265</v>
      </c>
      <c r="E167" s="1442">
        <v>263</v>
      </c>
      <c r="F167" s="1443">
        <v>148</v>
      </c>
      <c r="G167" s="1445" t="s">
        <v>195</v>
      </c>
      <c r="H167" s="1445" t="s">
        <v>195</v>
      </c>
    </row>
    <row r="168" spans="1:8" s="1404" customFormat="1">
      <c r="A168" s="1687" t="s">
        <v>91</v>
      </c>
      <c r="B168" s="1652"/>
      <c r="C168" s="1444">
        <v>2008</v>
      </c>
      <c r="D168" s="1441">
        <v>305</v>
      </c>
      <c r="E168" s="1442">
        <v>302</v>
      </c>
      <c r="F168" s="1443">
        <v>182</v>
      </c>
      <c r="G168" s="1442">
        <v>59</v>
      </c>
      <c r="H168" s="1445" t="s">
        <v>195</v>
      </c>
    </row>
    <row r="169" spans="1:8" s="1404" customFormat="1">
      <c r="A169" s="1687" t="s">
        <v>91</v>
      </c>
      <c r="B169" s="1652"/>
      <c r="C169" s="1444">
        <v>2009</v>
      </c>
      <c r="D169" s="1441">
        <v>259</v>
      </c>
      <c r="E169" s="1442">
        <v>256</v>
      </c>
      <c r="F169" s="1443">
        <v>113</v>
      </c>
      <c r="G169" s="1442">
        <v>36</v>
      </c>
      <c r="H169" s="1442">
        <v>96</v>
      </c>
    </row>
    <row r="170" spans="1:8" s="1404" customFormat="1">
      <c r="A170" s="1687" t="s">
        <v>91</v>
      </c>
      <c r="B170" s="1652"/>
      <c r="C170" s="1444">
        <v>2010</v>
      </c>
      <c r="D170" s="1441">
        <v>228</v>
      </c>
      <c r="E170" s="1442">
        <v>225</v>
      </c>
      <c r="F170" s="1443">
        <v>123</v>
      </c>
      <c r="G170" s="1442">
        <v>117</v>
      </c>
      <c r="H170" s="1442">
        <v>45</v>
      </c>
    </row>
    <row r="171" spans="1:8" s="1404" customFormat="1">
      <c r="A171" s="1687" t="s">
        <v>91</v>
      </c>
      <c r="B171" s="1652"/>
      <c r="C171" s="1444">
        <v>2011</v>
      </c>
      <c r="D171" s="1441">
        <v>213</v>
      </c>
      <c r="E171" s="1442">
        <v>213</v>
      </c>
      <c r="F171" s="1443">
        <v>108</v>
      </c>
      <c r="G171" s="1442">
        <v>93</v>
      </c>
      <c r="H171" s="1442">
        <v>30</v>
      </c>
    </row>
    <row r="172" spans="1:8" s="1404" customFormat="1">
      <c r="A172" s="1687" t="s">
        <v>91</v>
      </c>
      <c r="B172" s="1652"/>
      <c r="C172" s="1444">
        <v>2012</v>
      </c>
      <c r="D172" s="1441">
        <v>183</v>
      </c>
      <c r="E172" s="1442">
        <v>183</v>
      </c>
      <c r="F172" s="1443">
        <v>96</v>
      </c>
      <c r="G172" s="1442">
        <v>102</v>
      </c>
      <c r="H172" s="1442">
        <v>105</v>
      </c>
    </row>
    <row r="173" spans="1:8" s="1404" customFormat="1">
      <c r="A173" s="1687" t="s">
        <v>91</v>
      </c>
      <c r="B173" s="1652"/>
      <c r="C173" s="1444">
        <v>2013</v>
      </c>
      <c r="D173" s="1441">
        <v>159</v>
      </c>
      <c r="E173" s="1442">
        <v>159</v>
      </c>
      <c r="F173" s="1443">
        <v>87</v>
      </c>
      <c r="G173" s="1442">
        <v>84</v>
      </c>
      <c r="H173" s="1442">
        <v>60</v>
      </c>
    </row>
    <row r="174" spans="1:8" s="1404" customFormat="1">
      <c r="A174" s="1687" t="s">
        <v>91</v>
      </c>
      <c r="B174" s="1652"/>
      <c r="C174" s="1444">
        <v>2014</v>
      </c>
      <c r="D174" s="1441">
        <v>144</v>
      </c>
      <c r="E174" s="1442">
        <v>144</v>
      </c>
      <c r="F174" s="1443">
        <v>84</v>
      </c>
      <c r="G174" s="1442">
        <v>78</v>
      </c>
      <c r="H174" s="1442">
        <v>66</v>
      </c>
    </row>
    <row r="175" spans="1:8" s="1404" customFormat="1">
      <c r="A175" s="1687" t="s">
        <v>91</v>
      </c>
      <c r="B175" s="1661"/>
      <c r="C175" s="1460">
        <v>2015</v>
      </c>
      <c r="D175" s="1441">
        <v>141</v>
      </c>
      <c r="E175" s="1442">
        <v>138</v>
      </c>
      <c r="F175" s="1443">
        <v>72</v>
      </c>
      <c r="G175" s="1442">
        <v>57</v>
      </c>
      <c r="H175" s="1442">
        <v>54</v>
      </c>
    </row>
    <row r="176" spans="1:8" s="1404" customFormat="1">
      <c r="A176" s="1687" t="s">
        <v>91</v>
      </c>
      <c r="B176" s="1661"/>
      <c r="C176" s="1460">
        <v>2016</v>
      </c>
      <c r="D176" s="1441">
        <v>132</v>
      </c>
      <c r="E176" s="1442">
        <v>123</v>
      </c>
      <c r="F176" s="1443">
        <v>78</v>
      </c>
      <c r="G176" s="1442">
        <v>69</v>
      </c>
      <c r="H176" s="1442">
        <v>42</v>
      </c>
    </row>
    <row r="177" spans="1:8" s="1404" customFormat="1">
      <c r="A177" s="1687" t="s">
        <v>91</v>
      </c>
      <c r="B177" s="1661"/>
      <c r="C177" s="1460">
        <v>2017</v>
      </c>
      <c r="D177" s="1441">
        <v>132</v>
      </c>
      <c r="E177" s="1442">
        <v>129</v>
      </c>
      <c r="F177" s="1443">
        <v>66</v>
      </c>
      <c r="G177" s="1442">
        <v>54</v>
      </c>
      <c r="H177" s="1442">
        <v>51</v>
      </c>
    </row>
    <row r="178" spans="1:8" s="1404" customFormat="1">
      <c r="A178" s="1687" t="s">
        <v>91</v>
      </c>
      <c r="B178" s="1661"/>
      <c r="C178" s="1460">
        <v>2018</v>
      </c>
      <c r="D178" s="1441">
        <v>120</v>
      </c>
      <c r="E178" s="1442">
        <v>117</v>
      </c>
      <c r="F178" s="1443">
        <v>60</v>
      </c>
      <c r="G178" s="1442">
        <v>51</v>
      </c>
      <c r="H178" s="1442">
        <v>63</v>
      </c>
    </row>
    <row r="179" spans="1:8" s="1404" customFormat="1">
      <c r="A179" s="1687" t="s">
        <v>91</v>
      </c>
      <c r="B179" s="1661"/>
      <c r="C179" s="1460">
        <v>2019</v>
      </c>
      <c r="D179" s="1441">
        <v>108</v>
      </c>
      <c r="E179" s="1442">
        <v>108</v>
      </c>
      <c r="F179" s="1443">
        <v>63</v>
      </c>
      <c r="G179" s="1442">
        <v>63</v>
      </c>
      <c r="H179" s="1442">
        <v>48</v>
      </c>
    </row>
    <row r="180" spans="1:8" s="1404" customFormat="1">
      <c r="A180" s="1687" t="s">
        <v>91</v>
      </c>
      <c r="B180" s="1661"/>
      <c r="C180" s="1460">
        <v>2020</v>
      </c>
      <c r="D180" s="1441">
        <v>105</v>
      </c>
      <c r="E180" s="1442">
        <v>105</v>
      </c>
      <c r="F180" s="1443">
        <v>54</v>
      </c>
      <c r="G180" s="1442">
        <v>45</v>
      </c>
      <c r="H180" s="1442">
        <v>39</v>
      </c>
    </row>
    <row r="181" spans="1:8" s="1404" customFormat="1">
      <c r="A181" s="1687"/>
      <c r="B181" s="1661"/>
      <c r="C181" s="1768">
        <v>2021</v>
      </c>
      <c r="D181" s="1441">
        <v>108</v>
      </c>
      <c r="E181" s="1442">
        <v>108</v>
      </c>
      <c r="F181" s="1443">
        <v>63</v>
      </c>
      <c r="G181" s="1442">
        <v>57</v>
      </c>
      <c r="H181" s="1442">
        <v>39</v>
      </c>
    </row>
    <row r="182" spans="1:8" s="1404" customFormat="1">
      <c r="A182" s="1687"/>
      <c r="B182" s="1661"/>
      <c r="C182" s="1768">
        <v>2022</v>
      </c>
      <c r="D182" s="1441">
        <v>99</v>
      </c>
      <c r="E182" s="1442">
        <v>99</v>
      </c>
      <c r="F182" s="1443">
        <v>54</v>
      </c>
      <c r="G182" s="1442">
        <v>48</v>
      </c>
      <c r="H182" s="1442">
        <v>33</v>
      </c>
    </row>
    <row r="183" spans="1:8" s="1404" customFormat="1">
      <c r="A183" s="1687"/>
      <c r="B183" s="1661"/>
      <c r="C183" s="1768">
        <v>2023</v>
      </c>
      <c r="D183" s="1441">
        <v>84</v>
      </c>
      <c r="E183" s="1442">
        <v>84</v>
      </c>
      <c r="F183" s="1443">
        <v>48</v>
      </c>
      <c r="G183" s="1442">
        <v>45</v>
      </c>
      <c r="H183" s="1442">
        <v>27</v>
      </c>
    </row>
    <row r="184" spans="1:8" s="1404" customFormat="1">
      <c r="A184" s="1689" t="s">
        <v>91</v>
      </c>
      <c r="B184" s="1662"/>
      <c r="C184" s="1482">
        <v>2024</v>
      </c>
      <c r="D184" s="1447">
        <v>63</v>
      </c>
      <c r="E184" s="1448">
        <v>63</v>
      </c>
      <c r="F184" s="1449">
        <v>36</v>
      </c>
      <c r="G184" s="1448">
        <v>51</v>
      </c>
      <c r="H184" s="1448">
        <v>18</v>
      </c>
    </row>
    <row r="185" spans="1:8" s="1404" customFormat="1" ht="16.5" customHeight="1">
      <c r="A185" s="1488" t="s">
        <v>487</v>
      </c>
      <c r="B185" s="1654"/>
      <c r="C185" s="1472">
        <v>2002</v>
      </c>
      <c r="D185" s="1441">
        <v>36914</v>
      </c>
      <c r="E185" s="1461">
        <v>9762</v>
      </c>
      <c r="F185" s="1443">
        <v>14612</v>
      </c>
      <c r="G185" s="1442">
        <v>12586</v>
      </c>
      <c r="H185" s="1442">
        <v>1782</v>
      </c>
    </row>
    <row r="186" spans="1:8" s="1404" customFormat="1" ht="16.5" customHeight="1">
      <c r="A186" s="1688" t="s">
        <v>487</v>
      </c>
      <c r="B186" s="1654"/>
      <c r="C186" s="1472">
        <v>2003</v>
      </c>
      <c r="D186" s="1441">
        <v>37986</v>
      </c>
      <c r="E186" s="1461">
        <v>9649</v>
      </c>
      <c r="F186" s="1443">
        <v>14951</v>
      </c>
      <c r="G186" s="1442">
        <v>11761</v>
      </c>
      <c r="H186" s="1442">
        <v>1672</v>
      </c>
    </row>
    <row r="187" spans="1:8" s="1404" customFormat="1" ht="16.5" customHeight="1">
      <c r="A187" s="1688" t="s">
        <v>487</v>
      </c>
      <c r="B187" s="1654"/>
      <c r="C187" s="1472">
        <v>2004</v>
      </c>
      <c r="D187" s="1441">
        <v>40360</v>
      </c>
      <c r="E187" s="1461">
        <v>9763</v>
      </c>
      <c r="F187" s="1443">
        <v>15660</v>
      </c>
      <c r="G187" s="1442">
        <v>11782</v>
      </c>
      <c r="H187" s="1442">
        <v>1717</v>
      </c>
    </row>
    <row r="188" spans="1:8" s="1404" customFormat="1" ht="16.5" customHeight="1">
      <c r="A188" s="1688" t="s">
        <v>487</v>
      </c>
      <c r="B188" s="1654"/>
      <c r="C188" s="1472">
        <v>2005</v>
      </c>
      <c r="D188" s="1441">
        <v>41095</v>
      </c>
      <c r="E188" s="1461">
        <v>9569</v>
      </c>
      <c r="F188" s="1443">
        <v>15274</v>
      </c>
      <c r="G188" s="1442">
        <v>12581</v>
      </c>
      <c r="H188" s="1442">
        <v>1440</v>
      </c>
    </row>
    <row r="189" spans="1:8" s="1404" customFormat="1" ht="16.5" customHeight="1">
      <c r="A189" s="1688" t="s">
        <v>487</v>
      </c>
      <c r="B189" s="1652"/>
      <c r="C189" s="1472">
        <v>2006</v>
      </c>
      <c r="D189" s="1441">
        <v>42025</v>
      </c>
      <c r="E189" s="1461">
        <v>9412</v>
      </c>
      <c r="F189" s="1443">
        <v>15814</v>
      </c>
      <c r="G189" s="1442">
        <v>13080</v>
      </c>
      <c r="H189" s="1442">
        <v>1452</v>
      </c>
    </row>
    <row r="190" spans="1:8" s="1404" customFormat="1" ht="16.5" customHeight="1">
      <c r="A190" s="1688" t="s">
        <v>487</v>
      </c>
      <c r="B190" s="1652"/>
      <c r="C190" s="1472">
        <v>2007</v>
      </c>
      <c r="D190" s="1441">
        <v>42887</v>
      </c>
      <c r="E190" s="1461">
        <v>9623</v>
      </c>
      <c r="F190" s="1443">
        <v>17616</v>
      </c>
      <c r="G190" s="1445" t="s">
        <v>195</v>
      </c>
      <c r="H190" s="1445" t="s">
        <v>195</v>
      </c>
    </row>
    <row r="191" spans="1:8" s="1404" customFormat="1" ht="16.5" customHeight="1">
      <c r="A191" s="1688" t="s">
        <v>487</v>
      </c>
      <c r="B191" s="1659"/>
      <c r="C191" s="1472">
        <v>2008</v>
      </c>
      <c r="D191" s="1441">
        <v>42205</v>
      </c>
      <c r="E191" s="1461">
        <v>9727</v>
      </c>
      <c r="F191" s="1443">
        <v>16131</v>
      </c>
      <c r="G191" s="1462">
        <v>11892</v>
      </c>
      <c r="H191" s="1445" t="s">
        <v>195</v>
      </c>
    </row>
    <row r="192" spans="1:8" s="1404" customFormat="1" ht="16.5" customHeight="1">
      <c r="A192" s="1688" t="s">
        <v>487</v>
      </c>
      <c r="B192" s="1659"/>
      <c r="C192" s="1472">
        <v>2009</v>
      </c>
      <c r="D192" s="1441">
        <v>41029</v>
      </c>
      <c r="E192" s="1461">
        <v>9415</v>
      </c>
      <c r="F192" s="1443">
        <v>15006</v>
      </c>
      <c r="G192" s="1442">
        <v>12111</v>
      </c>
      <c r="H192" s="1442">
        <v>1362</v>
      </c>
    </row>
    <row r="193" spans="1:12" s="1404" customFormat="1" ht="16.5" customHeight="1">
      <c r="A193" s="1688" t="s">
        <v>487</v>
      </c>
      <c r="B193" s="1659"/>
      <c r="C193" s="1472">
        <v>2010</v>
      </c>
      <c r="D193" s="1441">
        <v>38667</v>
      </c>
      <c r="E193" s="1461">
        <v>8772</v>
      </c>
      <c r="F193" s="1443">
        <v>14253</v>
      </c>
      <c r="G193" s="1442">
        <v>12684</v>
      </c>
      <c r="H193" s="1442">
        <v>1542</v>
      </c>
    </row>
    <row r="194" spans="1:12" s="1404" customFormat="1" ht="16.5" customHeight="1">
      <c r="A194" s="1688" t="s">
        <v>487</v>
      </c>
      <c r="B194" s="1659"/>
      <c r="C194" s="1472">
        <v>2011</v>
      </c>
      <c r="D194" s="1441">
        <v>36624</v>
      </c>
      <c r="E194" s="1461">
        <v>8142</v>
      </c>
      <c r="F194" s="1443">
        <v>13602</v>
      </c>
      <c r="G194" s="1442">
        <v>11844</v>
      </c>
      <c r="H194" s="1442">
        <v>1662</v>
      </c>
    </row>
    <row r="195" spans="1:12" s="1404" customFormat="1" ht="16.5" customHeight="1">
      <c r="A195" s="1688" t="s">
        <v>487</v>
      </c>
      <c r="B195" s="1659"/>
      <c r="C195" s="1472">
        <v>2012</v>
      </c>
      <c r="D195" s="1441">
        <v>34764</v>
      </c>
      <c r="E195" s="1461">
        <v>7602</v>
      </c>
      <c r="F195" s="1443">
        <v>13275</v>
      </c>
      <c r="G195" s="1442">
        <v>11184</v>
      </c>
      <c r="H195" s="1442">
        <v>1917</v>
      </c>
    </row>
    <row r="196" spans="1:12" s="1404" customFormat="1" ht="16.5" customHeight="1">
      <c r="A196" s="1688" t="s">
        <v>487</v>
      </c>
      <c r="B196" s="1659"/>
      <c r="C196" s="1472">
        <v>2013</v>
      </c>
      <c r="D196" s="1441">
        <v>33585</v>
      </c>
      <c r="E196" s="1461">
        <v>7365</v>
      </c>
      <c r="F196" s="1443">
        <v>13278</v>
      </c>
      <c r="G196" s="1442">
        <v>10746</v>
      </c>
      <c r="H196" s="1442">
        <v>1797</v>
      </c>
    </row>
    <row r="197" spans="1:12" s="1404" customFormat="1" ht="16.5" customHeight="1">
      <c r="A197" s="1688" t="s">
        <v>487</v>
      </c>
      <c r="B197" s="1659"/>
      <c r="C197" s="1472">
        <v>2014</v>
      </c>
      <c r="D197" s="1441">
        <v>33441</v>
      </c>
      <c r="E197" s="1461">
        <v>7371</v>
      </c>
      <c r="F197" s="1443">
        <v>13404</v>
      </c>
      <c r="G197" s="1442">
        <v>10443</v>
      </c>
      <c r="H197" s="1442">
        <v>1923</v>
      </c>
    </row>
    <row r="198" spans="1:12" s="1404" customFormat="1" ht="16.5" customHeight="1">
      <c r="A198" s="1688" t="s">
        <v>487</v>
      </c>
      <c r="B198" s="1659"/>
      <c r="C198" s="1472">
        <v>2015</v>
      </c>
      <c r="D198" s="1441">
        <v>33510</v>
      </c>
      <c r="E198" s="1442">
        <v>7413</v>
      </c>
      <c r="F198" s="1443">
        <v>13455</v>
      </c>
      <c r="G198" s="1442">
        <v>10374</v>
      </c>
      <c r="H198" s="1442">
        <v>1902</v>
      </c>
    </row>
    <row r="199" spans="1:12" s="1404" customFormat="1" ht="16.5" customHeight="1">
      <c r="A199" s="1688" t="s">
        <v>487</v>
      </c>
      <c r="B199" s="1659"/>
      <c r="C199" s="1472">
        <v>2016</v>
      </c>
      <c r="D199" s="1441">
        <v>32904</v>
      </c>
      <c r="E199" s="1442">
        <v>7347</v>
      </c>
      <c r="F199" s="1443">
        <v>13416</v>
      </c>
      <c r="G199" s="1442">
        <v>10296</v>
      </c>
      <c r="H199" s="1442">
        <v>2253</v>
      </c>
    </row>
    <row r="200" spans="1:12" s="1404" customFormat="1" ht="16.5" customHeight="1">
      <c r="A200" s="1688" t="s">
        <v>487</v>
      </c>
      <c r="B200" s="1659"/>
      <c r="C200" s="1472">
        <v>2017</v>
      </c>
      <c r="D200" s="1441">
        <v>32898</v>
      </c>
      <c r="E200" s="1442">
        <v>7419</v>
      </c>
      <c r="F200" s="1443">
        <v>13464</v>
      </c>
      <c r="G200" s="1442">
        <v>10359</v>
      </c>
      <c r="H200" s="1442">
        <v>1902</v>
      </c>
    </row>
    <row r="201" spans="1:12" s="1404" customFormat="1" ht="16.5" customHeight="1">
      <c r="A201" s="1688" t="s">
        <v>487</v>
      </c>
      <c r="B201" s="1659"/>
      <c r="C201" s="1472">
        <v>2018</v>
      </c>
      <c r="D201" s="1441">
        <v>32493</v>
      </c>
      <c r="E201" s="1442">
        <v>7389</v>
      </c>
      <c r="F201" s="1443">
        <v>13245</v>
      </c>
      <c r="G201" s="1442">
        <v>10500</v>
      </c>
      <c r="H201" s="1442">
        <v>2010</v>
      </c>
    </row>
    <row r="202" spans="1:12" s="1404" customFormat="1" ht="16.5" customHeight="1">
      <c r="A202" s="1688" t="s">
        <v>487</v>
      </c>
      <c r="B202" s="1659"/>
      <c r="C202" s="1472">
        <v>2019</v>
      </c>
      <c r="D202" s="1441">
        <v>32331</v>
      </c>
      <c r="E202" s="1442">
        <v>7470</v>
      </c>
      <c r="F202" s="1443">
        <v>12933</v>
      </c>
      <c r="G202" s="1442">
        <v>10089</v>
      </c>
      <c r="H202" s="1442">
        <v>1995</v>
      </c>
    </row>
    <row r="203" spans="1:12" s="1404" customFormat="1" ht="16.5" customHeight="1">
      <c r="A203" s="1688" t="s">
        <v>487</v>
      </c>
      <c r="B203" s="1659"/>
      <c r="C203" s="1472">
        <v>2020</v>
      </c>
      <c r="D203" s="1441">
        <v>32469</v>
      </c>
      <c r="E203" s="1442">
        <v>7632</v>
      </c>
      <c r="F203" s="1443">
        <v>13386</v>
      </c>
      <c r="G203" s="1442">
        <v>10206</v>
      </c>
      <c r="H203" s="1442">
        <v>1593</v>
      </c>
    </row>
    <row r="204" spans="1:12" s="1404" customFormat="1" ht="16.5" customHeight="1">
      <c r="A204" s="1688"/>
      <c r="B204" s="1659"/>
      <c r="C204" s="1472">
        <v>2021</v>
      </c>
      <c r="D204" s="1441">
        <v>33207</v>
      </c>
      <c r="E204" s="1442">
        <v>8079</v>
      </c>
      <c r="F204" s="1443">
        <v>13680</v>
      </c>
      <c r="G204" s="1442">
        <v>9666</v>
      </c>
      <c r="H204" s="1442">
        <v>1668</v>
      </c>
    </row>
    <row r="205" spans="1:12" s="1404" customFormat="1" ht="16.5" customHeight="1">
      <c r="A205" s="1688"/>
      <c r="B205" s="1659"/>
      <c r="C205" s="1472">
        <v>2022</v>
      </c>
      <c r="D205" s="1441">
        <v>32955</v>
      </c>
      <c r="E205" s="1442">
        <v>8211</v>
      </c>
      <c r="F205" s="1443">
        <v>13050</v>
      </c>
      <c r="G205" s="1442">
        <v>9735</v>
      </c>
      <c r="H205" s="1442">
        <v>1644</v>
      </c>
    </row>
    <row r="206" spans="1:12" s="1404" customFormat="1" ht="16.5" customHeight="1">
      <c r="A206" s="1688"/>
      <c r="B206" s="1659"/>
      <c r="C206" s="1472">
        <v>2023</v>
      </c>
      <c r="D206" s="1441">
        <v>32322</v>
      </c>
      <c r="E206" s="1442">
        <v>8166</v>
      </c>
      <c r="F206" s="1443">
        <v>13488</v>
      </c>
      <c r="G206" s="1442">
        <v>9936</v>
      </c>
      <c r="H206" s="1442">
        <v>1650</v>
      </c>
    </row>
    <row r="207" spans="1:12" s="1404" customFormat="1" ht="16.5" customHeight="1">
      <c r="A207" s="1688" t="s">
        <v>487</v>
      </c>
      <c r="B207" s="1660"/>
      <c r="C207" s="1491">
        <v>2024</v>
      </c>
      <c r="D207" s="1800">
        <v>31644</v>
      </c>
      <c r="E207" s="1802">
        <v>8154</v>
      </c>
      <c r="F207" s="1801">
        <v>13359</v>
      </c>
      <c r="G207" s="1800">
        <v>9972</v>
      </c>
      <c r="H207" s="1800">
        <v>1533</v>
      </c>
      <c r="J207" s="1438"/>
      <c r="L207" s="1438"/>
    </row>
    <row r="208" spans="1:12" s="1404" customFormat="1" ht="16.5" customHeight="1">
      <c r="A208" s="1410" t="s">
        <v>521</v>
      </c>
      <c r="B208" s="1410"/>
      <c r="C208" s="1410"/>
      <c r="D208" s="1410"/>
      <c r="E208" s="1410"/>
      <c r="F208" s="1410"/>
      <c r="G208" s="1410"/>
      <c r="H208" s="1410"/>
    </row>
    <row r="209" spans="1:10">
      <c r="A209" s="1746" t="s">
        <v>522</v>
      </c>
      <c r="B209" s="1410"/>
      <c r="C209" s="1410"/>
      <c r="D209" s="1410"/>
      <c r="E209" s="1410"/>
      <c r="F209" s="1410"/>
      <c r="G209" s="1410"/>
      <c r="H209" s="1410"/>
    </row>
    <row r="210" spans="1:10" s="1404" customFormat="1">
      <c r="A210" s="1529" t="s">
        <v>523</v>
      </c>
      <c r="B210" s="1578"/>
      <c r="C210" s="1474"/>
      <c r="D210" s="1475"/>
      <c r="E210" s="1437"/>
      <c r="F210" s="1475"/>
      <c r="G210" s="1475"/>
      <c r="H210" s="1475"/>
    </row>
    <row r="211" spans="1:10" s="1404" customFormat="1">
      <c r="A211" s="1529" t="s">
        <v>524</v>
      </c>
      <c r="B211" s="1578"/>
      <c r="C211" s="1476"/>
      <c r="D211" s="1476"/>
      <c r="E211" s="1476"/>
      <c r="F211" s="1476"/>
      <c r="G211" s="1475"/>
      <c r="H211" s="1475"/>
      <c r="J211" s="1404" t="s">
        <v>40</v>
      </c>
    </row>
    <row r="212" spans="1:10" s="1404" customFormat="1">
      <c r="A212" s="1402" t="s">
        <v>542</v>
      </c>
      <c r="B212" s="1473"/>
      <c r="C212" s="1474"/>
      <c r="D212" s="1475"/>
      <c r="E212" s="1475"/>
      <c r="F212" s="1475"/>
      <c r="G212" s="1475"/>
      <c r="H212" s="1475"/>
    </row>
    <row r="213" spans="1:10" s="1404" customFormat="1">
      <c r="A213" s="1473"/>
      <c r="B213" s="1473"/>
      <c r="D213" s="1438"/>
      <c r="E213" s="1438"/>
      <c r="F213" s="1438"/>
      <c r="G213" s="1438"/>
      <c r="H213" s="1438"/>
    </row>
    <row r="214" spans="1:10" s="1404" customFormat="1">
      <c r="A214" s="1477"/>
      <c r="B214" s="1477"/>
      <c r="D214" s="1438"/>
      <c r="E214" s="1438"/>
      <c r="F214" s="1438"/>
      <c r="G214" s="1438"/>
      <c r="H214" s="1438"/>
    </row>
    <row r="215" spans="1:10" s="1404" customFormat="1">
      <c r="A215" s="1477"/>
      <c r="B215" s="1477"/>
      <c r="D215" s="1438"/>
      <c r="E215" s="1438"/>
      <c r="F215" s="1438"/>
      <c r="G215" s="1438"/>
      <c r="H215" s="1438"/>
    </row>
    <row r="216" spans="1:10" s="1404" customFormat="1">
      <c r="A216" s="1477"/>
      <c r="B216" s="1477"/>
      <c r="D216" s="1438"/>
      <c r="E216" s="1438"/>
      <c r="F216" s="1438"/>
      <c r="G216" s="1438"/>
      <c r="H216" s="1438"/>
    </row>
    <row r="217" spans="1:10" s="1404" customFormat="1">
      <c r="A217" s="1477"/>
      <c r="B217" s="1477"/>
      <c r="D217" s="1438"/>
      <c r="E217" s="1438"/>
      <c r="F217" s="1438"/>
      <c r="G217" s="1438"/>
      <c r="H217" s="1438"/>
    </row>
    <row r="218" spans="1:10" s="1404" customFormat="1">
      <c r="A218" s="1477"/>
      <c r="B218" s="1477"/>
      <c r="D218" s="1438"/>
      <c r="E218" s="1438"/>
      <c r="F218" s="1438"/>
      <c r="G218" s="1438"/>
      <c r="H218" s="1438"/>
    </row>
    <row r="219" spans="1:10" s="1404" customFormat="1">
      <c r="A219" s="1477"/>
      <c r="B219" s="1477"/>
      <c r="D219" s="1438"/>
      <c r="E219" s="1438"/>
      <c r="F219" s="1438"/>
      <c r="G219" s="1438"/>
      <c r="H219" s="1438"/>
    </row>
    <row r="220" spans="1:10" s="1404" customFormat="1">
      <c r="A220" s="1477"/>
      <c r="B220" s="1477"/>
      <c r="D220" s="1438"/>
      <c r="E220" s="1438"/>
      <c r="F220" s="1438"/>
      <c r="G220" s="1438"/>
      <c r="H220" s="1438"/>
    </row>
    <row r="221" spans="1:10" s="1404" customFormat="1">
      <c r="A221" s="1477"/>
      <c r="B221" s="1477"/>
      <c r="D221" s="1438"/>
      <c r="E221" s="1438"/>
      <c r="F221" s="1438"/>
      <c r="G221" s="1438"/>
      <c r="H221" s="1438"/>
    </row>
    <row r="222" spans="1:10" s="1404" customFormat="1">
      <c r="A222" s="1477"/>
      <c r="B222" s="1477"/>
      <c r="D222" s="1438"/>
      <c r="E222" s="1438"/>
      <c r="F222" s="1438"/>
      <c r="G222" s="1438"/>
      <c r="H222" s="1438"/>
    </row>
    <row r="223" spans="1:10" s="1404" customFormat="1">
      <c r="A223" s="1477"/>
      <c r="B223" s="1477"/>
      <c r="D223" s="1438"/>
      <c r="E223" s="1438"/>
      <c r="F223" s="1438"/>
      <c r="G223" s="1438"/>
      <c r="H223" s="1438"/>
    </row>
    <row r="224" spans="1:10" s="1404" customFormat="1">
      <c r="A224" s="1477"/>
      <c r="B224" s="1477"/>
      <c r="D224" s="1438"/>
      <c r="E224" s="1438"/>
      <c r="F224" s="1438"/>
      <c r="G224" s="1438"/>
      <c r="H224" s="1438"/>
    </row>
    <row r="225" spans="1:8" s="1404" customFormat="1">
      <c r="A225" s="1477"/>
      <c r="B225" s="1477"/>
      <c r="D225" s="1438"/>
      <c r="E225" s="1438"/>
      <c r="F225" s="1438"/>
      <c r="G225" s="1438"/>
      <c r="H225" s="1438"/>
    </row>
    <row r="226" spans="1:8" s="1404" customFormat="1">
      <c r="A226" s="1477"/>
      <c r="B226" s="1477"/>
      <c r="D226" s="1438"/>
      <c r="E226" s="1438"/>
      <c r="F226" s="1438"/>
      <c r="G226" s="1438"/>
      <c r="H226" s="1438"/>
    </row>
    <row r="227" spans="1:8" s="1404" customFormat="1">
      <c r="A227" s="1477"/>
      <c r="B227" s="1477"/>
      <c r="D227" s="1438"/>
      <c r="E227" s="1438"/>
      <c r="F227" s="1438"/>
      <c r="G227" s="1438"/>
      <c r="H227" s="1438"/>
    </row>
    <row r="228" spans="1:8" s="1404" customFormat="1">
      <c r="A228" s="1477"/>
      <c r="B228" s="1477"/>
      <c r="D228" s="1438"/>
      <c r="E228" s="1438"/>
      <c r="F228" s="1438"/>
      <c r="G228" s="1438"/>
      <c r="H228" s="1438"/>
    </row>
    <row r="229" spans="1:8" s="1404" customFormat="1">
      <c r="A229" s="1477"/>
      <c r="B229" s="1477"/>
      <c r="D229" s="1438"/>
      <c r="E229" s="1438"/>
      <c r="F229" s="1438"/>
      <c r="G229" s="1438"/>
      <c r="H229" s="1438"/>
    </row>
    <row r="230" spans="1:8" s="1404" customFormat="1">
      <c r="A230" s="1477"/>
      <c r="B230" s="1477"/>
      <c r="D230" s="1438"/>
      <c r="E230" s="1438"/>
      <c r="F230" s="1438"/>
      <c r="G230" s="1438"/>
      <c r="H230" s="1438"/>
    </row>
    <row r="231" spans="1:8" s="1404" customFormat="1">
      <c r="A231" s="1477"/>
      <c r="B231" s="1477"/>
      <c r="D231" s="1438"/>
      <c r="E231" s="1438"/>
      <c r="F231" s="1438"/>
      <c r="G231" s="1438"/>
      <c r="H231" s="1438"/>
    </row>
    <row r="232" spans="1:8" s="1404" customFormat="1">
      <c r="A232" s="1477"/>
      <c r="B232" s="1477"/>
      <c r="D232" s="1438"/>
      <c r="E232" s="1438"/>
      <c r="F232" s="1438"/>
      <c r="G232" s="1438"/>
      <c r="H232" s="1438"/>
    </row>
    <row r="233" spans="1:8" s="1404" customFormat="1">
      <c r="A233" s="1477"/>
      <c r="B233" s="1477"/>
      <c r="D233" s="1438"/>
      <c r="E233" s="1438"/>
      <c r="F233" s="1438"/>
      <c r="G233" s="1438"/>
      <c r="H233" s="1438"/>
    </row>
    <row r="234" spans="1:8" s="1404" customFormat="1">
      <c r="A234" s="1477"/>
      <c r="B234" s="1477"/>
      <c r="D234" s="1478"/>
      <c r="E234" s="1478"/>
      <c r="F234" s="1478"/>
      <c r="G234" s="1478"/>
      <c r="H234" s="1478"/>
    </row>
    <row r="235" spans="1:8" s="1404" customFormat="1">
      <c r="A235" s="1477"/>
      <c r="B235" s="1477"/>
      <c r="D235" s="1478"/>
      <c r="E235" s="1478"/>
      <c r="F235" s="1478"/>
      <c r="G235" s="1478"/>
      <c r="H235" s="1478"/>
    </row>
    <row r="236" spans="1:8" s="1404" customFormat="1">
      <c r="A236" s="1477"/>
      <c r="B236" s="1477"/>
      <c r="D236" s="1478"/>
      <c r="E236" s="1478"/>
      <c r="F236" s="1478"/>
      <c r="G236" s="1478"/>
      <c r="H236" s="1478"/>
    </row>
    <row r="237" spans="1:8" s="1404" customFormat="1">
      <c r="A237" s="1477"/>
      <c r="B237" s="1477"/>
      <c r="D237" s="1478"/>
      <c r="E237" s="1478"/>
      <c r="F237" s="1478"/>
      <c r="G237" s="1478"/>
      <c r="H237" s="1478"/>
    </row>
    <row r="238" spans="1:8" s="1404" customFormat="1">
      <c r="A238" s="1477"/>
      <c r="B238" s="1477"/>
      <c r="D238" s="1478"/>
      <c r="E238" s="1478"/>
      <c r="F238" s="1478"/>
      <c r="G238" s="1478"/>
      <c r="H238" s="1478"/>
    </row>
    <row r="239" spans="1:8" s="1404" customFormat="1">
      <c r="A239" s="1477"/>
      <c r="B239" s="1477"/>
    </row>
    <row r="240" spans="1:8" s="1404" customFormat="1">
      <c r="A240" s="1477"/>
      <c r="B240" s="1477"/>
      <c r="D240" s="1438"/>
      <c r="E240" s="1438"/>
      <c r="F240" s="1438"/>
      <c r="G240" s="1438"/>
      <c r="H240" s="1438"/>
    </row>
    <row r="241" spans="1:8" s="1404" customFormat="1">
      <c r="A241" s="1477"/>
      <c r="B241" s="1477"/>
      <c r="D241" s="1438"/>
      <c r="E241" s="1438"/>
      <c r="F241" s="1438"/>
      <c r="G241" s="1438"/>
      <c r="H241" s="1438"/>
    </row>
    <row r="242" spans="1:8" s="1404" customFormat="1">
      <c r="A242" s="1477"/>
      <c r="B242" s="1477"/>
      <c r="D242" s="1438"/>
      <c r="E242" s="1438"/>
      <c r="F242" s="1438"/>
      <c r="G242" s="1438"/>
      <c r="H242" s="1438"/>
    </row>
    <row r="243" spans="1:8" s="1404" customFormat="1">
      <c r="A243" s="1477"/>
      <c r="B243" s="1477"/>
      <c r="D243" s="1438"/>
      <c r="E243" s="1438"/>
      <c r="F243" s="1438"/>
      <c r="G243" s="1438"/>
      <c r="H243" s="1438"/>
    </row>
    <row r="244" spans="1:8" s="1404" customFormat="1">
      <c r="A244" s="1477"/>
      <c r="B244" s="1477"/>
      <c r="D244" s="1438"/>
      <c r="E244" s="1438"/>
      <c r="F244" s="1438"/>
      <c r="G244" s="1438"/>
      <c r="H244" s="1438"/>
    </row>
    <row r="245" spans="1:8" s="1404" customFormat="1">
      <c r="A245" s="1477"/>
      <c r="B245" s="1477"/>
      <c r="D245" s="1438"/>
      <c r="E245" s="1438"/>
      <c r="F245" s="1438"/>
      <c r="G245" s="1438"/>
      <c r="H245" s="1438"/>
    </row>
    <row r="246" spans="1:8" s="1404" customFormat="1">
      <c r="A246" s="1477"/>
      <c r="B246" s="1477"/>
      <c r="D246" s="1438"/>
      <c r="E246" s="1438"/>
      <c r="F246" s="1438"/>
      <c r="G246" s="1438"/>
      <c r="H246" s="1438"/>
    </row>
    <row r="247" spans="1:8" s="1404" customFormat="1">
      <c r="A247" s="1477"/>
      <c r="B247" s="1477"/>
      <c r="D247" s="1438"/>
      <c r="E247" s="1438"/>
      <c r="F247" s="1438"/>
      <c r="G247" s="1438"/>
      <c r="H247" s="1438"/>
    </row>
    <row r="248" spans="1:8" s="1404" customFormat="1">
      <c r="A248" s="1477"/>
      <c r="B248" s="1477"/>
      <c r="D248" s="1438"/>
      <c r="E248" s="1438"/>
      <c r="F248" s="1438"/>
      <c r="G248" s="1438"/>
      <c r="H248" s="1438"/>
    </row>
    <row r="249" spans="1:8" s="1404" customFormat="1">
      <c r="A249" s="1477"/>
      <c r="B249" s="1477"/>
      <c r="D249" s="1438"/>
      <c r="E249" s="1438"/>
      <c r="F249" s="1438"/>
      <c r="G249" s="1438"/>
      <c r="H249" s="1438"/>
    </row>
    <row r="250" spans="1:8" s="1404" customFormat="1">
      <c r="A250" s="1477"/>
      <c r="B250" s="1477"/>
      <c r="D250" s="1438"/>
      <c r="E250" s="1438"/>
      <c r="F250" s="1438"/>
      <c r="G250" s="1438"/>
      <c r="H250" s="1438"/>
    </row>
    <row r="251" spans="1:8" s="1404" customFormat="1">
      <c r="A251" s="1477"/>
      <c r="B251" s="1477"/>
      <c r="D251" s="1438"/>
      <c r="E251" s="1438"/>
      <c r="F251" s="1438"/>
      <c r="G251" s="1438"/>
      <c r="H251" s="1438"/>
    </row>
    <row r="252" spans="1:8" s="1404" customFormat="1">
      <c r="A252" s="1477"/>
      <c r="B252" s="1477"/>
      <c r="D252" s="1438"/>
      <c r="E252" s="1438"/>
      <c r="F252" s="1438"/>
      <c r="G252" s="1438"/>
      <c r="H252" s="1438"/>
    </row>
    <row r="253" spans="1:8" s="1404" customFormat="1">
      <c r="A253" s="1477"/>
      <c r="B253" s="1477"/>
      <c r="D253" s="1438"/>
      <c r="E253" s="1438"/>
      <c r="F253" s="1438"/>
      <c r="G253" s="1438"/>
      <c r="H253" s="1438"/>
    </row>
    <row r="254" spans="1:8" s="1404" customFormat="1">
      <c r="A254" s="1477"/>
      <c r="B254" s="1477"/>
      <c r="D254" s="1438"/>
      <c r="E254" s="1438"/>
      <c r="F254" s="1438"/>
      <c r="G254" s="1438"/>
      <c r="H254" s="1438"/>
    </row>
    <row r="255" spans="1:8" s="1404" customFormat="1">
      <c r="A255" s="1477"/>
      <c r="B255" s="1477"/>
      <c r="D255" s="1438"/>
      <c r="E255" s="1438"/>
      <c r="F255" s="1438"/>
      <c r="G255" s="1438"/>
      <c r="H255" s="1438"/>
    </row>
    <row r="256" spans="1:8" s="1404" customFormat="1">
      <c r="A256" s="1477"/>
      <c r="B256" s="1477"/>
      <c r="D256" s="1438"/>
      <c r="E256" s="1438"/>
      <c r="F256" s="1438"/>
      <c r="G256" s="1438"/>
      <c r="H256" s="1438"/>
    </row>
    <row r="257" spans="1:8" s="1404" customFormat="1">
      <c r="A257" s="1477"/>
      <c r="B257" s="1477"/>
      <c r="D257" s="1438"/>
      <c r="E257" s="1438"/>
      <c r="F257" s="1438"/>
      <c r="G257" s="1438"/>
      <c r="H257" s="1438"/>
    </row>
    <row r="258" spans="1:8" s="1404" customFormat="1">
      <c r="A258" s="1477"/>
      <c r="B258" s="1477"/>
      <c r="D258" s="1438"/>
      <c r="E258" s="1438"/>
      <c r="F258" s="1438"/>
      <c r="G258" s="1438"/>
      <c r="H258" s="1438"/>
    </row>
    <row r="259" spans="1:8" s="1404" customFormat="1">
      <c r="A259" s="1477"/>
      <c r="B259" s="1477"/>
      <c r="D259" s="1438"/>
      <c r="E259" s="1438"/>
      <c r="F259" s="1438"/>
      <c r="G259" s="1438"/>
      <c r="H259" s="1438"/>
    </row>
    <row r="260" spans="1:8" s="1404" customFormat="1">
      <c r="A260" s="1477"/>
      <c r="B260" s="1477"/>
      <c r="D260" s="1438"/>
      <c r="E260" s="1438"/>
      <c r="F260" s="1438"/>
      <c r="G260" s="1438"/>
      <c r="H260" s="1438"/>
    </row>
    <row r="261" spans="1:8" s="1404" customFormat="1">
      <c r="A261" s="1477"/>
      <c r="B261" s="1477"/>
      <c r="D261" s="1438"/>
      <c r="E261" s="1438"/>
      <c r="F261" s="1438"/>
      <c r="G261" s="1438"/>
      <c r="H261" s="1438"/>
    </row>
    <row r="262" spans="1:8" s="1404" customFormat="1">
      <c r="A262" s="1477"/>
      <c r="B262" s="1477"/>
      <c r="D262" s="1438"/>
      <c r="E262" s="1438"/>
      <c r="F262" s="1438"/>
      <c r="G262" s="1438"/>
      <c r="H262" s="1438"/>
    </row>
    <row r="263" spans="1:8" s="1404" customFormat="1">
      <c r="A263" s="1477"/>
      <c r="B263" s="1477"/>
      <c r="D263" s="1438"/>
      <c r="E263" s="1438"/>
      <c r="F263" s="1438"/>
      <c r="G263" s="1438"/>
      <c r="H263" s="1438"/>
    </row>
    <row r="264" spans="1:8" s="1404" customFormat="1">
      <c r="A264" s="1477"/>
      <c r="B264" s="1477"/>
      <c r="D264" s="1438"/>
      <c r="E264" s="1438"/>
      <c r="F264" s="1438"/>
      <c r="G264" s="1438"/>
      <c r="H264" s="1438"/>
    </row>
    <row r="265" spans="1:8" s="1404" customFormat="1">
      <c r="A265" s="1477"/>
      <c r="B265" s="1477"/>
      <c r="D265" s="1438"/>
      <c r="E265" s="1438"/>
      <c r="F265" s="1438"/>
      <c r="G265" s="1438"/>
      <c r="H265" s="1438"/>
    </row>
    <row r="266" spans="1:8" s="1404" customFormat="1">
      <c r="A266" s="1477"/>
      <c r="B266" s="1477"/>
      <c r="D266" s="1438"/>
      <c r="E266" s="1438"/>
      <c r="F266" s="1438"/>
      <c r="G266" s="1438"/>
      <c r="H266" s="1438"/>
    </row>
    <row r="267" spans="1:8" s="1404" customFormat="1">
      <c r="A267" s="1477"/>
      <c r="B267" s="1477"/>
      <c r="D267" s="1438"/>
      <c r="E267" s="1438"/>
      <c r="F267" s="1438"/>
      <c r="G267" s="1438"/>
      <c r="H267" s="1438"/>
    </row>
    <row r="268" spans="1:8" s="1404" customFormat="1">
      <c r="A268" s="1477"/>
      <c r="B268" s="1477"/>
      <c r="D268" s="1438"/>
      <c r="E268" s="1438"/>
      <c r="F268" s="1438"/>
      <c r="G268" s="1438"/>
      <c r="H268" s="1438"/>
    </row>
    <row r="269" spans="1:8" s="1404" customFormat="1">
      <c r="A269" s="1477"/>
      <c r="B269" s="1477"/>
      <c r="D269" s="1438"/>
      <c r="E269" s="1438"/>
      <c r="F269" s="1438"/>
      <c r="G269" s="1438"/>
      <c r="H269" s="1438"/>
    </row>
    <row r="270" spans="1:8" s="1404" customFormat="1">
      <c r="A270" s="1477"/>
      <c r="B270" s="1477"/>
      <c r="D270" s="1438"/>
      <c r="E270" s="1438"/>
      <c r="F270" s="1438"/>
      <c r="G270" s="1438"/>
      <c r="H270" s="1438"/>
    </row>
    <row r="271" spans="1:8" s="1404" customFormat="1">
      <c r="A271" s="1477"/>
      <c r="B271" s="1477"/>
      <c r="D271" s="1438"/>
      <c r="E271" s="1438"/>
      <c r="F271" s="1438"/>
      <c r="G271" s="1438"/>
      <c r="H271" s="1438"/>
    </row>
    <row r="272" spans="1:8" s="1404" customFormat="1">
      <c r="A272" s="1477"/>
      <c r="B272" s="1477"/>
      <c r="D272" s="1438"/>
      <c r="E272" s="1438"/>
      <c r="F272" s="1438"/>
      <c r="G272" s="1438"/>
      <c r="H272" s="1438"/>
    </row>
    <row r="273" spans="1:8" s="1404" customFormat="1">
      <c r="A273" s="1477"/>
      <c r="B273" s="1477"/>
      <c r="D273" s="1438"/>
      <c r="E273" s="1438"/>
      <c r="F273" s="1438"/>
      <c r="G273" s="1438"/>
      <c r="H273" s="1438"/>
    </row>
    <row r="274" spans="1:8" s="1404" customFormat="1">
      <c r="A274" s="1477"/>
      <c r="B274" s="1477"/>
      <c r="D274" s="1438"/>
      <c r="E274" s="1438"/>
      <c r="F274" s="1438"/>
      <c r="G274" s="1438"/>
      <c r="H274" s="1438"/>
    </row>
    <row r="275" spans="1:8" s="1404" customFormat="1">
      <c r="A275" s="1477"/>
      <c r="B275" s="1477"/>
      <c r="D275" s="1438"/>
      <c r="E275" s="1438"/>
      <c r="F275" s="1438"/>
      <c r="G275" s="1438"/>
      <c r="H275" s="1438"/>
    </row>
    <row r="276" spans="1:8" s="1404" customFormat="1">
      <c r="A276" s="1477"/>
      <c r="B276" s="1477"/>
      <c r="D276" s="1438"/>
      <c r="E276" s="1438"/>
      <c r="F276" s="1438"/>
      <c r="G276" s="1438"/>
      <c r="H276" s="1438"/>
    </row>
    <row r="277" spans="1:8" s="1404" customFormat="1">
      <c r="A277" s="1477"/>
      <c r="B277" s="1477"/>
      <c r="D277" s="1438"/>
      <c r="E277" s="1438"/>
      <c r="F277" s="1438"/>
      <c r="G277" s="1438"/>
      <c r="H277" s="1438"/>
    </row>
    <row r="278" spans="1:8" s="1404" customFormat="1">
      <c r="A278" s="1477"/>
      <c r="B278" s="1477"/>
      <c r="D278" s="1438"/>
      <c r="E278" s="1438"/>
      <c r="F278" s="1438"/>
      <c r="G278" s="1438"/>
      <c r="H278" s="1438"/>
    </row>
    <row r="279" spans="1:8" s="1404" customFormat="1">
      <c r="A279" s="1477"/>
      <c r="B279" s="1477"/>
      <c r="D279" s="1438"/>
      <c r="E279" s="1438"/>
      <c r="F279" s="1438"/>
      <c r="G279" s="1438"/>
      <c r="H279" s="1438"/>
    </row>
    <row r="280" spans="1:8" s="1404" customFormat="1">
      <c r="A280" s="1477"/>
      <c r="B280" s="1477"/>
      <c r="D280" s="1438"/>
      <c r="E280" s="1438"/>
      <c r="F280" s="1438"/>
      <c r="G280" s="1438"/>
      <c r="H280" s="1438"/>
    </row>
    <row r="281" spans="1:8" s="1404" customFormat="1">
      <c r="A281" s="1477"/>
      <c r="B281" s="1477"/>
      <c r="D281" s="1438"/>
      <c r="E281" s="1438"/>
      <c r="F281" s="1438"/>
      <c r="G281" s="1438"/>
      <c r="H281" s="1438"/>
    </row>
    <row r="282" spans="1:8" s="1404" customFormat="1">
      <c r="A282" s="1477"/>
      <c r="B282" s="1477"/>
      <c r="D282" s="1438"/>
      <c r="E282" s="1438"/>
      <c r="F282" s="1438"/>
      <c r="G282" s="1438"/>
      <c r="H282" s="1438"/>
    </row>
    <row r="283" spans="1:8" s="1404" customFormat="1">
      <c r="A283" s="1477"/>
      <c r="B283" s="1477"/>
      <c r="D283" s="1438"/>
      <c r="E283" s="1438"/>
      <c r="F283" s="1438"/>
      <c r="G283" s="1438"/>
      <c r="H283" s="1438"/>
    </row>
    <row r="284" spans="1:8" s="1404" customFormat="1">
      <c r="A284" s="1477"/>
      <c r="B284" s="1477"/>
      <c r="D284" s="1438"/>
      <c r="E284" s="1438"/>
      <c r="F284" s="1438"/>
      <c r="G284" s="1438"/>
      <c r="H284" s="1438"/>
    </row>
    <row r="285" spans="1:8" s="1404" customFormat="1">
      <c r="A285" s="1477"/>
      <c r="B285" s="1477"/>
      <c r="D285" s="1438"/>
      <c r="E285" s="1438"/>
      <c r="F285" s="1438"/>
      <c r="G285" s="1438"/>
      <c r="H285" s="1438"/>
    </row>
    <row r="286" spans="1:8" s="1404" customFormat="1">
      <c r="A286" s="1477"/>
      <c r="B286" s="1477"/>
      <c r="D286" s="1438"/>
      <c r="E286" s="1438"/>
      <c r="F286" s="1438"/>
      <c r="G286" s="1438"/>
      <c r="H286" s="1438"/>
    </row>
    <row r="287" spans="1:8" s="1404" customFormat="1">
      <c r="A287" s="1477"/>
      <c r="B287" s="1477"/>
      <c r="D287" s="1438"/>
      <c r="E287" s="1438"/>
      <c r="F287" s="1438"/>
      <c r="G287" s="1438"/>
      <c r="H287" s="1438"/>
    </row>
    <row r="288" spans="1:8" s="1404" customFormat="1">
      <c r="A288" s="1477"/>
      <c r="B288" s="1477"/>
      <c r="D288" s="1438"/>
      <c r="E288" s="1438"/>
      <c r="F288" s="1438"/>
      <c r="G288" s="1438"/>
      <c r="H288" s="1438"/>
    </row>
    <row r="289" spans="1:8" s="1404" customFormat="1">
      <c r="A289" s="1477"/>
      <c r="B289" s="1477"/>
      <c r="D289" s="1438"/>
      <c r="E289" s="1438"/>
      <c r="F289" s="1438"/>
      <c r="G289" s="1438"/>
      <c r="H289" s="1438"/>
    </row>
    <row r="290" spans="1:8" s="1404" customFormat="1">
      <c r="A290" s="1477"/>
      <c r="B290" s="1477"/>
      <c r="D290" s="1438"/>
      <c r="E290" s="1438"/>
      <c r="F290" s="1438"/>
      <c r="G290" s="1438"/>
      <c r="H290" s="1438"/>
    </row>
    <row r="291" spans="1:8" s="1404" customFormat="1">
      <c r="A291" s="1477"/>
      <c r="B291" s="1477"/>
      <c r="D291" s="1438"/>
      <c r="E291" s="1438"/>
      <c r="F291" s="1438"/>
      <c r="G291" s="1438"/>
      <c r="H291" s="1438"/>
    </row>
    <row r="292" spans="1:8" s="1404" customFormat="1">
      <c r="A292" s="1477"/>
      <c r="B292" s="1477"/>
      <c r="D292" s="1438"/>
      <c r="E292" s="1438"/>
      <c r="F292" s="1438"/>
      <c r="G292" s="1438"/>
      <c r="H292" s="1438"/>
    </row>
    <row r="293" spans="1:8" s="1404" customFormat="1">
      <c r="A293" s="1477"/>
      <c r="B293" s="1477"/>
      <c r="D293" s="1438"/>
      <c r="E293" s="1438"/>
      <c r="F293" s="1438"/>
      <c r="G293" s="1438"/>
      <c r="H293" s="1438"/>
    </row>
    <row r="294" spans="1:8" s="1404" customFormat="1">
      <c r="A294" s="1477"/>
      <c r="B294" s="1477"/>
      <c r="D294" s="1438"/>
      <c r="E294" s="1438"/>
      <c r="F294" s="1438"/>
      <c r="G294" s="1438"/>
      <c r="H294" s="1438"/>
    </row>
    <row r="295" spans="1:8" s="1404" customFormat="1">
      <c r="A295" s="1477"/>
      <c r="B295" s="1477"/>
      <c r="D295" s="1438"/>
      <c r="E295" s="1438"/>
      <c r="F295" s="1438"/>
      <c r="G295" s="1438"/>
      <c r="H295" s="1438"/>
    </row>
    <row r="296" spans="1:8" s="1404" customFormat="1">
      <c r="A296" s="1477"/>
      <c r="B296" s="1477"/>
      <c r="D296" s="1438"/>
      <c r="E296" s="1438"/>
      <c r="F296" s="1438"/>
      <c r="G296" s="1438"/>
      <c r="H296" s="1438"/>
    </row>
    <row r="297" spans="1:8" s="1404" customFormat="1">
      <c r="A297" s="1477"/>
      <c r="B297" s="1477"/>
      <c r="D297" s="1438"/>
      <c r="E297" s="1438"/>
      <c r="F297" s="1438"/>
      <c r="G297" s="1438"/>
      <c r="H297" s="1438"/>
    </row>
    <row r="298" spans="1:8" s="1404" customFormat="1">
      <c r="A298" s="1477"/>
      <c r="B298" s="1477"/>
      <c r="D298" s="1438"/>
      <c r="E298" s="1438"/>
      <c r="F298" s="1438"/>
      <c r="G298" s="1438"/>
      <c r="H298" s="1438"/>
    </row>
    <row r="299" spans="1:8" s="1404" customFormat="1">
      <c r="A299" s="1477"/>
      <c r="B299" s="1477"/>
      <c r="D299" s="1438"/>
      <c r="E299" s="1438"/>
      <c r="F299" s="1438"/>
      <c r="G299" s="1438"/>
      <c r="H299" s="1438"/>
    </row>
    <row r="300" spans="1:8" s="1404" customFormat="1">
      <c r="A300" s="1477"/>
      <c r="B300" s="1477"/>
      <c r="D300" s="1438"/>
      <c r="E300" s="1438"/>
      <c r="F300" s="1438"/>
      <c r="G300" s="1438"/>
      <c r="H300" s="1438"/>
    </row>
    <row r="301" spans="1:8" s="1404" customFormat="1">
      <c r="A301" s="1477"/>
      <c r="B301" s="1477"/>
      <c r="D301" s="1438"/>
      <c r="E301" s="1438"/>
      <c r="F301" s="1438"/>
      <c r="G301" s="1438"/>
      <c r="H301" s="1438"/>
    </row>
    <row r="302" spans="1:8" s="1404" customFormat="1">
      <c r="A302" s="1477"/>
      <c r="B302" s="1477"/>
      <c r="D302" s="1438"/>
      <c r="E302" s="1438"/>
      <c r="F302" s="1438"/>
      <c r="G302" s="1438"/>
      <c r="H302" s="1438"/>
    </row>
    <row r="303" spans="1:8" s="1404" customFormat="1">
      <c r="A303" s="1477"/>
      <c r="B303" s="1477"/>
      <c r="D303" s="1438"/>
      <c r="E303" s="1438"/>
      <c r="F303" s="1438"/>
      <c r="G303" s="1438"/>
      <c r="H303" s="1438"/>
    </row>
    <row r="304" spans="1:8" s="1404" customFormat="1">
      <c r="A304" s="1477"/>
      <c r="B304" s="1477"/>
      <c r="D304" s="1438"/>
      <c r="E304" s="1438"/>
      <c r="F304" s="1438"/>
      <c r="G304" s="1438"/>
      <c r="H304" s="1438"/>
    </row>
    <row r="305" spans="1:8" s="1404" customFormat="1">
      <c r="A305" s="1477"/>
      <c r="B305" s="1477"/>
      <c r="D305" s="1438"/>
      <c r="E305" s="1438"/>
      <c r="F305" s="1438"/>
      <c r="G305" s="1438"/>
      <c r="H305" s="1438"/>
    </row>
    <row r="306" spans="1:8" s="1404" customFormat="1">
      <c r="A306" s="1477"/>
      <c r="B306" s="1477"/>
      <c r="D306" s="1438"/>
      <c r="E306" s="1438"/>
      <c r="F306" s="1438"/>
      <c r="G306" s="1438"/>
      <c r="H306" s="1438"/>
    </row>
    <row r="307" spans="1:8" s="1404" customFormat="1">
      <c r="A307" s="1477"/>
      <c r="B307" s="1477"/>
      <c r="D307" s="1438"/>
      <c r="E307" s="1438"/>
      <c r="F307" s="1438"/>
      <c r="G307" s="1438"/>
      <c r="H307" s="1438"/>
    </row>
    <row r="308" spans="1:8" s="1404" customFormat="1">
      <c r="A308" s="1477"/>
      <c r="B308" s="1477"/>
      <c r="D308" s="1438"/>
      <c r="E308" s="1438"/>
      <c r="F308" s="1438"/>
      <c r="G308" s="1438"/>
      <c r="H308" s="1438"/>
    </row>
    <row r="309" spans="1:8" s="1404" customFormat="1">
      <c r="A309" s="1477"/>
      <c r="B309" s="1477"/>
      <c r="D309" s="1438"/>
      <c r="E309" s="1438"/>
      <c r="F309" s="1438"/>
      <c r="G309" s="1438"/>
      <c r="H309" s="1438"/>
    </row>
    <row r="310" spans="1:8" s="1404" customFormat="1">
      <c r="A310" s="1477"/>
      <c r="B310" s="1477"/>
      <c r="D310" s="1438"/>
      <c r="E310" s="1438"/>
      <c r="F310" s="1438"/>
      <c r="G310" s="1438"/>
      <c r="H310" s="1438"/>
    </row>
    <row r="311" spans="1:8" s="1404" customFormat="1">
      <c r="A311" s="1477"/>
      <c r="B311" s="1477"/>
      <c r="D311" s="1438"/>
      <c r="E311" s="1438"/>
      <c r="F311" s="1438"/>
      <c r="G311" s="1438"/>
      <c r="H311" s="1438"/>
    </row>
    <row r="312" spans="1:8" s="1404" customFormat="1">
      <c r="A312" s="1477"/>
      <c r="B312" s="1477"/>
      <c r="D312" s="1438"/>
      <c r="E312" s="1438"/>
      <c r="F312" s="1438"/>
      <c r="G312" s="1438"/>
      <c r="H312" s="1438"/>
    </row>
    <row r="313" spans="1:8" s="1404" customFormat="1">
      <c r="A313" s="1477"/>
      <c r="B313" s="1477"/>
      <c r="D313" s="1438"/>
      <c r="E313" s="1438"/>
      <c r="F313" s="1438"/>
      <c r="G313" s="1438"/>
      <c r="H313" s="1438"/>
    </row>
    <row r="314" spans="1:8" s="1404" customFormat="1">
      <c r="A314" s="1477"/>
      <c r="B314" s="1477"/>
      <c r="D314" s="1438"/>
      <c r="E314" s="1438"/>
      <c r="F314" s="1438"/>
      <c r="G314" s="1438"/>
      <c r="H314" s="1438"/>
    </row>
    <row r="315" spans="1:8" s="1404" customFormat="1">
      <c r="A315" s="1477"/>
      <c r="B315" s="1477"/>
      <c r="D315" s="1438"/>
      <c r="E315" s="1438"/>
      <c r="F315" s="1438"/>
      <c r="G315" s="1438"/>
      <c r="H315" s="1438"/>
    </row>
    <row r="316" spans="1:8" s="1404" customFormat="1">
      <c r="A316" s="1477"/>
      <c r="B316" s="1477"/>
      <c r="D316" s="1438"/>
      <c r="E316" s="1438"/>
      <c r="F316" s="1438"/>
      <c r="G316" s="1438"/>
      <c r="H316" s="1438"/>
    </row>
    <row r="317" spans="1:8" s="1404" customFormat="1">
      <c r="A317" s="1477"/>
      <c r="B317" s="1477"/>
      <c r="D317" s="1438"/>
      <c r="E317" s="1438"/>
      <c r="F317" s="1438"/>
      <c r="G317" s="1438"/>
      <c r="H317" s="1438"/>
    </row>
    <row r="318" spans="1:8" s="1404" customFormat="1">
      <c r="A318" s="1477"/>
      <c r="B318" s="1477"/>
      <c r="D318" s="1438"/>
      <c r="E318" s="1438"/>
      <c r="F318" s="1438"/>
      <c r="G318" s="1438"/>
      <c r="H318" s="1438"/>
    </row>
    <row r="319" spans="1:8" s="1404" customFormat="1">
      <c r="A319" s="1477"/>
      <c r="B319" s="1477"/>
      <c r="D319" s="1438"/>
      <c r="E319" s="1438"/>
      <c r="F319" s="1438"/>
      <c r="G319" s="1438"/>
      <c r="H319" s="1438"/>
    </row>
    <row r="320" spans="1:8" s="1404" customFormat="1">
      <c r="A320" s="1477"/>
      <c r="B320" s="1477"/>
      <c r="D320" s="1438"/>
      <c r="E320" s="1438"/>
      <c r="F320" s="1438"/>
      <c r="G320" s="1438"/>
      <c r="H320" s="1438"/>
    </row>
    <row r="321" spans="1:8" s="1404" customFormat="1">
      <c r="A321" s="1477"/>
      <c r="B321" s="1477"/>
      <c r="D321" s="1438"/>
      <c r="E321" s="1438"/>
      <c r="F321" s="1438"/>
      <c r="G321" s="1438"/>
      <c r="H321" s="1438"/>
    </row>
    <row r="322" spans="1:8" s="1404" customFormat="1">
      <c r="A322" s="1477"/>
      <c r="B322" s="1477"/>
      <c r="D322" s="1438"/>
      <c r="E322" s="1438"/>
      <c r="F322" s="1438"/>
      <c r="G322" s="1438"/>
      <c r="H322" s="1438"/>
    </row>
    <row r="323" spans="1:8" s="1404" customFormat="1">
      <c r="A323" s="1477"/>
      <c r="B323" s="1477"/>
      <c r="D323" s="1438"/>
      <c r="E323" s="1438"/>
      <c r="F323" s="1438"/>
      <c r="G323" s="1438"/>
      <c r="H323" s="1438"/>
    </row>
    <row r="324" spans="1:8" s="1404" customFormat="1">
      <c r="A324" s="1477"/>
      <c r="B324" s="1477"/>
      <c r="D324" s="1438"/>
      <c r="E324" s="1438"/>
      <c r="F324" s="1438"/>
      <c r="G324" s="1438"/>
      <c r="H324" s="1438"/>
    </row>
    <row r="325" spans="1:8" s="1404" customFormat="1">
      <c r="A325" s="1477"/>
      <c r="B325" s="1477"/>
      <c r="D325" s="1438"/>
      <c r="E325" s="1438"/>
      <c r="F325" s="1438"/>
      <c r="G325" s="1438"/>
      <c r="H325" s="1438"/>
    </row>
    <row r="326" spans="1:8" s="1404" customFormat="1">
      <c r="A326" s="1477"/>
      <c r="B326" s="1477"/>
      <c r="D326" s="1438"/>
      <c r="E326" s="1438"/>
      <c r="F326" s="1438"/>
      <c r="G326" s="1438"/>
      <c r="H326" s="1438"/>
    </row>
    <row r="327" spans="1:8" s="1404" customFormat="1">
      <c r="A327" s="1477"/>
      <c r="B327" s="1477"/>
      <c r="D327" s="1438"/>
      <c r="E327" s="1438"/>
      <c r="F327" s="1438"/>
      <c r="G327" s="1438"/>
      <c r="H327" s="1438"/>
    </row>
    <row r="328" spans="1:8" s="1404" customFormat="1">
      <c r="A328" s="1477"/>
      <c r="B328" s="1477"/>
      <c r="D328" s="1438"/>
      <c r="E328" s="1438"/>
      <c r="F328" s="1438"/>
      <c r="G328" s="1438"/>
      <c r="H328" s="1438"/>
    </row>
    <row r="329" spans="1:8" s="1404" customFormat="1">
      <c r="A329" s="1477"/>
      <c r="B329" s="1477"/>
      <c r="D329" s="1438"/>
      <c r="E329" s="1438"/>
      <c r="F329" s="1438"/>
      <c r="G329" s="1438"/>
      <c r="H329" s="1438"/>
    </row>
    <row r="330" spans="1:8" s="1404" customFormat="1">
      <c r="A330" s="1477"/>
      <c r="B330" s="1477"/>
      <c r="D330" s="1438"/>
      <c r="E330" s="1438"/>
      <c r="F330" s="1438"/>
      <c r="G330" s="1438"/>
      <c r="H330" s="1438"/>
    </row>
    <row r="331" spans="1:8" s="1404" customFormat="1">
      <c r="A331" s="1477"/>
      <c r="B331" s="1477"/>
      <c r="D331" s="1438"/>
      <c r="E331" s="1438"/>
      <c r="F331" s="1438"/>
      <c r="G331" s="1438"/>
      <c r="H331" s="1438"/>
    </row>
    <row r="332" spans="1:8" s="1404" customFormat="1">
      <c r="A332" s="1477"/>
      <c r="B332" s="1477"/>
      <c r="D332" s="1438"/>
      <c r="E332" s="1438"/>
      <c r="F332" s="1438"/>
      <c r="G332" s="1438"/>
      <c r="H332" s="1438"/>
    </row>
    <row r="333" spans="1:8" s="1404" customFormat="1">
      <c r="A333" s="1477"/>
      <c r="B333" s="1477"/>
      <c r="D333" s="1438"/>
      <c r="E333" s="1438"/>
      <c r="F333" s="1438"/>
      <c r="G333" s="1438"/>
      <c r="H333" s="1438"/>
    </row>
    <row r="334" spans="1:8" s="1404" customFormat="1">
      <c r="A334" s="1477"/>
      <c r="B334" s="1477"/>
      <c r="D334" s="1438"/>
      <c r="E334" s="1438"/>
      <c r="F334" s="1438"/>
      <c r="G334" s="1438"/>
      <c r="H334" s="1438"/>
    </row>
    <row r="335" spans="1:8" s="1404" customFormat="1">
      <c r="A335" s="1477"/>
      <c r="B335" s="1477"/>
      <c r="D335" s="1438"/>
      <c r="E335" s="1438"/>
      <c r="F335" s="1438"/>
      <c r="G335" s="1438"/>
      <c r="H335" s="1438"/>
    </row>
    <row r="336" spans="1:8" s="1404" customFormat="1">
      <c r="A336" s="1477"/>
      <c r="B336" s="1477"/>
      <c r="D336" s="1438"/>
      <c r="E336" s="1438"/>
      <c r="F336" s="1438"/>
      <c r="G336" s="1438"/>
      <c r="H336" s="1438"/>
    </row>
    <row r="337" spans="1:8" s="1404" customFormat="1">
      <c r="A337" s="1477"/>
      <c r="B337" s="1477"/>
      <c r="D337" s="1438"/>
      <c r="E337" s="1438"/>
      <c r="F337" s="1438"/>
      <c r="G337" s="1438"/>
      <c r="H337" s="1438"/>
    </row>
    <row r="338" spans="1:8" s="1404" customFormat="1">
      <c r="A338" s="1477"/>
      <c r="B338" s="1477"/>
      <c r="D338" s="1438"/>
      <c r="E338" s="1438"/>
      <c r="F338" s="1438"/>
      <c r="G338" s="1438"/>
      <c r="H338" s="1438"/>
    </row>
    <row r="339" spans="1:8" s="1404" customFormat="1">
      <c r="A339" s="1477"/>
      <c r="B339" s="1477"/>
      <c r="D339" s="1438"/>
      <c r="E339" s="1438"/>
      <c r="F339" s="1438"/>
      <c r="G339" s="1438"/>
      <c r="H339" s="1438"/>
    </row>
    <row r="340" spans="1:8" s="1404" customFormat="1">
      <c r="A340" s="1477"/>
      <c r="B340" s="1477"/>
      <c r="D340" s="1438"/>
      <c r="E340" s="1438"/>
      <c r="F340" s="1438"/>
      <c r="G340" s="1438"/>
      <c r="H340" s="1438"/>
    </row>
    <row r="341" spans="1:8" s="1404" customFormat="1">
      <c r="A341" s="1477"/>
      <c r="B341" s="1477"/>
      <c r="D341" s="1438"/>
      <c r="E341" s="1438"/>
      <c r="F341" s="1438"/>
      <c r="G341" s="1438"/>
      <c r="H341" s="1438"/>
    </row>
    <row r="342" spans="1:8" s="1404" customFormat="1">
      <c r="A342" s="1477"/>
      <c r="B342" s="1477"/>
      <c r="D342" s="1438"/>
      <c r="E342" s="1438"/>
      <c r="F342" s="1438"/>
      <c r="G342" s="1438"/>
      <c r="H342" s="1438"/>
    </row>
    <row r="343" spans="1:8" s="1404" customFormat="1">
      <c r="A343" s="1477"/>
      <c r="B343" s="1477"/>
      <c r="D343" s="1438"/>
      <c r="E343" s="1438"/>
      <c r="F343" s="1438"/>
      <c r="G343" s="1438"/>
      <c r="H343" s="1438"/>
    </row>
    <row r="344" spans="1:8" s="1404" customFormat="1">
      <c r="A344" s="1477"/>
      <c r="B344" s="1477"/>
      <c r="D344" s="1438"/>
      <c r="E344" s="1438"/>
      <c r="F344" s="1438"/>
      <c r="G344" s="1438"/>
      <c r="H344" s="1438"/>
    </row>
    <row r="345" spans="1:8" s="1404" customFormat="1">
      <c r="A345" s="1477"/>
      <c r="B345" s="1477"/>
      <c r="D345" s="1438"/>
      <c r="E345" s="1438"/>
      <c r="F345" s="1438"/>
      <c r="G345" s="1438"/>
      <c r="H345" s="1438"/>
    </row>
    <row r="346" spans="1:8" s="1404" customFormat="1">
      <c r="A346" s="1477"/>
      <c r="B346" s="1477"/>
      <c r="D346" s="1438"/>
      <c r="E346" s="1438"/>
      <c r="F346" s="1438"/>
      <c r="G346" s="1438"/>
      <c r="H346" s="1438"/>
    </row>
    <row r="347" spans="1:8" s="1404" customFormat="1">
      <c r="A347" s="1477"/>
      <c r="B347" s="1477"/>
      <c r="D347" s="1438"/>
      <c r="E347" s="1438"/>
      <c r="F347" s="1438"/>
      <c r="G347" s="1438"/>
      <c r="H347" s="1438"/>
    </row>
    <row r="348" spans="1:8" s="1404" customFormat="1">
      <c r="A348" s="1477"/>
      <c r="B348" s="1477"/>
      <c r="D348" s="1438"/>
      <c r="E348" s="1438"/>
      <c r="F348" s="1438"/>
      <c r="G348" s="1438"/>
      <c r="H348" s="1438"/>
    </row>
    <row r="349" spans="1:8" s="1404" customFormat="1">
      <c r="A349" s="1477"/>
      <c r="B349" s="1477"/>
      <c r="D349" s="1438"/>
      <c r="E349" s="1438"/>
      <c r="F349" s="1438"/>
      <c r="G349" s="1438"/>
      <c r="H349" s="1438"/>
    </row>
    <row r="350" spans="1:8" s="1404" customFormat="1">
      <c r="A350" s="1477"/>
      <c r="B350" s="1477"/>
      <c r="D350" s="1438"/>
      <c r="E350" s="1438"/>
      <c r="F350" s="1438"/>
      <c r="G350" s="1438"/>
      <c r="H350" s="1438"/>
    </row>
    <row r="351" spans="1:8" s="1404" customFormat="1">
      <c r="A351" s="1477"/>
      <c r="B351" s="1477"/>
      <c r="D351" s="1438"/>
      <c r="E351" s="1438"/>
      <c r="F351" s="1438"/>
      <c r="G351" s="1438"/>
      <c r="H351" s="1438"/>
    </row>
    <row r="352" spans="1:8" s="1404" customFormat="1">
      <c r="A352" s="1477"/>
      <c r="B352" s="1477"/>
      <c r="D352" s="1438"/>
      <c r="E352" s="1438"/>
      <c r="F352" s="1438"/>
      <c r="G352" s="1438"/>
      <c r="H352" s="1438"/>
    </row>
    <row r="353" spans="1:8" s="1404" customFormat="1">
      <c r="A353" s="1477"/>
      <c r="B353" s="1477"/>
      <c r="D353" s="1438"/>
      <c r="E353" s="1438"/>
      <c r="F353" s="1438"/>
      <c r="G353" s="1438"/>
      <c r="H353" s="1438"/>
    </row>
    <row r="354" spans="1:8" s="1404" customFormat="1">
      <c r="A354" s="1477"/>
      <c r="B354" s="1477"/>
      <c r="D354" s="1438"/>
      <c r="E354" s="1438"/>
      <c r="F354" s="1438"/>
      <c r="G354" s="1438"/>
      <c r="H354" s="1438"/>
    </row>
    <row r="355" spans="1:8" s="1404" customFormat="1">
      <c r="A355" s="1477"/>
      <c r="B355" s="1477"/>
      <c r="D355" s="1438"/>
      <c r="E355" s="1438"/>
      <c r="F355" s="1438"/>
      <c r="G355" s="1438"/>
      <c r="H355" s="1438"/>
    </row>
    <row r="356" spans="1:8" s="1404" customFormat="1">
      <c r="A356" s="1477"/>
      <c r="B356" s="1477"/>
      <c r="D356" s="1438"/>
      <c r="E356" s="1438"/>
      <c r="F356" s="1438"/>
      <c r="G356" s="1438"/>
      <c r="H356" s="1438"/>
    </row>
    <row r="357" spans="1:8" s="1404" customFormat="1">
      <c r="A357" s="1477"/>
      <c r="B357" s="1477"/>
      <c r="D357" s="1438"/>
      <c r="E357" s="1438"/>
      <c r="F357" s="1438"/>
      <c r="G357" s="1438"/>
      <c r="H357" s="1438"/>
    </row>
    <row r="358" spans="1:8" s="1404" customFormat="1">
      <c r="A358" s="1477"/>
      <c r="B358" s="1477"/>
      <c r="D358" s="1438"/>
      <c r="E358" s="1438"/>
      <c r="F358" s="1438"/>
      <c r="G358" s="1438"/>
      <c r="H358" s="1438"/>
    </row>
    <row r="359" spans="1:8" s="1404" customFormat="1">
      <c r="A359" s="1477"/>
      <c r="B359" s="1477"/>
      <c r="D359" s="1438"/>
      <c r="E359" s="1438"/>
      <c r="F359" s="1438"/>
      <c r="G359" s="1438"/>
      <c r="H359" s="1438"/>
    </row>
    <row r="360" spans="1:8" s="1404" customFormat="1">
      <c r="A360" s="1477"/>
      <c r="B360" s="1477"/>
      <c r="D360" s="1438"/>
      <c r="E360" s="1438"/>
      <c r="F360" s="1438"/>
      <c r="G360" s="1438"/>
      <c r="H360" s="1438"/>
    </row>
    <row r="361" spans="1:8" s="1404" customFormat="1">
      <c r="A361" s="1477"/>
      <c r="B361" s="1477"/>
      <c r="D361" s="1438"/>
      <c r="E361" s="1438"/>
      <c r="F361" s="1438"/>
      <c r="G361" s="1438"/>
      <c r="H361" s="1438"/>
    </row>
    <row r="362" spans="1:8" s="1404" customFormat="1">
      <c r="A362" s="1477"/>
      <c r="B362" s="1477"/>
      <c r="D362" s="1438"/>
      <c r="E362" s="1438"/>
      <c r="F362" s="1438"/>
      <c r="G362" s="1438"/>
      <c r="H362" s="1438"/>
    </row>
    <row r="363" spans="1:8" s="1404" customFormat="1">
      <c r="A363" s="1477"/>
      <c r="B363" s="1477"/>
      <c r="D363" s="1438"/>
      <c r="E363" s="1438"/>
      <c r="F363" s="1438"/>
      <c r="G363" s="1438"/>
      <c r="H363" s="1438"/>
    </row>
    <row r="364" spans="1:8" s="1404" customFormat="1">
      <c r="A364" s="1477"/>
      <c r="B364" s="1477"/>
      <c r="D364" s="1438"/>
      <c r="E364" s="1438"/>
      <c r="F364" s="1438"/>
      <c r="G364" s="1438"/>
      <c r="H364" s="1438"/>
    </row>
    <row r="365" spans="1:8" s="1404" customFormat="1">
      <c r="A365" s="1477"/>
      <c r="B365" s="1477"/>
      <c r="D365" s="1438"/>
      <c r="E365" s="1438"/>
      <c r="F365" s="1438"/>
      <c r="G365" s="1438"/>
      <c r="H365" s="1438"/>
    </row>
    <row r="366" spans="1:8" s="1404" customFormat="1">
      <c r="A366" s="1477"/>
      <c r="B366" s="1477"/>
      <c r="D366" s="1438"/>
      <c r="E366" s="1438"/>
      <c r="F366" s="1438"/>
      <c r="G366" s="1438"/>
      <c r="H366" s="1438"/>
    </row>
    <row r="367" spans="1:8" s="1404" customFormat="1">
      <c r="A367" s="1477"/>
      <c r="B367" s="1477"/>
      <c r="D367" s="1438"/>
      <c r="E367" s="1438"/>
      <c r="F367" s="1438"/>
      <c r="G367" s="1438"/>
      <c r="H367" s="1438"/>
    </row>
    <row r="368" spans="1:8" s="1404" customFormat="1">
      <c r="A368" s="1477"/>
      <c r="B368" s="1477"/>
      <c r="D368" s="1438"/>
      <c r="E368" s="1438"/>
      <c r="F368" s="1438"/>
      <c r="G368" s="1438"/>
      <c r="H368" s="1438"/>
    </row>
    <row r="369" spans="1:8" s="1404" customFormat="1">
      <c r="A369" s="1477"/>
      <c r="B369" s="1477"/>
      <c r="D369" s="1438"/>
      <c r="E369" s="1438"/>
      <c r="F369" s="1438"/>
      <c r="G369" s="1438"/>
      <c r="H369" s="1438"/>
    </row>
    <row r="370" spans="1:8" s="1404" customFormat="1">
      <c r="A370" s="1477"/>
      <c r="B370" s="1477"/>
      <c r="D370" s="1438"/>
      <c r="E370" s="1438"/>
      <c r="F370" s="1438"/>
      <c r="G370" s="1438"/>
      <c r="H370" s="1438"/>
    </row>
    <row r="371" spans="1:8" s="1404" customFormat="1">
      <c r="A371" s="1477"/>
      <c r="B371" s="1477"/>
      <c r="D371" s="1438"/>
      <c r="E371" s="1438"/>
      <c r="F371" s="1438"/>
      <c r="G371" s="1438"/>
      <c r="H371" s="1438"/>
    </row>
    <row r="372" spans="1:8" s="1404" customFormat="1">
      <c r="A372" s="1477"/>
      <c r="B372" s="1477"/>
      <c r="D372" s="1438"/>
      <c r="E372" s="1438"/>
      <c r="F372" s="1438"/>
      <c r="G372" s="1438"/>
      <c r="H372" s="1438"/>
    </row>
    <row r="373" spans="1:8" s="1404" customFormat="1">
      <c r="A373" s="1477"/>
      <c r="B373" s="1477"/>
      <c r="D373" s="1438"/>
      <c r="E373" s="1438"/>
      <c r="F373" s="1438"/>
      <c r="G373" s="1438"/>
      <c r="H373" s="1438"/>
    </row>
    <row r="374" spans="1:8" s="1404" customFormat="1">
      <c r="A374" s="1477"/>
      <c r="B374" s="1477"/>
      <c r="D374" s="1438"/>
      <c r="E374" s="1438"/>
      <c r="F374" s="1438"/>
      <c r="G374" s="1438"/>
      <c r="H374" s="1438"/>
    </row>
    <row r="375" spans="1:8" s="1404" customFormat="1">
      <c r="A375" s="1477"/>
      <c r="B375" s="1477"/>
      <c r="D375" s="1438"/>
      <c r="E375" s="1438"/>
      <c r="F375" s="1438"/>
      <c r="G375" s="1438"/>
      <c r="H375" s="1438"/>
    </row>
    <row r="376" spans="1:8" s="1404" customFormat="1">
      <c r="A376" s="1477"/>
      <c r="B376" s="1477"/>
      <c r="D376" s="1438"/>
      <c r="E376" s="1438"/>
      <c r="F376" s="1438"/>
      <c r="G376" s="1438"/>
      <c r="H376" s="1438"/>
    </row>
    <row r="377" spans="1:8" s="1404" customFormat="1">
      <c r="A377" s="1477"/>
      <c r="B377" s="1477"/>
      <c r="D377" s="1438"/>
      <c r="E377" s="1438"/>
      <c r="F377" s="1438"/>
      <c r="G377" s="1438"/>
      <c r="H377" s="1438"/>
    </row>
    <row r="378" spans="1:8" s="1404" customFormat="1">
      <c r="A378" s="1477"/>
      <c r="B378" s="1477"/>
      <c r="D378" s="1438"/>
      <c r="E378" s="1438"/>
      <c r="F378" s="1438"/>
      <c r="G378" s="1438"/>
      <c r="H378" s="1438"/>
    </row>
    <row r="379" spans="1:8" s="1404" customFormat="1">
      <c r="A379" s="1477"/>
      <c r="B379" s="1477"/>
      <c r="D379" s="1438"/>
      <c r="E379" s="1438"/>
      <c r="F379" s="1438"/>
      <c r="G379" s="1438"/>
      <c r="H379" s="1438"/>
    </row>
    <row r="380" spans="1:8" s="1404" customFormat="1">
      <c r="A380" s="1477"/>
      <c r="B380" s="1477"/>
      <c r="D380" s="1438"/>
      <c r="E380" s="1438"/>
      <c r="F380" s="1438"/>
      <c r="G380" s="1438"/>
      <c r="H380" s="1438"/>
    </row>
    <row r="381" spans="1:8" s="1404" customFormat="1">
      <c r="A381" s="1477"/>
      <c r="B381" s="1477"/>
      <c r="D381" s="1438"/>
      <c r="E381" s="1438"/>
      <c r="F381" s="1438"/>
      <c r="G381" s="1438"/>
      <c r="H381" s="1438"/>
    </row>
    <row r="382" spans="1:8" s="1404" customFormat="1">
      <c r="A382" s="1477"/>
      <c r="B382" s="1477"/>
      <c r="D382" s="1438"/>
      <c r="E382" s="1438"/>
      <c r="F382" s="1438"/>
      <c r="G382" s="1438"/>
      <c r="H382" s="1438"/>
    </row>
    <row r="383" spans="1:8" s="1404" customFormat="1">
      <c r="A383" s="1477"/>
      <c r="B383" s="1477"/>
      <c r="D383" s="1438"/>
      <c r="E383" s="1438"/>
      <c r="F383" s="1438"/>
      <c r="G383" s="1438"/>
      <c r="H383" s="1438"/>
    </row>
    <row r="384" spans="1:8" s="1404" customFormat="1">
      <c r="A384" s="1477"/>
      <c r="B384" s="1477"/>
      <c r="D384" s="1438"/>
      <c r="E384" s="1438"/>
      <c r="F384" s="1438"/>
      <c r="G384" s="1438"/>
      <c r="H384" s="1438"/>
    </row>
    <row r="385" spans="1:8" s="1404" customFormat="1">
      <c r="A385" s="1477"/>
      <c r="B385" s="1477"/>
      <c r="D385" s="1438"/>
      <c r="E385" s="1438"/>
      <c r="F385" s="1438"/>
      <c r="G385" s="1438"/>
      <c r="H385" s="1438"/>
    </row>
    <row r="386" spans="1:8" s="1404" customFormat="1">
      <c r="A386" s="1477"/>
      <c r="B386" s="1477"/>
      <c r="D386" s="1438"/>
      <c r="E386" s="1438"/>
      <c r="F386" s="1438"/>
      <c r="G386" s="1438"/>
      <c r="H386" s="1438"/>
    </row>
    <row r="387" spans="1:8" s="1404" customFormat="1">
      <c r="A387" s="1477"/>
      <c r="B387" s="1477"/>
      <c r="D387" s="1438"/>
      <c r="E387" s="1438"/>
      <c r="F387" s="1438"/>
      <c r="G387" s="1438"/>
      <c r="H387" s="1438"/>
    </row>
    <row r="388" spans="1:8" s="1404" customFormat="1">
      <c r="A388" s="1477"/>
      <c r="B388" s="1477"/>
      <c r="D388" s="1438"/>
      <c r="E388" s="1438"/>
      <c r="F388" s="1438"/>
      <c r="G388" s="1438"/>
      <c r="H388" s="1438"/>
    </row>
    <row r="389" spans="1:8" s="1404" customFormat="1">
      <c r="A389" s="1477"/>
      <c r="B389" s="1477"/>
      <c r="D389" s="1438"/>
      <c r="E389" s="1438"/>
      <c r="F389" s="1438"/>
      <c r="G389" s="1438"/>
      <c r="H389" s="1438"/>
    </row>
    <row r="390" spans="1:8" s="1404" customFormat="1">
      <c r="A390" s="1477"/>
      <c r="B390" s="1477"/>
      <c r="D390" s="1438"/>
      <c r="E390" s="1438"/>
      <c r="F390" s="1438"/>
      <c r="G390" s="1438"/>
      <c r="H390" s="1438"/>
    </row>
    <row r="391" spans="1:8" s="1404" customFormat="1">
      <c r="A391" s="1477"/>
      <c r="B391" s="1477"/>
      <c r="D391" s="1438"/>
      <c r="E391" s="1438"/>
      <c r="F391" s="1438"/>
      <c r="G391" s="1438"/>
      <c r="H391" s="1438"/>
    </row>
    <row r="392" spans="1:8" s="1404" customFormat="1">
      <c r="A392" s="1477"/>
      <c r="B392" s="1477"/>
      <c r="D392" s="1438"/>
      <c r="E392" s="1438"/>
      <c r="F392" s="1438"/>
      <c r="G392" s="1438"/>
      <c r="H392" s="1438"/>
    </row>
    <row r="393" spans="1:8" s="1404" customFormat="1">
      <c r="A393" s="1477"/>
      <c r="B393" s="1477"/>
      <c r="D393" s="1438"/>
      <c r="E393" s="1438"/>
      <c r="F393" s="1438"/>
      <c r="G393" s="1438"/>
      <c r="H393" s="1438"/>
    </row>
    <row r="394" spans="1:8" s="1404" customFormat="1">
      <c r="A394" s="1477"/>
      <c r="B394" s="1477"/>
      <c r="D394" s="1438"/>
      <c r="E394" s="1438"/>
      <c r="F394" s="1438"/>
      <c r="G394" s="1438"/>
      <c r="H394" s="1438"/>
    </row>
    <row r="395" spans="1:8" s="1404" customFormat="1">
      <c r="A395" s="1477"/>
      <c r="B395" s="1477"/>
      <c r="D395" s="1438"/>
      <c r="E395" s="1438"/>
      <c r="F395" s="1438"/>
      <c r="G395" s="1438"/>
      <c r="H395" s="1438"/>
    </row>
    <row r="396" spans="1:8" s="1404" customFormat="1">
      <c r="A396" s="1477"/>
      <c r="B396" s="1477"/>
      <c r="D396" s="1438"/>
      <c r="E396" s="1438"/>
      <c r="F396" s="1438"/>
      <c r="G396" s="1438"/>
      <c r="H396" s="1438"/>
    </row>
    <row r="397" spans="1:8" s="1404" customFormat="1">
      <c r="A397" s="1477"/>
      <c r="B397" s="1477"/>
      <c r="D397" s="1438"/>
      <c r="E397" s="1438"/>
      <c r="F397" s="1438"/>
      <c r="G397" s="1438"/>
      <c r="H397" s="1438"/>
    </row>
    <row r="398" spans="1:8" s="1404" customFormat="1">
      <c r="A398" s="1477"/>
      <c r="B398" s="1477"/>
      <c r="D398" s="1438"/>
      <c r="E398" s="1438"/>
      <c r="F398" s="1438"/>
      <c r="G398" s="1438"/>
      <c r="H398" s="1438"/>
    </row>
    <row r="399" spans="1:8" s="1404" customFormat="1">
      <c r="A399" s="1477"/>
      <c r="B399" s="1477"/>
      <c r="D399" s="1438"/>
      <c r="E399" s="1438"/>
      <c r="F399" s="1438"/>
      <c r="G399" s="1438"/>
      <c r="H399" s="1438"/>
    </row>
    <row r="400" spans="1:8" s="1404" customFormat="1">
      <c r="A400" s="1477"/>
      <c r="B400" s="1477"/>
      <c r="D400" s="1438"/>
      <c r="E400" s="1438"/>
      <c r="F400" s="1438"/>
      <c r="G400" s="1438"/>
      <c r="H400" s="1438"/>
    </row>
    <row r="401" spans="1:8" s="1404" customFormat="1">
      <c r="A401" s="1477"/>
      <c r="B401" s="1477"/>
      <c r="D401" s="1438"/>
      <c r="E401" s="1438"/>
      <c r="F401" s="1438"/>
      <c r="G401" s="1438"/>
      <c r="H401" s="1438"/>
    </row>
    <row r="402" spans="1:8" s="1404" customFormat="1">
      <c r="A402" s="1477"/>
      <c r="B402" s="1477"/>
      <c r="D402" s="1438"/>
      <c r="E402" s="1438"/>
      <c r="F402" s="1438"/>
      <c r="G402" s="1438"/>
      <c r="H402" s="1438"/>
    </row>
    <row r="403" spans="1:8" s="1404" customFormat="1">
      <c r="A403" s="1477"/>
      <c r="B403" s="1477"/>
      <c r="D403" s="1438"/>
      <c r="E403" s="1438"/>
      <c r="F403" s="1438"/>
      <c r="G403" s="1438"/>
      <c r="H403" s="1438"/>
    </row>
    <row r="404" spans="1:8" s="1404" customFormat="1">
      <c r="A404" s="1477"/>
      <c r="B404" s="1477"/>
      <c r="D404" s="1438"/>
      <c r="E404" s="1438"/>
      <c r="F404" s="1438"/>
      <c r="G404" s="1438"/>
      <c r="H404" s="1438"/>
    </row>
    <row r="405" spans="1:8" s="1404" customFormat="1">
      <c r="A405" s="1477"/>
      <c r="B405" s="1477"/>
      <c r="D405" s="1438"/>
      <c r="E405" s="1438"/>
      <c r="F405" s="1438"/>
      <c r="G405" s="1438"/>
      <c r="H405" s="1438"/>
    </row>
    <row r="406" spans="1:8" s="1404" customFormat="1">
      <c r="A406" s="1477"/>
      <c r="B406" s="1477"/>
      <c r="D406" s="1438"/>
      <c r="E406" s="1438"/>
      <c r="F406" s="1438"/>
      <c r="G406" s="1438"/>
      <c r="H406" s="1438"/>
    </row>
    <row r="407" spans="1:8" s="1404" customFormat="1">
      <c r="A407" s="1477"/>
      <c r="B407" s="1477"/>
      <c r="D407" s="1438"/>
      <c r="E407" s="1438"/>
      <c r="F407" s="1438"/>
      <c r="G407" s="1438"/>
      <c r="H407" s="1438"/>
    </row>
    <row r="408" spans="1:8" s="1404" customFormat="1">
      <c r="A408" s="1477"/>
      <c r="B408" s="1477"/>
      <c r="D408" s="1438"/>
      <c r="E408" s="1438"/>
      <c r="F408" s="1438"/>
      <c r="G408" s="1438"/>
      <c r="H408" s="1438"/>
    </row>
    <row r="409" spans="1:8" s="1404" customFormat="1">
      <c r="A409" s="1477"/>
      <c r="B409" s="1477"/>
      <c r="D409" s="1438"/>
      <c r="E409" s="1438"/>
      <c r="F409" s="1438"/>
      <c r="G409" s="1438"/>
      <c r="H409" s="1438"/>
    </row>
    <row r="410" spans="1:8" s="1404" customFormat="1">
      <c r="A410" s="1477"/>
      <c r="B410" s="1477"/>
      <c r="D410" s="1438"/>
      <c r="E410" s="1438"/>
      <c r="F410" s="1438"/>
      <c r="G410" s="1438"/>
      <c r="H410" s="1438"/>
    </row>
    <row r="411" spans="1:8" s="1404" customFormat="1">
      <c r="A411" s="1477"/>
      <c r="B411" s="1477"/>
      <c r="D411" s="1438"/>
      <c r="E411" s="1438"/>
      <c r="F411" s="1438"/>
      <c r="G411" s="1438"/>
      <c r="H411" s="1438"/>
    </row>
    <row r="412" spans="1:8" s="1404" customFormat="1">
      <c r="A412" s="1477"/>
      <c r="B412" s="1477"/>
      <c r="D412" s="1438"/>
      <c r="E412" s="1438"/>
      <c r="F412" s="1438"/>
      <c r="G412" s="1438"/>
      <c r="H412" s="1438"/>
    </row>
    <row r="413" spans="1:8" s="1404" customFormat="1">
      <c r="A413" s="1477"/>
      <c r="B413" s="1477"/>
      <c r="D413" s="1438"/>
      <c r="E413" s="1438"/>
      <c r="F413" s="1438"/>
      <c r="G413" s="1438"/>
      <c r="H413" s="1438"/>
    </row>
    <row r="414" spans="1:8" s="1404" customFormat="1">
      <c r="A414" s="1477"/>
      <c r="B414" s="1477"/>
      <c r="D414" s="1438"/>
      <c r="E414" s="1438"/>
      <c r="F414" s="1438"/>
      <c r="G414" s="1438"/>
      <c r="H414" s="1438"/>
    </row>
    <row r="415" spans="1:8" s="1404" customFormat="1">
      <c r="A415" s="1477"/>
      <c r="B415" s="1477"/>
      <c r="D415" s="1438"/>
      <c r="E415" s="1438"/>
      <c r="F415" s="1438"/>
      <c r="G415" s="1438"/>
      <c r="H415" s="1438"/>
    </row>
    <row r="416" spans="1:8" s="1404" customFormat="1">
      <c r="A416" s="1477"/>
      <c r="B416" s="1477"/>
      <c r="D416" s="1438"/>
      <c r="E416" s="1438"/>
      <c r="F416" s="1438"/>
      <c r="G416" s="1438"/>
      <c r="H416" s="1438"/>
    </row>
    <row r="417" spans="1:8" s="1404" customFormat="1">
      <c r="A417" s="1477"/>
      <c r="B417" s="1477"/>
      <c r="D417" s="1438"/>
      <c r="E417" s="1438"/>
      <c r="F417" s="1438"/>
      <c r="G417" s="1438"/>
      <c r="H417" s="1438"/>
    </row>
    <row r="418" spans="1:8" s="1404" customFormat="1">
      <c r="A418" s="1477"/>
      <c r="B418" s="1477"/>
      <c r="D418" s="1438"/>
      <c r="E418" s="1438"/>
      <c r="F418" s="1438"/>
      <c r="G418" s="1438"/>
      <c r="H418" s="1438"/>
    </row>
    <row r="419" spans="1:8" s="1404" customFormat="1">
      <c r="A419" s="1477"/>
      <c r="B419" s="1477"/>
      <c r="D419" s="1438"/>
      <c r="E419" s="1438"/>
      <c r="F419" s="1438"/>
      <c r="G419" s="1438"/>
      <c r="H419" s="1438"/>
    </row>
    <row r="420" spans="1:8" s="1404" customFormat="1">
      <c r="A420" s="1477"/>
      <c r="B420" s="1477"/>
      <c r="D420" s="1438"/>
      <c r="E420" s="1438"/>
      <c r="F420" s="1438"/>
      <c r="G420" s="1438"/>
      <c r="H420" s="1438"/>
    </row>
    <row r="421" spans="1:8" s="1404" customFormat="1">
      <c r="A421" s="1477"/>
      <c r="B421" s="1477"/>
      <c r="D421" s="1438"/>
      <c r="E421" s="1438"/>
      <c r="F421" s="1438"/>
      <c r="G421" s="1438"/>
      <c r="H421" s="1438"/>
    </row>
    <row r="422" spans="1:8" s="1404" customFormat="1">
      <c r="A422" s="1477"/>
      <c r="B422" s="1477"/>
      <c r="D422" s="1438"/>
      <c r="E422" s="1438"/>
      <c r="F422" s="1438"/>
      <c r="G422" s="1438"/>
      <c r="H422" s="1438"/>
    </row>
    <row r="423" spans="1:8" s="1404" customFormat="1">
      <c r="A423" s="1477"/>
      <c r="B423" s="1477"/>
      <c r="D423" s="1438"/>
      <c r="E423" s="1438"/>
      <c r="F423" s="1438"/>
      <c r="G423" s="1438"/>
      <c r="H423" s="1438"/>
    </row>
    <row r="424" spans="1:8" s="1404" customFormat="1">
      <c r="A424" s="1477"/>
      <c r="B424" s="1477"/>
      <c r="D424" s="1438"/>
      <c r="E424" s="1438"/>
      <c r="F424" s="1438"/>
      <c r="G424" s="1438"/>
      <c r="H424" s="1438"/>
    </row>
    <row r="425" spans="1:8" s="1404" customFormat="1">
      <c r="A425" s="1477"/>
      <c r="B425" s="1477"/>
      <c r="D425" s="1438"/>
      <c r="E425" s="1438"/>
      <c r="F425" s="1438"/>
      <c r="G425" s="1438"/>
      <c r="H425" s="1438"/>
    </row>
    <row r="426" spans="1:8" s="1404" customFormat="1">
      <c r="A426" s="1477"/>
      <c r="B426" s="1477"/>
      <c r="D426" s="1438"/>
      <c r="E426" s="1438"/>
      <c r="F426" s="1438"/>
      <c r="G426" s="1438"/>
      <c r="H426" s="1438"/>
    </row>
    <row r="427" spans="1:8" s="1404" customFormat="1">
      <c r="A427" s="1477"/>
      <c r="B427" s="1477"/>
      <c r="D427" s="1438"/>
      <c r="E427" s="1438"/>
      <c r="F427" s="1438"/>
      <c r="G427" s="1438"/>
      <c r="H427" s="1438"/>
    </row>
    <row r="428" spans="1:8" s="1404" customFormat="1">
      <c r="A428" s="1477"/>
      <c r="B428" s="1477"/>
      <c r="D428" s="1438"/>
      <c r="E428" s="1438"/>
      <c r="F428" s="1438"/>
      <c r="G428" s="1438"/>
      <c r="H428" s="1438"/>
    </row>
    <row r="429" spans="1:8" s="1404" customFormat="1">
      <c r="A429" s="1477"/>
      <c r="B429" s="1477"/>
      <c r="D429" s="1438"/>
      <c r="E429" s="1438"/>
      <c r="F429" s="1438"/>
      <c r="G429" s="1438"/>
      <c r="H429" s="1438"/>
    </row>
    <row r="430" spans="1:8" s="1404" customFormat="1">
      <c r="A430" s="1477"/>
      <c r="B430" s="1477"/>
      <c r="D430" s="1438"/>
      <c r="E430" s="1438"/>
      <c r="F430" s="1438"/>
      <c r="G430" s="1438"/>
      <c r="H430" s="1438"/>
    </row>
    <row r="431" spans="1:8" s="1404" customFormat="1">
      <c r="A431" s="1477"/>
      <c r="B431" s="1477"/>
      <c r="D431" s="1438"/>
      <c r="E431" s="1438"/>
      <c r="F431" s="1438"/>
      <c r="G431" s="1438"/>
      <c r="H431" s="1438"/>
    </row>
    <row r="432" spans="1:8" s="1404" customFormat="1">
      <c r="A432" s="1477"/>
      <c r="B432" s="1477"/>
      <c r="D432" s="1438"/>
      <c r="E432" s="1438"/>
      <c r="F432" s="1438"/>
      <c r="G432" s="1438"/>
      <c r="H432" s="1438"/>
    </row>
    <row r="433" spans="1:8" s="1404" customFormat="1">
      <c r="A433" s="1477"/>
      <c r="B433" s="1477"/>
      <c r="D433" s="1438"/>
      <c r="E433" s="1438"/>
      <c r="F433" s="1438"/>
      <c r="G433" s="1438"/>
      <c r="H433" s="1438"/>
    </row>
    <row r="434" spans="1:8" s="1404" customFormat="1">
      <c r="A434" s="1477"/>
      <c r="B434" s="1477"/>
      <c r="D434" s="1438"/>
      <c r="E434" s="1438"/>
      <c r="F434" s="1438"/>
      <c r="G434" s="1438"/>
      <c r="H434" s="1438"/>
    </row>
    <row r="435" spans="1:8" s="1404" customFormat="1">
      <c r="A435" s="1477"/>
      <c r="B435" s="1477"/>
      <c r="D435" s="1438"/>
      <c r="E435" s="1438"/>
      <c r="F435" s="1438"/>
      <c r="G435" s="1438"/>
      <c r="H435" s="1438"/>
    </row>
    <row r="436" spans="1:8" s="1404" customFormat="1">
      <c r="A436" s="1477"/>
      <c r="B436" s="1477"/>
      <c r="D436" s="1438"/>
      <c r="E436" s="1438"/>
      <c r="F436" s="1438"/>
      <c r="G436" s="1438"/>
      <c r="H436" s="1438"/>
    </row>
    <row r="437" spans="1:8" s="1404" customFormat="1">
      <c r="A437" s="1477"/>
      <c r="B437" s="1477"/>
      <c r="D437" s="1438"/>
      <c r="E437" s="1438"/>
      <c r="F437" s="1438"/>
      <c r="G437" s="1438"/>
      <c r="H437" s="1438"/>
    </row>
    <row r="438" spans="1:8" s="1404" customFormat="1">
      <c r="A438" s="1477"/>
      <c r="B438" s="1477"/>
      <c r="D438" s="1438"/>
      <c r="E438" s="1438"/>
      <c r="F438" s="1438"/>
      <c r="G438" s="1438"/>
      <c r="H438" s="1438"/>
    </row>
    <row r="439" spans="1:8" s="1404" customFormat="1">
      <c r="A439" s="1477"/>
      <c r="B439" s="1477"/>
      <c r="D439" s="1438"/>
      <c r="E439" s="1438"/>
      <c r="F439" s="1438"/>
      <c r="G439" s="1438"/>
      <c r="H439" s="1438"/>
    </row>
    <row r="440" spans="1:8" s="1404" customFormat="1">
      <c r="A440" s="1477"/>
      <c r="B440" s="1477"/>
      <c r="D440" s="1438"/>
      <c r="E440" s="1438"/>
      <c r="F440" s="1438"/>
      <c r="G440" s="1438"/>
      <c r="H440" s="1438"/>
    </row>
    <row r="441" spans="1:8" s="1404" customFormat="1">
      <c r="A441" s="1477"/>
      <c r="B441" s="1477"/>
      <c r="D441" s="1438"/>
      <c r="E441" s="1438"/>
      <c r="F441" s="1438"/>
      <c r="G441" s="1438"/>
      <c r="H441" s="1438"/>
    </row>
    <row r="442" spans="1:8" s="1404" customFormat="1">
      <c r="A442" s="1477"/>
      <c r="B442" s="1477"/>
      <c r="D442" s="1438"/>
      <c r="E442" s="1438"/>
      <c r="F442" s="1438"/>
      <c r="G442" s="1438"/>
      <c r="H442" s="1438"/>
    </row>
    <row r="443" spans="1:8" s="1404" customFormat="1">
      <c r="A443" s="1477"/>
      <c r="B443" s="1477"/>
      <c r="D443" s="1438"/>
      <c r="E443" s="1438"/>
      <c r="F443" s="1438"/>
      <c r="G443" s="1438"/>
      <c r="H443" s="1438"/>
    </row>
    <row r="444" spans="1:8" s="1404" customFormat="1">
      <c r="A444" s="1477"/>
      <c r="B444" s="1477"/>
      <c r="D444" s="1438"/>
      <c r="E444" s="1438"/>
      <c r="F444" s="1438"/>
      <c r="G444" s="1438"/>
      <c r="H444" s="1438"/>
    </row>
    <row r="445" spans="1:8" s="1404" customFormat="1">
      <c r="A445" s="1477"/>
      <c r="B445" s="1477"/>
      <c r="D445" s="1438"/>
      <c r="E445" s="1438"/>
      <c r="F445" s="1438"/>
      <c r="G445" s="1438"/>
      <c r="H445" s="1438"/>
    </row>
    <row r="446" spans="1:8" s="1404" customFormat="1">
      <c r="A446" s="1477"/>
      <c r="B446" s="1477"/>
      <c r="D446" s="1438"/>
      <c r="E446" s="1438"/>
      <c r="F446" s="1438"/>
      <c r="G446" s="1438"/>
      <c r="H446" s="1438"/>
    </row>
    <row r="447" spans="1:8" s="1404" customFormat="1">
      <c r="A447" s="1477"/>
      <c r="B447" s="1477"/>
      <c r="D447" s="1438"/>
      <c r="E447" s="1438"/>
      <c r="F447" s="1438"/>
      <c r="G447" s="1438"/>
      <c r="H447" s="1438"/>
    </row>
    <row r="448" spans="1:8" s="1404" customFormat="1">
      <c r="A448" s="1477"/>
      <c r="B448" s="1477"/>
      <c r="D448" s="1438"/>
      <c r="E448" s="1438"/>
      <c r="F448" s="1438"/>
      <c r="G448" s="1438"/>
      <c r="H448" s="1438"/>
    </row>
    <row r="449" spans="1:8" s="1404" customFormat="1">
      <c r="A449" s="1477"/>
      <c r="B449" s="1477"/>
      <c r="D449" s="1438"/>
      <c r="E449" s="1438"/>
      <c r="F449" s="1438"/>
      <c r="G449" s="1438"/>
      <c r="H449" s="1438"/>
    </row>
    <row r="450" spans="1:8" s="1404" customFormat="1">
      <c r="A450" s="1477"/>
      <c r="B450" s="1477"/>
      <c r="D450" s="1438"/>
      <c r="E450" s="1438"/>
      <c r="F450" s="1438"/>
      <c r="G450" s="1438"/>
      <c r="H450" s="1438"/>
    </row>
    <row r="451" spans="1:8" s="1404" customFormat="1">
      <c r="A451" s="1477"/>
      <c r="B451" s="1477"/>
      <c r="D451" s="1438"/>
      <c r="E451" s="1438"/>
      <c r="F451" s="1438"/>
      <c r="G451" s="1438"/>
      <c r="H451" s="1438"/>
    </row>
    <row r="452" spans="1:8" s="1404" customFormat="1">
      <c r="A452" s="1477"/>
      <c r="B452" s="1477"/>
      <c r="D452" s="1438"/>
      <c r="E452" s="1438"/>
      <c r="F452" s="1438"/>
      <c r="G452" s="1438"/>
      <c r="H452" s="1438"/>
    </row>
    <row r="453" spans="1:8" s="1404" customFormat="1">
      <c r="A453" s="1477"/>
      <c r="B453" s="1477"/>
      <c r="D453" s="1438"/>
      <c r="E453" s="1438"/>
      <c r="F453" s="1438"/>
      <c r="G453" s="1438"/>
      <c r="H453" s="1438"/>
    </row>
    <row r="454" spans="1:8" s="1404" customFormat="1">
      <c r="A454" s="1477"/>
      <c r="B454" s="1477"/>
      <c r="D454" s="1438"/>
      <c r="E454" s="1438"/>
      <c r="F454" s="1438"/>
      <c r="G454" s="1438"/>
      <c r="H454" s="1438"/>
    </row>
    <row r="455" spans="1:8" s="1404" customFormat="1">
      <c r="A455" s="1477"/>
      <c r="B455" s="1477"/>
      <c r="D455" s="1438"/>
      <c r="E455" s="1438"/>
      <c r="F455" s="1438"/>
      <c r="G455" s="1438"/>
      <c r="H455" s="1438"/>
    </row>
    <row r="456" spans="1:8" s="1404" customFormat="1">
      <c r="A456" s="1477"/>
      <c r="B456" s="1477"/>
      <c r="D456" s="1438"/>
      <c r="E456" s="1438"/>
      <c r="F456" s="1438"/>
      <c r="G456" s="1438"/>
      <c r="H456" s="1438"/>
    </row>
    <row r="457" spans="1:8" s="1404" customFormat="1">
      <c r="A457" s="1477"/>
      <c r="B457" s="1477"/>
      <c r="D457" s="1438"/>
      <c r="E457" s="1438"/>
      <c r="F457" s="1438"/>
      <c r="G457" s="1438"/>
      <c r="H457" s="1438"/>
    </row>
    <row r="458" spans="1:8" s="1404" customFormat="1">
      <c r="A458" s="1477"/>
      <c r="B458" s="1477"/>
      <c r="D458" s="1438"/>
      <c r="E458" s="1438"/>
      <c r="F458" s="1438"/>
      <c r="G458" s="1438"/>
      <c r="H458" s="1438"/>
    </row>
    <row r="459" spans="1:8" s="1404" customFormat="1">
      <c r="A459" s="1477"/>
      <c r="B459" s="1477"/>
      <c r="D459" s="1438"/>
      <c r="E459" s="1438"/>
      <c r="F459" s="1438"/>
      <c r="G459" s="1438"/>
      <c r="H459" s="1438"/>
    </row>
    <row r="460" spans="1:8" s="1404" customFormat="1">
      <c r="A460" s="1477"/>
      <c r="B460" s="1477"/>
      <c r="D460" s="1438"/>
      <c r="E460" s="1438"/>
      <c r="F460" s="1438"/>
      <c r="G460" s="1438"/>
      <c r="H460" s="1438"/>
    </row>
    <row r="461" spans="1:8" s="1404" customFormat="1">
      <c r="A461" s="1477"/>
      <c r="B461" s="1477"/>
      <c r="D461" s="1438"/>
      <c r="E461" s="1438"/>
      <c r="F461" s="1438"/>
      <c r="G461" s="1438"/>
      <c r="H461" s="1438"/>
    </row>
    <row r="462" spans="1:8" s="1404" customFormat="1">
      <c r="A462" s="1477"/>
      <c r="B462" s="1477"/>
      <c r="D462" s="1438"/>
      <c r="E462" s="1438"/>
      <c r="F462" s="1438"/>
      <c r="G462" s="1438"/>
      <c r="H462" s="1438"/>
    </row>
    <row r="463" spans="1:8" s="1404" customFormat="1">
      <c r="A463" s="1477"/>
      <c r="B463" s="1477"/>
      <c r="D463" s="1438"/>
      <c r="E463" s="1438"/>
      <c r="F463" s="1438"/>
      <c r="G463" s="1438"/>
      <c r="H463" s="1438"/>
    </row>
    <row r="464" spans="1:8" s="1404" customFormat="1">
      <c r="A464" s="1477"/>
      <c r="B464" s="1477"/>
      <c r="D464" s="1438"/>
      <c r="E464" s="1438"/>
      <c r="F464" s="1438"/>
      <c r="G464" s="1438"/>
      <c r="H464" s="1438"/>
    </row>
    <row r="465" spans="1:8" s="1404" customFormat="1">
      <c r="A465" s="1477"/>
      <c r="B465" s="1477"/>
      <c r="D465" s="1438"/>
      <c r="E465" s="1438"/>
      <c r="F465" s="1438"/>
      <c r="G465" s="1438"/>
      <c r="H465" s="1438"/>
    </row>
    <row r="466" spans="1:8" s="1404" customFormat="1">
      <c r="A466" s="1477"/>
      <c r="B466" s="1477"/>
      <c r="D466" s="1438"/>
      <c r="E466" s="1438"/>
      <c r="F466" s="1438"/>
      <c r="G466" s="1438"/>
      <c r="H466" s="1438"/>
    </row>
    <row r="467" spans="1:8" s="1404" customFormat="1">
      <c r="A467" s="1477"/>
      <c r="B467" s="1477"/>
      <c r="D467" s="1438"/>
      <c r="E467" s="1438"/>
      <c r="F467" s="1438"/>
      <c r="G467" s="1438"/>
      <c r="H467" s="1438"/>
    </row>
    <row r="468" spans="1:8" s="1404" customFormat="1">
      <c r="A468" s="1477"/>
      <c r="B468" s="1477"/>
      <c r="D468" s="1438"/>
      <c r="E468" s="1438"/>
      <c r="F468" s="1438"/>
      <c r="G468" s="1438"/>
      <c r="H468" s="1438"/>
    </row>
    <row r="469" spans="1:8" s="1404" customFormat="1">
      <c r="A469" s="1477"/>
      <c r="B469" s="1477"/>
      <c r="D469" s="1438"/>
      <c r="E469" s="1438"/>
      <c r="F469" s="1438"/>
      <c r="G469" s="1438"/>
      <c r="H469" s="1438"/>
    </row>
    <row r="470" spans="1:8" s="1404" customFormat="1">
      <c r="A470" s="1477"/>
      <c r="B470" s="1477"/>
      <c r="D470" s="1438"/>
      <c r="E470" s="1438"/>
      <c r="F470" s="1438"/>
      <c r="G470" s="1438"/>
      <c r="H470" s="1438"/>
    </row>
    <row r="471" spans="1:8" s="1404" customFormat="1">
      <c r="A471" s="1477"/>
      <c r="B471" s="1477"/>
      <c r="D471" s="1438"/>
      <c r="E471" s="1438"/>
      <c r="F471" s="1438"/>
      <c r="G471" s="1438"/>
      <c r="H471" s="1438"/>
    </row>
    <row r="472" spans="1:8" s="1404" customFormat="1">
      <c r="A472" s="1477"/>
      <c r="B472" s="1477"/>
      <c r="D472" s="1438"/>
      <c r="E472" s="1438"/>
      <c r="F472" s="1438"/>
      <c r="G472" s="1438"/>
      <c r="H472" s="1438"/>
    </row>
    <row r="473" spans="1:8" s="1404" customFormat="1">
      <c r="A473" s="1477"/>
      <c r="B473" s="1477"/>
      <c r="D473" s="1438"/>
      <c r="E473" s="1438"/>
      <c r="F473" s="1438"/>
      <c r="G473" s="1438"/>
      <c r="H473" s="1438"/>
    </row>
    <row r="474" spans="1:8" s="1404" customFormat="1">
      <c r="A474" s="1477"/>
      <c r="B474" s="1477"/>
      <c r="D474" s="1438"/>
      <c r="E474" s="1438"/>
      <c r="F474" s="1438"/>
      <c r="G474" s="1438"/>
      <c r="H474" s="1438"/>
    </row>
    <row r="475" spans="1:8" s="1404" customFormat="1">
      <c r="A475" s="1477"/>
      <c r="B475" s="1477"/>
      <c r="D475" s="1438"/>
      <c r="E475" s="1438"/>
      <c r="F475" s="1438"/>
      <c r="G475" s="1438"/>
      <c r="H475" s="1438"/>
    </row>
    <row r="476" spans="1:8" s="1404" customFormat="1">
      <c r="A476" s="1477"/>
      <c r="B476" s="1477"/>
      <c r="D476" s="1438"/>
      <c r="E476" s="1438"/>
      <c r="F476" s="1438"/>
      <c r="G476" s="1438"/>
      <c r="H476" s="1438"/>
    </row>
    <row r="477" spans="1:8" s="1404" customFormat="1">
      <c r="A477" s="1477"/>
      <c r="B477" s="1477"/>
      <c r="D477" s="1438"/>
      <c r="E477" s="1438"/>
      <c r="F477" s="1438"/>
      <c r="G477" s="1438"/>
      <c r="H477" s="1438"/>
    </row>
    <row r="478" spans="1:8" s="1404" customFormat="1">
      <c r="A478" s="1477"/>
      <c r="B478" s="1477"/>
      <c r="D478" s="1438"/>
      <c r="E478" s="1438"/>
      <c r="F478" s="1438"/>
      <c r="G478" s="1438"/>
      <c r="H478" s="1438"/>
    </row>
    <row r="479" spans="1:8" s="1404" customFormat="1">
      <c r="A479" s="1477"/>
      <c r="B479" s="1477"/>
      <c r="D479" s="1438"/>
      <c r="E479" s="1438"/>
      <c r="F479" s="1438"/>
      <c r="G479" s="1438"/>
      <c r="H479" s="1438"/>
    </row>
    <row r="480" spans="1:8" s="1404" customFormat="1">
      <c r="A480" s="1477"/>
      <c r="B480" s="1477"/>
      <c r="D480" s="1438"/>
      <c r="E480" s="1438"/>
      <c r="F480" s="1438"/>
      <c r="G480" s="1438"/>
      <c r="H480" s="1438"/>
    </row>
    <row r="481" spans="1:8" s="1404" customFormat="1">
      <c r="A481" s="1477"/>
      <c r="B481" s="1477"/>
      <c r="D481" s="1438"/>
      <c r="E481" s="1438"/>
      <c r="F481" s="1438"/>
      <c r="G481" s="1438"/>
      <c r="H481" s="1438"/>
    </row>
    <row r="482" spans="1:8" s="1404" customFormat="1">
      <c r="A482" s="1477"/>
      <c r="B482" s="1477"/>
      <c r="D482" s="1438"/>
      <c r="E482" s="1438"/>
      <c r="F482" s="1438"/>
      <c r="G482" s="1438"/>
      <c r="H482" s="1438"/>
    </row>
    <row r="483" spans="1:8" s="1404" customFormat="1">
      <c r="A483" s="1477"/>
      <c r="B483" s="1477"/>
      <c r="D483" s="1438"/>
      <c r="E483" s="1438"/>
      <c r="F483" s="1438"/>
      <c r="G483" s="1438"/>
      <c r="H483" s="1438"/>
    </row>
    <row r="484" spans="1:8" s="1404" customFormat="1">
      <c r="A484" s="1477"/>
      <c r="B484" s="1477"/>
      <c r="D484" s="1438"/>
      <c r="E484" s="1438"/>
      <c r="F484" s="1438"/>
      <c r="G484" s="1438"/>
      <c r="H484" s="1438"/>
    </row>
    <row r="485" spans="1:8" s="1404" customFormat="1">
      <c r="A485" s="1477"/>
      <c r="B485" s="1477"/>
      <c r="D485" s="1438"/>
      <c r="E485" s="1438"/>
      <c r="F485" s="1438"/>
      <c r="G485" s="1438"/>
      <c r="H485" s="1438"/>
    </row>
    <row r="486" spans="1:8" s="1404" customFormat="1">
      <c r="A486" s="1477"/>
      <c r="B486" s="1477"/>
      <c r="D486" s="1438"/>
      <c r="E486" s="1438"/>
      <c r="F486" s="1438"/>
      <c r="G486" s="1438"/>
      <c r="H486" s="1438"/>
    </row>
    <row r="487" spans="1:8" s="1404" customFormat="1">
      <c r="A487" s="1477"/>
      <c r="B487" s="1477"/>
      <c r="D487" s="1438"/>
      <c r="E487" s="1438"/>
      <c r="F487" s="1438"/>
      <c r="G487" s="1438"/>
      <c r="H487" s="1438"/>
    </row>
    <row r="488" spans="1:8" s="1404" customFormat="1">
      <c r="A488" s="1477"/>
      <c r="B488" s="1477"/>
      <c r="D488" s="1438"/>
      <c r="E488" s="1438"/>
      <c r="F488" s="1438"/>
      <c r="G488" s="1438"/>
      <c r="H488" s="1438"/>
    </row>
    <row r="489" spans="1:8" s="1404" customFormat="1">
      <c r="A489" s="1477"/>
      <c r="B489" s="1477"/>
      <c r="D489" s="1438"/>
      <c r="E489" s="1438"/>
      <c r="F489" s="1438"/>
      <c r="G489" s="1438"/>
      <c r="H489" s="1438"/>
    </row>
    <row r="490" spans="1:8" s="1404" customFormat="1">
      <c r="A490" s="1477"/>
      <c r="B490" s="1477"/>
      <c r="D490" s="1438"/>
      <c r="E490" s="1438"/>
      <c r="F490" s="1438"/>
      <c r="G490" s="1438"/>
      <c r="H490" s="1438"/>
    </row>
    <row r="491" spans="1:8" s="1404" customFormat="1">
      <c r="A491" s="1477"/>
      <c r="B491" s="1477"/>
      <c r="D491" s="1438"/>
      <c r="E491" s="1438"/>
      <c r="F491" s="1438"/>
      <c r="G491" s="1438"/>
      <c r="H491" s="1438"/>
    </row>
    <row r="492" spans="1:8" s="1404" customFormat="1">
      <c r="A492" s="1477"/>
      <c r="B492" s="1477"/>
      <c r="D492" s="1438"/>
      <c r="E492" s="1438"/>
      <c r="F492" s="1438"/>
      <c r="G492" s="1438"/>
      <c r="H492" s="1438"/>
    </row>
    <row r="493" spans="1:8" s="1404" customFormat="1">
      <c r="A493" s="1477"/>
      <c r="B493" s="1477"/>
      <c r="D493" s="1438"/>
      <c r="E493" s="1438"/>
      <c r="F493" s="1438"/>
      <c r="G493" s="1438"/>
      <c r="H493" s="1438"/>
    </row>
    <row r="494" spans="1:8" s="1404" customFormat="1">
      <c r="A494" s="1477"/>
      <c r="B494" s="1477"/>
      <c r="D494" s="1438"/>
      <c r="E494" s="1438"/>
      <c r="F494" s="1438"/>
      <c r="G494" s="1438"/>
      <c r="H494" s="1438"/>
    </row>
    <row r="495" spans="1:8" s="1404" customFormat="1">
      <c r="A495" s="1477"/>
      <c r="B495" s="1477"/>
      <c r="D495" s="1438"/>
      <c r="E495" s="1438"/>
      <c r="F495" s="1438"/>
      <c r="G495" s="1438"/>
      <c r="H495" s="1438"/>
    </row>
    <row r="496" spans="1:8" s="1404" customFormat="1">
      <c r="A496" s="1477"/>
      <c r="B496" s="1477"/>
      <c r="D496" s="1438"/>
      <c r="E496" s="1438"/>
      <c r="F496" s="1438"/>
      <c r="G496" s="1438"/>
      <c r="H496" s="1438"/>
    </row>
    <row r="497" spans="1:8" s="1404" customFormat="1">
      <c r="A497" s="1477"/>
      <c r="B497" s="1477"/>
      <c r="D497" s="1438"/>
      <c r="E497" s="1438"/>
      <c r="F497" s="1438"/>
      <c r="G497" s="1438"/>
      <c r="H497" s="1438"/>
    </row>
    <row r="498" spans="1:8" s="1404" customFormat="1">
      <c r="A498" s="1477"/>
      <c r="B498" s="1477"/>
      <c r="D498" s="1438"/>
      <c r="E498" s="1438"/>
      <c r="F498" s="1438"/>
      <c r="G498" s="1438"/>
      <c r="H498" s="1438"/>
    </row>
    <row r="499" spans="1:8" s="1404" customFormat="1">
      <c r="A499" s="1477"/>
      <c r="B499" s="1477"/>
      <c r="D499" s="1438"/>
      <c r="E499" s="1438"/>
      <c r="F499" s="1438"/>
      <c r="G499" s="1438"/>
      <c r="H499" s="1438"/>
    </row>
    <row r="500" spans="1:8" s="1404" customFormat="1">
      <c r="A500" s="1477"/>
      <c r="B500" s="1477"/>
      <c r="D500" s="1438"/>
      <c r="E500" s="1438"/>
      <c r="F500" s="1438"/>
      <c r="G500" s="1438"/>
      <c r="H500" s="1438"/>
    </row>
    <row r="501" spans="1:8" s="1404" customFormat="1">
      <c r="A501" s="1477"/>
      <c r="B501" s="1477"/>
      <c r="D501" s="1438"/>
      <c r="E501" s="1438"/>
      <c r="F501" s="1438"/>
      <c r="G501" s="1438"/>
      <c r="H501" s="1438"/>
    </row>
    <row r="502" spans="1:8" s="1404" customFormat="1">
      <c r="A502" s="1477"/>
      <c r="B502" s="1477"/>
      <c r="D502" s="1438"/>
      <c r="E502" s="1438"/>
      <c r="F502" s="1438"/>
      <c r="G502" s="1438"/>
      <c r="H502" s="1438"/>
    </row>
    <row r="503" spans="1:8" s="1404" customFormat="1">
      <c r="A503" s="1477"/>
      <c r="B503" s="1477"/>
      <c r="D503" s="1438"/>
      <c r="E503" s="1438"/>
      <c r="F503" s="1438"/>
      <c r="G503" s="1438"/>
      <c r="H503" s="1438"/>
    </row>
    <row r="504" spans="1:8" s="1404" customFormat="1">
      <c r="A504" s="1477"/>
      <c r="B504" s="1477"/>
      <c r="D504" s="1438"/>
      <c r="E504" s="1438"/>
      <c r="F504" s="1438"/>
      <c r="G504" s="1438"/>
      <c r="H504" s="1438"/>
    </row>
    <row r="505" spans="1:8" s="1404" customFormat="1">
      <c r="A505" s="1477"/>
      <c r="B505" s="1477"/>
      <c r="D505" s="1438"/>
      <c r="E505" s="1438"/>
      <c r="F505" s="1438"/>
      <c r="G505" s="1438"/>
      <c r="H505" s="1438"/>
    </row>
    <row r="506" spans="1:8" s="1404" customFormat="1">
      <c r="A506" s="1477"/>
      <c r="B506" s="1477"/>
      <c r="D506" s="1438"/>
      <c r="E506" s="1438"/>
      <c r="F506" s="1438"/>
      <c r="G506" s="1438"/>
      <c r="H506" s="1438"/>
    </row>
    <row r="507" spans="1:8" s="1404" customFormat="1">
      <c r="A507" s="1477"/>
      <c r="B507" s="1477"/>
      <c r="D507" s="1438"/>
      <c r="E507" s="1438"/>
      <c r="F507" s="1438"/>
      <c r="G507" s="1438"/>
      <c r="H507" s="1438"/>
    </row>
    <row r="508" spans="1:8" s="1404" customFormat="1">
      <c r="A508" s="1477"/>
      <c r="B508" s="1477"/>
      <c r="D508" s="1438"/>
      <c r="E508" s="1438"/>
      <c r="F508" s="1438"/>
      <c r="G508" s="1438"/>
      <c r="H508" s="1438"/>
    </row>
    <row r="509" spans="1:8" s="1404" customFormat="1">
      <c r="A509" s="1477"/>
      <c r="B509" s="1477"/>
      <c r="D509" s="1438"/>
      <c r="E509" s="1438"/>
      <c r="F509" s="1438"/>
      <c r="G509" s="1438"/>
      <c r="H509" s="1438"/>
    </row>
    <row r="510" spans="1:8" s="1404" customFormat="1">
      <c r="A510" s="1477"/>
      <c r="B510" s="1477"/>
      <c r="D510" s="1438"/>
      <c r="E510" s="1438"/>
      <c r="F510" s="1438"/>
      <c r="G510" s="1438"/>
      <c r="H510" s="1438"/>
    </row>
    <row r="511" spans="1:8" s="1404" customFormat="1">
      <c r="A511" s="1477"/>
      <c r="B511" s="1477"/>
      <c r="D511" s="1438"/>
      <c r="E511" s="1438"/>
      <c r="F511" s="1438"/>
      <c r="G511" s="1438"/>
      <c r="H511" s="1438"/>
    </row>
    <row r="512" spans="1:8" s="1404" customFormat="1">
      <c r="A512" s="1477"/>
      <c r="B512" s="1477"/>
      <c r="D512" s="1438"/>
      <c r="E512" s="1438"/>
      <c r="F512" s="1438"/>
      <c r="G512" s="1438"/>
      <c r="H512" s="1438"/>
    </row>
    <row r="513" spans="1:8" s="1404" customFormat="1">
      <c r="A513" s="1477"/>
      <c r="B513" s="1477"/>
      <c r="D513" s="1438"/>
      <c r="E513" s="1438"/>
      <c r="F513" s="1438"/>
      <c r="G513" s="1438"/>
      <c r="H513" s="1438"/>
    </row>
    <row r="514" spans="1:8" s="1404" customFormat="1">
      <c r="A514" s="1477"/>
      <c r="B514" s="1477"/>
      <c r="D514" s="1438"/>
      <c r="E514" s="1438"/>
      <c r="F514" s="1438"/>
      <c r="G514" s="1438"/>
      <c r="H514" s="1438"/>
    </row>
    <row r="515" spans="1:8" s="1404" customFormat="1">
      <c r="A515" s="1477"/>
      <c r="B515" s="1477"/>
      <c r="D515" s="1438"/>
      <c r="E515" s="1438"/>
      <c r="F515" s="1438"/>
      <c r="G515" s="1438"/>
      <c r="H515" s="1438"/>
    </row>
    <row r="516" spans="1:8" s="1404" customFormat="1">
      <c r="A516" s="1477"/>
      <c r="B516" s="1477"/>
      <c r="D516" s="1438"/>
      <c r="E516" s="1438"/>
      <c r="F516" s="1438"/>
      <c r="G516" s="1438"/>
      <c r="H516" s="1438"/>
    </row>
    <row r="517" spans="1:8" s="1404" customFormat="1">
      <c r="A517" s="1477"/>
      <c r="B517" s="1477"/>
      <c r="D517" s="1438"/>
      <c r="E517" s="1438"/>
      <c r="F517" s="1438"/>
      <c r="G517" s="1438"/>
      <c r="H517" s="1438"/>
    </row>
    <row r="518" spans="1:8" s="1404" customFormat="1">
      <c r="A518" s="1477"/>
      <c r="B518" s="1477"/>
      <c r="D518" s="1438"/>
      <c r="E518" s="1438"/>
      <c r="F518" s="1438"/>
      <c r="G518" s="1438"/>
      <c r="H518" s="1438"/>
    </row>
    <row r="519" spans="1:8" s="1404" customFormat="1">
      <c r="A519" s="1477"/>
      <c r="B519" s="1477"/>
      <c r="D519" s="1438"/>
      <c r="E519" s="1438"/>
      <c r="F519" s="1438"/>
      <c r="G519" s="1438"/>
      <c r="H519" s="1438"/>
    </row>
    <row r="520" spans="1:8" s="1404" customFormat="1">
      <c r="A520" s="1477"/>
      <c r="B520" s="1477"/>
      <c r="D520" s="1438"/>
      <c r="E520" s="1438"/>
      <c r="F520" s="1438"/>
      <c r="G520" s="1438"/>
      <c r="H520" s="1438"/>
    </row>
    <row r="521" spans="1:8" s="1404" customFormat="1">
      <c r="A521" s="1477"/>
      <c r="B521" s="1477"/>
      <c r="D521" s="1438"/>
      <c r="E521" s="1438"/>
      <c r="F521" s="1438"/>
      <c r="G521" s="1438"/>
      <c r="H521" s="1438"/>
    </row>
    <row r="522" spans="1:8" s="1404" customFormat="1">
      <c r="A522" s="1477"/>
      <c r="B522" s="1477"/>
      <c r="D522" s="1438"/>
      <c r="E522" s="1438"/>
      <c r="F522" s="1438"/>
      <c r="G522" s="1438"/>
      <c r="H522" s="1438"/>
    </row>
    <row r="523" spans="1:8" s="1404" customFormat="1">
      <c r="A523" s="1477"/>
      <c r="B523" s="1477"/>
      <c r="D523" s="1438"/>
      <c r="E523" s="1438"/>
      <c r="F523" s="1438"/>
      <c r="G523" s="1438"/>
      <c r="H523" s="1438"/>
    </row>
    <row r="524" spans="1:8" s="1404" customFormat="1">
      <c r="A524" s="1477"/>
      <c r="B524" s="1477"/>
      <c r="D524" s="1438"/>
      <c r="E524" s="1438"/>
      <c r="F524" s="1438"/>
      <c r="G524" s="1438"/>
      <c r="H524" s="1438"/>
    </row>
    <row r="525" spans="1:8" s="1404" customFormat="1">
      <c r="A525" s="1477"/>
      <c r="B525" s="1477"/>
      <c r="D525" s="1438"/>
      <c r="E525" s="1438"/>
      <c r="F525" s="1438"/>
      <c r="G525" s="1438"/>
      <c r="H525" s="1438"/>
    </row>
    <row r="526" spans="1:8" s="1404" customFormat="1">
      <c r="A526" s="1477"/>
      <c r="B526" s="1477"/>
      <c r="D526" s="1438"/>
      <c r="E526" s="1438"/>
      <c r="F526" s="1438"/>
      <c r="G526" s="1438"/>
      <c r="H526" s="1438"/>
    </row>
    <row r="527" spans="1:8" s="1404" customFormat="1">
      <c r="A527" s="1477"/>
      <c r="B527" s="1477"/>
      <c r="D527" s="1438"/>
      <c r="E527" s="1438"/>
      <c r="F527" s="1438"/>
      <c r="G527" s="1438"/>
      <c r="H527" s="1438"/>
    </row>
    <row r="528" spans="1:8" s="1404" customFormat="1">
      <c r="A528" s="1477"/>
      <c r="B528" s="1477"/>
      <c r="D528" s="1438"/>
      <c r="E528" s="1438"/>
      <c r="F528" s="1438"/>
      <c r="G528" s="1438"/>
      <c r="H528" s="1438"/>
    </row>
    <row r="529" spans="1:8" s="1404" customFormat="1">
      <c r="A529" s="1477"/>
      <c r="B529" s="1477"/>
      <c r="D529" s="1438"/>
      <c r="E529" s="1438"/>
      <c r="F529" s="1438"/>
      <c r="G529" s="1438"/>
      <c r="H529" s="1438"/>
    </row>
    <row r="530" spans="1:8" s="1404" customFormat="1">
      <c r="A530" s="1477"/>
      <c r="B530" s="1477"/>
      <c r="D530" s="1438"/>
      <c r="E530" s="1438"/>
      <c r="F530" s="1438"/>
      <c r="G530" s="1438"/>
      <c r="H530" s="1438"/>
    </row>
    <row r="531" spans="1:8" s="1404" customFormat="1">
      <c r="A531" s="1477"/>
      <c r="B531" s="1477"/>
      <c r="D531" s="1438"/>
      <c r="E531" s="1438"/>
      <c r="F531" s="1438"/>
      <c r="G531" s="1438"/>
      <c r="H531" s="1438"/>
    </row>
    <row r="532" spans="1:8" s="1404" customFormat="1">
      <c r="A532" s="1477"/>
      <c r="B532" s="1477"/>
      <c r="D532" s="1438"/>
      <c r="E532" s="1438"/>
      <c r="F532" s="1438"/>
      <c r="G532" s="1438"/>
      <c r="H532" s="1438"/>
    </row>
    <row r="533" spans="1:8" s="1404" customFormat="1">
      <c r="A533" s="1477"/>
      <c r="B533" s="1477"/>
      <c r="D533" s="1438"/>
      <c r="E533" s="1438"/>
      <c r="F533" s="1438"/>
      <c r="G533" s="1438"/>
      <c r="H533" s="1438"/>
    </row>
    <row r="534" spans="1:8" s="1404" customFormat="1">
      <c r="A534" s="1477"/>
      <c r="B534" s="1477"/>
      <c r="D534" s="1438"/>
      <c r="E534" s="1438"/>
      <c r="F534" s="1438"/>
      <c r="G534" s="1438"/>
      <c r="H534" s="1438"/>
    </row>
    <row r="535" spans="1:8" s="1404" customFormat="1">
      <c r="A535" s="1477"/>
      <c r="B535" s="1477"/>
      <c r="D535" s="1438"/>
      <c r="E535" s="1438"/>
      <c r="F535" s="1438"/>
      <c r="G535" s="1438"/>
      <c r="H535" s="1438"/>
    </row>
    <row r="536" spans="1:8" s="1404" customFormat="1">
      <c r="A536" s="1477"/>
      <c r="B536" s="1477"/>
      <c r="D536" s="1438"/>
      <c r="E536" s="1438"/>
      <c r="F536" s="1438"/>
      <c r="G536" s="1438"/>
      <c r="H536" s="1438"/>
    </row>
    <row r="537" spans="1:8" s="1404" customFormat="1">
      <c r="A537" s="1477"/>
      <c r="B537" s="1477"/>
      <c r="D537" s="1438"/>
      <c r="E537" s="1438"/>
      <c r="F537" s="1438"/>
      <c r="G537" s="1438"/>
      <c r="H537" s="1438"/>
    </row>
    <row r="538" spans="1:8" s="1404" customFormat="1">
      <c r="A538" s="1477"/>
      <c r="B538" s="1477"/>
      <c r="D538" s="1438"/>
      <c r="E538" s="1438"/>
      <c r="F538" s="1438"/>
      <c r="G538" s="1438"/>
      <c r="H538" s="1438"/>
    </row>
    <row r="539" spans="1:8" s="1404" customFormat="1">
      <c r="A539" s="1477"/>
      <c r="B539" s="1477"/>
      <c r="D539" s="1438"/>
      <c r="E539" s="1438"/>
      <c r="F539" s="1438"/>
      <c r="G539" s="1438"/>
      <c r="H539" s="1438"/>
    </row>
    <row r="540" spans="1:8" s="1404" customFormat="1">
      <c r="A540" s="1477"/>
      <c r="B540" s="1477"/>
      <c r="D540" s="1438"/>
      <c r="E540" s="1438"/>
      <c r="F540" s="1438"/>
      <c r="G540" s="1438"/>
      <c r="H540" s="1438"/>
    </row>
    <row r="541" spans="1:8" s="1404" customFormat="1">
      <c r="A541" s="1477"/>
      <c r="B541" s="1477"/>
      <c r="D541" s="1438"/>
      <c r="E541" s="1438"/>
      <c r="F541" s="1438"/>
      <c r="G541" s="1438"/>
      <c r="H541" s="1438"/>
    </row>
    <row r="542" spans="1:8" s="1404" customFormat="1">
      <c r="A542" s="1477"/>
      <c r="B542" s="1477"/>
      <c r="D542" s="1438"/>
      <c r="E542" s="1438"/>
      <c r="F542" s="1438"/>
      <c r="G542" s="1438"/>
      <c r="H542" s="1438"/>
    </row>
    <row r="543" spans="1:8" s="1404" customFormat="1">
      <c r="A543" s="1477"/>
      <c r="B543" s="1477"/>
      <c r="D543" s="1438"/>
      <c r="E543" s="1438"/>
      <c r="F543" s="1438"/>
      <c r="G543" s="1438"/>
      <c r="H543" s="1438"/>
    </row>
    <row r="544" spans="1:8" s="1404" customFormat="1">
      <c r="A544" s="1477"/>
      <c r="B544" s="1477"/>
      <c r="D544" s="1438"/>
      <c r="E544" s="1438"/>
      <c r="F544" s="1438"/>
      <c r="G544" s="1438"/>
      <c r="H544" s="1438"/>
    </row>
    <row r="545" spans="1:8" s="1404" customFormat="1">
      <c r="A545" s="1477"/>
      <c r="B545" s="1477"/>
      <c r="D545" s="1438"/>
      <c r="E545" s="1438"/>
      <c r="F545" s="1438"/>
      <c r="G545" s="1438"/>
      <c r="H545" s="1438"/>
    </row>
    <row r="546" spans="1:8" s="1404" customFormat="1">
      <c r="A546" s="1477"/>
      <c r="B546" s="1477"/>
      <c r="D546" s="1438"/>
      <c r="E546" s="1438"/>
      <c r="F546" s="1438"/>
      <c r="G546" s="1438"/>
      <c r="H546" s="1438"/>
    </row>
    <row r="547" spans="1:8" s="1404" customFormat="1">
      <c r="A547" s="1477"/>
      <c r="B547" s="1477"/>
      <c r="D547" s="1438"/>
      <c r="E547" s="1438"/>
      <c r="F547" s="1438"/>
      <c r="G547" s="1438"/>
      <c r="H547" s="1438"/>
    </row>
    <row r="548" spans="1:8" s="1404" customFormat="1">
      <c r="A548" s="1477"/>
      <c r="B548" s="1477"/>
      <c r="D548" s="1438"/>
      <c r="E548" s="1438"/>
      <c r="F548" s="1438"/>
      <c r="G548" s="1438"/>
      <c r="H548" s="1438"/>
    </row>
    <row r="549" spans="1:8" s="1404" customFormat="1">
      <c r="A549" s="1477"/>
      <c r="B549" s="1477"/>
      <c r="D549" s="1438"/>
      <c r="E549" s="1438"/>
      <c r="F549" s="1438"/>
      <c r="G549" s="1438"/>
      <c r="H549" s="1438"/>
    </row>
    <row r="550" spans="1:8" s="1404" customFormat="1">
      <c r="A550" s="1477"/>
      <c r="B550" s="1477"/>
      <c r="D550" s="1438"/>
      <c r="E550" s="1438"/>
      <c r="F550" s="1438"/>
      <c r="G550" s="1438"/>
      <c r="H550" s="1438"/>
    </row>
    <row r="551" spans="1:8" s="1404" customFormat="1">
      <c r="A551" s="1477"/>
      <c r="B551" s="1477"/>
      <c r="D551" s="1438"/>
      <c r="E551" s="1438"/>
      <c r="F551" s="1438"/>
      <c r="G551" s="1438"/>
      <c r="H551" s="1438"/>
    </row>
    <row r="552" spans="1:8" s="1404" customFormat="1">
      <c r="A552" s="1477"/>
      <c r="B552" s="1477"/>
      <c r="D552" s="1438"/>
      <c r="E552" s="1438"/>
      <c r="F552" s="1438"/>
      <c r="G552" s="1438"/>
      <c r="H552" s="1438"/>
    </row>
    <row r="553" spans="1:8" s="1404" customFormat="1">
      <c r="A553" s="1477"/>
      <c r="B553" s="1477"/>
      <c r="D553" s="1438"/>
      <c r="E553" s="1438"/>
      <c r="F553" s="1438"/>
      <c r="G553" s="1438"/>
      <c r="H553" s="1438"/>
    </row>
    <row r="554" spans="1:8" s="1404" customFormat="1">
      <c r="A554" s="1477"/>
      <c r="B554" s="1477"/>
      <c r="D554" s="1438"/>
      <c r="E554" s="1438"/>
      <c r="F554" s="1438"/>
      <c r="G554" s="1438"/>
      <c r="H554" s="1438"/>
    </row>
    <row r="555" spans="1:8" s="1404" customFormat="1">
      <c r="A555" s="1477"/>
      <c r="B555" s="1477"/>
      <c r="D555" s="1438"/>
      <c r="E555" s="1438"/>
      <c r="F555" s="1438"/>
      <c r="G555" s="1438"/>
      <c r="H555" s="1438"/>
    </row>
    <row r="556" spans="1:8" s="1404" customFormat="1">
      <c r="A556" s="1477"/>
      <c r="B556" s="1477"/>
      <c r="D556" s="1438"/>
      <c r="E556" s="1438"/>
      <c r="F556" s="1438"/>
      <c r="G556" s="1438"/>
      <c r="H556" s="1438"/>
    </row>
    <row r="557" spans="1:8" s="1404" customFormat="1">
      <c r="A557" s="1477"/>
      <c r="B557" s="1477"/>
      <c r="D557" s="1438"/>
      <c r="E557" s="1438"/>
      <c r="F557" s="1438"/>
      <c r="G557" s="1438"/>
      <c r="H557" s="1438"/>
    </row>
    <row r="558" spans="1:8" s="1404" customFormat="1">
      <c r="A558" s="1477"/>
      <c r="B558" s="1477"/>
      <c r="D558" s="1438"/>
      <c r="E558" s="1438"/>
      <c r="F558" s="1438"/>
      <c r="G558" s="1438"/>
      <c r="H558" s="1438"/>
    </row>
    <row r="559" spans="1:8" s="1404" customFormat="1">
      <c r="A559" s="1477"/>
      <c r="B559" s="1477"/>
      <c r="D559" s="1438"/>
      <c r="E559" s="1438"/>
      <c r="F559" s="1438"/>
      <c r="G559" s="1438"/>
      <c r="H559" s="1438"/>
    </row>
    <row r="560" spans="1:8" s="1404" customFormat="1">
      <c r="A560" s="1477"/>
      <c r="B560" s="1477"/>
      <c r="D560" s="1438"/>
      <c r="E560" s="1438"/>
      <c r="F560" s="1438"/>
      <c r="G560" s="1438"/>
      <c r="H560" s="1438"/>
    </row>
    <row r="561" spans="1:8" s="1404" customFormat="1">
      <c r="A561" s="1477"/>
      <c r="B561" s="1477"/>
      <c r="D561" s="1438"/>
      <c r="E561" s="1438"/>
      <c r="F561" s="1438"/>
      <c r="G561" s="1438"/>
      <c r="H561" s="1438"/>
    </row>
    <row r="562" spans="1:8" s="1404" customFormat="1">
      <c r="A562" s="1477"/>
      <c r="B562" s="1477"/>
      <c r="D562" s="1438"/>
      <c r="E562" s="1438"/>
      <c r="F562" s="1438"/>
      <c r="G562" s="1438"/>
      <c r="H562" s="1438"/>
    </row>
    <row r="563" spans="1:8" s="1404" customFormat="1">
      <c r="A563" s="1477"/>
      <c r="B563" s="1477"/>
      <c r="D563" s="1438"/>
      <c r="E563" s="1438"/>
      <c r="F563" s="1438"/>
      <c r="G563" s="1438"/>
      <c r="H563" s="1438"/>
    </row>
    <row r="564" spans="1:8" s="1404" customFormat="1">
      <c r="A564" s="1477"/>
      <c r="B564" s="1477"/>
      <c r="D564" s="1438"/>
      <c r="E564" s="1438"/>
      <c r="F564" s="1438"/>
      <c r="G564" s="1438"/>
      <c r="H564" s="1438"/>
    </row>
    <row r="565" spans="1:8" s="1404" customFormat="1">
      <c r="A565" s="1477"/>
      <c r="B565" s="1477"/>
      <c r="D565" s="1438"/>
      <c r="E565" s="1438"/>
      <c r="F565" s="1438"/>
      <c r="G565" s="1438"/>
      <c r="H565" s="1438"/>
    </row>
    <row r="566" spans="1:8" s="1404" customFormat="1">
      <c r="A566" s="1477"/>
      <c r="B566" s="1477"/>
      <c r="D566" s="1438"/>
      <c r="E566" s="1438"/>
      <c r="F566" s="1438"/>
      <c r="G566" s="1438"/>
      <c r="H566" s="1438"/>
    </row>
    <row r="567" spans="1:8" s="1404" customFormat="1">
      <c r="A567" s="1477"/>
      <c r="B567" s="1477"/>
      <c r="D567" s="1438"/>
      <c r="E567" s="1438"/>
      <c r="F567" s="1438"/>
      <c r="G567" s="1438"/>
      <c r="H567" s="1438"/>
    </row>
    <row r="568" spans="1:8" s="1404" customFormat="1">
      <c r="A568" s="1477"/>
      <c r="B568" s="1477"/>
      <c r="D568" s="1438"/>
      <c r="E568" s="1438"/>
      <c r="F568" s="1438"/>
      <c r="G568" s="1438"/>
      <c r="H568" s="1438"/>
    </row>
    <row r="569" spans="1:8" s="1404" customFormat="1">
      <c r="A569" s="1477"/>
      <c r="B569" s="1477"/>
      <c r="D569" s="1438"/>
      <c r="E569" s="1438"/>
      <c r="F569" s="1438"/>
      <c r="G569" s="1438"/>
      <c r="H569" s="1438"/>
    </row>
    <row r="570" spans="1:8" s="1404" customFormat="1">
      <c r="A570" s="1477"/>
      <c r="B570" s="1477"/>
      <c r="D570" s="1438"/>
      <c r="E570" s="1438"/>
      <c r="F570" s="1438"/>
      <c r="G570" s="1438"/>
      <c r="H570" s="1438"/>
    </row>
    <row r="571" spans="1:8" s="1404" customFormat="1">
      <c r="A571" s="1477"/>
      <c r="B571" s="1477"/>
      <c r="D571" s="1438"/>
      <c r="E571" s="1438"/>
      <c r="F571" s="1438"/>
      <c r="G571" s="1438"/>
      <c r="H571" s="1438"/>
    </row>
    <row r="572" spans="1:8" s="1404" customFormat="1">
      <c r="A572" s="1477"/>
      <c r="B572" s="1477"/>
      <c r="D572" s="1438"/>
      <c r="E572" s="1438"/>
      <c r="F572" s="1438"/>
      <c r="G572" s="1438"/>
      <c r="H572" s="1438"/>
    </row>
    <row r="573" spans="1:8" s="1404" customFormat="1">
      <c r="A573" s="1477"/>
      <c r="B573" s="1477"/>
      <c r="D573" s="1438"/>
      <c r="E573" s="1438"/>
      <c r="F573" s="1438"/>
      <c r="G573" s="1438"/>
      <c r="H573" s="1438"/>
    </row>
    <row r="574" spans="1:8" s="1404" customFormat="1">
      <c r="A574" s="1477"/>
      <c r="B574" s="1477"/>
      <c r="D574" s="1438"/>
      <c r="E574" s="1438"/>
      <c r="F574" s="1438"/>
      <c r="G574" s="1438"/>
      <c r="H574" s="1438"/>
    </row>
    <row r="575" spans="1:8" s="1404" customFormat="1">
      <c r="A575" s="1477"/>
      <c r="B575" s="1477"/>
      <c r="D575" s="1438"/>
      <c r="E575" s="1438"/>
      <c r="F575" s="1438"/>
      <c r="G575" s="1438"/>
      <c r="H575" s="1438"/>
    </row>
    <row r="576" spans="1:8" s="1404" customFormat="1">
      <c r="A576" s="1477"/>
      <c r="B576" s="1477"/>
      <c r="D576" s="1438"/>
      <c r="E576" s="1438"/>
      <c r="F576" s="1438"/>
      <c r="G576" s="1438"/>
      <c r="H576" s="1438"/>
    </row>
    <row r="577" spans="1:8" s="1404" customFormat="1">
      <c r="A577" s="1477"/>
      <c r="B577" s="1477"/>
      <c r="D577" s="1438"/>
      <c r="E577" s="1438"/>
      <c r="F577" s="1438"/>
      <c r="G577" s="1438"/>
      <c r="H577" s="1438"/>
    </row>
    <row r="578" spans="1:8" s="1404" customFormat="1">
      <c r="A578" s="1477"/>
      <c r="B578" s="1477"/>
      <c r="D578" s="1438"/>
      <c r="E578" s="1438"/>
      <c r="F578" s="1438"/>
      <c r="G578" s="1438"/>
      <c r="H578" s="1438"/>
    </row>
    <row r="579" spans="1:8" s="1404" customFormat="1">
      <c r="A579" s="1477"/>
      <c r="B579" s="1477"/>
      <c r="D579" s="1438"/>
      <c r="E579" s="1438"/>
      <c r="F579" s="1438"/>
      <c r="G579" s="1438"/>
      <c r="H579" s="1438"/>
    </row>
    <row r="580" spans="1:8" s="1404" customFormat="1">
      <c r="A580" s="1477"/>
      <c r="B580" s="1477"/>
      <c r="D580" s="1438"/>
      <c r="E580" s="1438"/>
      <c r="F580" s="1438"/>
      <c r="G580" s="1438"/>
      <c r="H580" s="1438"/>
    </row>
    <row r="581" spans="1:8" s="1404" customFormat="1">
      <c r="A581" s="1477"/>
      <c r="B581" s="1477"/>
      <c r="D581" s="1438"/>
      <c r="E581" s="1438"/>
      <c r="F581" s="1438"/>
      <c r="G581" s="1438"/>
      <c r="H581" s="1438"/>
    </row>
    <row r="582" spans="1:8" s="1404" customFormat="1">
      <c r="A582" s="1477"/>
      <c r="B582" s="1477"/>
      <c r="D582" s="1438"/>
      <c r="E582" s="1438"/>
      <c r="F582" s="1438"/>
      <c r="G582" s="1438"/>
      <c r="H582" s="1438"/>
    </row>
    <row r="583" spans="1:8" s="1404" customFormat="1">
      <c r="A583" s="1477"/>
      <c r="B583" s="1477"/>
      <c r="D583" s="1438"/>
      <c r="E583" s="1438"/>
      <c r="F583" s="1438"/>
      <c r="G583" s="1438"/>
      <c r="H583" s="1438"/>
    </row>
    <row r="584" spans="1:8" s="1404" customFormat="1">
      <c r="A584" s="1477"/>
      <c r="B584" s="1477"/>
      <c r="D584" s="1438"/>
      <c r="E584" s="1438"/>
      <c r="F584" s="1438"/>
      <c r="G584" s="1438"/>
      <c r="H584" s="1438"/>
    </row>
    <row r="585" spans="1:8" s="1404" customFormat="1">
      <c r="A585" s="1477"/>
      <c r="B585" s="1477"/>
      <c r="D585" s="1438"/>
      <c r="E585" s="1438"/>
      <c r="F585" s="1438"/>
      <c r="G585" s="1438"/>
      <c r="H585" s="1438"/>
    </row>
    <row r="586" spans="1:8" s="1404" customFormat="1">
      <c r="A586" s="1477"/>
      <c r="B586" s="1477"/>
      <c r="D586" s="1438"/>
      <c r="E586" s="1438"/>
      <c r="F586" s="1438"/>
      <c r="G586" s="1438"/>
      <c r="H586" s="1438"/>
    </row>
    <row r="587" spans="1:8" s="1404" customFormat="1">
      <c r="A587" s="1477"/>
      <c r="B587" s="1477"/>
      <c r="D587" s="1438"/>
      <c r="E587" s="1438"/>
      <c r="F587" s="1438"/>
      <c r="G587" s="1438"/>
      <c r="H587" s="1438"/>
    </row>
    <row r="588" spans="1:8" s="1404" customFormat="1">
      <c r="A588" s="1477"/>
      <c r="B588" s="1477"/>
      <c r="D588" s="1438"/>
      <c r="E588" s="1438"/>
      <c r="F588" s="1438"/>
      <c r="G588" s="1438"/>
      <c r="H588" s="1438"/>
    </row>
    <row r="589" spans="1:8" s="1404" customFormat="1">
      <c r="A589" s="1477"/>
      <c r="B589" s="1477"/>
      <c r="D589" s="1438"/>
      <c r="E589" s="1438"/>
      <c r="F589" s="1438"/>
      <c r="G589" s="1438"/>
      <c r="H589" s="1438"/>
    </row>
    <row r="590" spans="1:8" s="1404" customFormat="1">
      <c r="A590" s="1477"/>
      <c r="B590" s="1477"/>
      <c r="D590" s="1438"/>
      <c r="E590" s="1438"/>
      <c r="F590" s="1438"/>
      <c r="G590" s="1438"/>
      <c r="H590" s="1438"/>
    </row>
    <row r="591" spans="1:8" s="1404" customFormat="1">
      <c r="A591" s="1477"/>
      <c r="B591" s="1477"/>
      <c r="D591" s="1438"/>
      <c r="E591" s="1438"/>
      <c r="F591" s="1438"/>
      <c r="G591" s="1438"/>
      <c r="H591" s="1438"/>
    </row>
    <row r="592" spans="1:8" s="1404" customFormat="1">
      <c r="A592" s="1477"/>
      <c r="B592" s="1477"/>
      <c r="D592" s="1438"/>
      <c r="E592" s="1438"/>
      <c r="F592" s="1438"/>
      <c r="G592" s="1438"/>
      <c r="H592" s="1438"/>
    </row>
    <row r="593" spans="1:8" s="1404" customFormat="1">
      <c r="A593" s="1477"/>
      <c r="B593" s="1477"/>
      <c r="D593" s="1438"/>
      <c r="E593" s="1438"/>
      <c r="F593" s="1438"/>
      <c r="G593" s="1438"/>
      <c r="H593" s="1438"/>
    </row>
    <row r="594" spans="1:8" s="1404" customFormat="1">
      <c r="A594" s="1477"/>
      <c r="B594" s="1477"/>
      <c r="D594" s="1438"/>
      <c r="E594" s="1438"/>
      <c r="F594" s="1438"/>
      <c r="G594" s="1438"/>
      <c r="H594" s="1438"/>
    </row>
    <row r="595" spans="1:8" s="1404" customFormat="1">
      <c r="A595" s="1477"/>
      <c r="B595" s="1477"/>
      <c r="D595" s="1438"/>
      <c r="E595" s="1438"/>
      <c r="F595" s="1438"/>
      <c r="G595" s="1438"/>
      <c r="H595" s="1438"/>
    </row>
    <row r="596" spans="1:8" s="1404" customFormat="1">
      <c r="A596" s="1477"/>
      <c r="B596" s="1477"/>
      <c r="D596" s="1438"/>
      <c r="E596" s="1438"/>
      <c r="F596" s="1438"/>
      <c r="G596" s="1438"/>
      <c r="H596" s="1438"/>
    </row>
    <row r="597" spans="1:8" s="1404" customFormat="1">
      <c r="A597" s="1477"/>
      <c r="B597" s="1477"/>
      <c r="D597" s="1438"/>
      <c r="E597" s="1438"/>
      <c r="F597" s="1438"/>
      <c r="G597" s="1438"/>
      <c r="H597" s="1438"/>
    </row>
    <row r="598" spans="1:8" s="1404" customFormat="1">
      <c r="A598" s="1477"/>
      <c r="B598" s="1477"/>
      <c r="D598" s="1438"/>
      <c r="E598" s="1438"/>
      <c r="F598" s="1438"/>
      <c r="G598" s="1438"/>
      <c r="H598" s="1438"/>
    </row>
    <row r="599" spans="1:8" s="1404" customFormat="1">
      <c r="A599" s="1477"/>
      <c r="B599" s="1477"/>
      <c r="D599" s="1438"/>
      <c r="E599" s="1438"/>
      <c r="F599" s="1438"/>
      <c r="G599" s="1438"/>
      <c r="H599" s="1438"/>
    </row>
    <row r="600" spans="1:8" s="1404" customFormat="1">
      <c r="A600" s="1477"/>
      <c r="B600" s="1477"/>
      <c r="D600" s="1438"/>
      <c r="E600" s="1438"/>
      <c r="F600" s="1438"/>
      <c r="G600" s="1438"/>
      <c r="H600" s="1438"/>
    </row>
    <row r="601" spans="1:8" s="1404" customFormat="1">
      <c r="A601" s="1477"/>
      <c r="B601" s="1477"/>
      <c r="D601" s="1438"/>
      <c r="E601" s="1438"/>
      <c r="F601" s="1438"/>
      <c r="G601" s="1438"/>
      <c r="H601" s="1438"/>
    </row>
    <row r="602" spans="1:8" s="1404" customFormat="1">
      <c r="A602" s="1477"/>
      <c r="B602" s="1477"/>
      <c r="D602" s="1438"/>
      <c r="E602" s="1438"/>
      <c r="F602" s="1438"/>
      <c r="G602" s="1438"/>
      <c r="H602" s="1438"/>
    </row>
    <row r="603" spans="1:8" s="1404" customFormat="1">
      <c r="A603" s="1477"/>
      <c r="B603" s="1477"/>
      <c r="D603" s="1438"/>
      <c r="E603" s="1438"/>
      <c r="F603" s="1438"/>
      <c r="G603" s="1438"/>
      <c r="H603" s="1438"/>
    </row>
    <row r="604" spans="1:8" s="1404" customFormat="1">
      <c r="A604" s="1477"/>
      <c r="B604" s="1477"/>
      <c r="D604" s="1438"/>
      <c r="E604" s="1438"/>
      <c r="F604" s="1438"/>
      <c r="G604" s="1438"/>
      <c r="H604" s="1438"/>
    </row>
    <row r="605" spans="1:8" s="1404" customFormat="1">
      <c r="A605" s="1477"/>
      <c r="B605" s="1477"/>
      <c r="D605" s="1438"/>
      <c r="E605" s="1438"/>
      <c r="F605" s="1438"/>
      <c r="G605" s="1438"/>
      <c r="H605" s="1438"/>
    </row>
    <row r="606" spans="1:8" s="1404" customFormat="1">
      <c r="A606" s="1477"/>
      <c r="B606" s="1477"/>
      <c r="D606" s="1438"/>
      <c r="E606" s="1438"/>
      <c r="F606" s="1438"/>
      <c r="G606" s="1438"/>
      <c r="H606" s="1438"/>
    </row>
    <row r="607" spans="1:8" s="1404" customFormat="1">
      <c r="A607" s="1477"/>
      <c r="B607" s="1477"/>
      <c r="D607" s="1438"/>
      <c r="E607" s="1438"/>
      <c r="F607" s="1438"/>
      <c r="G607" s="1438"/>
      <c r="H607" s="1438"/>
    </row>
    <row r="608" spans="1:8" s="1404" customFormat="1">
      <c r="A608" s="1477"/>
      <c r="B608" s="1477"/>
      <c r="D608" s="1438"/>
      <c r="E608" s="1438"/>
      <c r="F608" s="1438"/>
      <c r="G608" s="1438"/>
      <c r="H608" s="1438"/>
    </row>
    <row r="609" spans="1:8" s="1404" customFormat="1">
      <c r="A609" s="1477"/>
      <c r="B609" s="1477"/>
      <c r="D609" s="1438"/>
      <c r="E609" s="1438"/>
      <c r="F609" s="1438"/>
      <c r="G609" s="1438"/>
      <c r="H609" s="1438"/>
    </row>
    <row r="610" spans="1:8" s="1404" customFormat="1">
      <c r="A610" s="1477"/>
      <c r="B610" s="1477"/>
      <c r="D610" s="1438"/>
      <c r="E610" s="1438"/>
      <c r="F610" s="1438"/>
      <c r="G610" s="1438"/>
      <c r="H610" s="1438"/>
    </row>
    <row r="611" spans="1:8" s="1404" customFormat="1">
      <c r="A611" s="1477"/>
      <c r="B611" s="1477"/>
      <c r="D611" s="1438"/>
      <c r="E611" s="1438"/>
      <c r="F611" s="1438"/>
      <c r="G611" s="1438"/>
      <c r="H611" s="1438"/>
    </row>
    <row r="612" spans="1:8" s="1404" customFormat="1">
      <c r="A612" s="1477"/>
      <c r="B612" s="1477"/>
      <c r="D612" s="1438"/>
      <c r="E612" s="1438"/>
      <c r="F612" s="1438"/>
      <c r="G612" s="1438"/>
      <c r="H612" s="1438"/>
    </row>
    <row r="613" spans="1:8" s="1404" customFormat="1">
      <c r="A613" s="1477"/>
      <c r="B613" s="1477"/>
      <c r="D613" s="1438"/>
      <c r="E613" s="1438"/>
      <c r="F613" s="1438"/>
      <c r="G613" s="1438"/>
      <c r="H613" s="1438"/>
    </row>
    <row r="614" spans="1:8" s="1404" customFormat="1">
      <c r="A614" s="1477"/>
      <c r="B614" s="1477"/>
      <c r="D614" s="1438"/>
      <c r="E614" s="1438"/>
      <c r="F614" s="1438"/>
      <c r="G614" s="1438"/>
      <c r="H614" s="1438"/>
    </row>
    <row r="615" spans="1:8" s="1404" customFormat="1">
      <c r="A615" s="1477"/>
      <c r="B615" s="1477"/>
      <c r="D615" s="1438"/>
      <c r="E615" s="1438"/>
      <c r="F615" s="1438"/>
      <c r="G615" s="1438"/>
      <c r="H615" s="1438"/>
    </row>
    <row r="616" spans="1:8" s="1404" customFormat="1">
      <c r="A616" s="1477"/>
      <c r="B616" s="1477"/>
      <c r="D616" s="1438"/>
      <c r="E616" s="1438"/>
      <c r="F616" s="1438"/>
      <c r="G616" s="1438"/>
      <c r="H616" s="1438"/>
    </row>
    <row r="617" spans="1:8" s="1404" customFormat="1">
      <c r="A617" s="1477"/>
      <c r="B617" s="1477"/>
      <c r="D617" s="1438"/>
      <c r="E617" s="1438"/>
      <c r="F617" s="1438"/>
      <c r="G617" s="1438"/>
      <c r="H617" s="1438"/>
    </row>
    <row r="618" spans="1:8" s="1404" customFormat="1">
      <c r="A618" s="1477"/>
      <c r="B618" s="1477"/>
      <c r="D618" s="1438"/>
      <c r="E618" s="1438"/>
      <c r="F618" s="1438"/>
      <c r="G618" s="1438"/>
      <c r="H618" s="1438"/>
    </row>
    <row r="619" spans="1:8" s="1404" customFormat="1">
      <c r="A619" s="1477"/>
      <c r="B619" s="1477"/>
      <c r="D619" s="1438"/>
      <c r="E619" s="1438"/>
      <c r="F619" s="1438"/>
      <c r="G619" s="1438"/>
      <c r="H619" s="1438"/>
    </row>
    <row r="620" spans="1:8" s="1404" customFormat="1">
      <c r="A620" s="1477"/>
      <c r="B620" s="1477"/>
      <c r="D620" s="1438"/>
      <c r="E620" s="1438"/>
      <c r="F620" s="1438"/>
      <c r="G620" s="1438"/>
      <c r="H620" s="1438"/>
    </row>
    <row r="621" spans="1:8" s="1404" customFormat="1">
      <c r="A621" s="1477"/>
      <c r="B621" s="1477"/>
      <c r="D621" s="1438"/>
      <c r="E621" s="1438"/>
      <c r="F621" s="1438"/>
      <c r="G621" s="1438"/>
      <c r="H621" s="1438"/>
    </row>
    <row r="622" spans="1:8" s="1404" customFormat="1">
      <c r="A622" s="1477"/>
      <c r="B622" s="1477"/>
      <c r="D622" s="1438"/>
      <c r="E622" s="1438"/>
      <c r="F622" s="1438"/>
      <c r="G622" s="1438"/>
      <c r="H622" s="1438"/>
    </row>
    <row r="623" spans="1:8" s="1404" customFormat="1">
      <c r="A623" s="1477"/>
      <c r="B623" s="1477"/>
      <c r="D623" s="1438"/>
      <c r="E623" s="1438"/>
      <c r="F623" s="1438"/>
      <c r="G623" s="1438"/>
      <c r="H623" s="1438"/>
    </row>
    <row r="624" spans="1:8" s="1404" customFormat="1">
      <c r="A624" s="1477"/>
      <c r="B624" s="1477"/>
      <c r="D624" s="1438"/>
      <c r="E624" s="1438"/>
      <c r="F624" s="1438"/>
      <c r="G624" s="1438"/>
      <c r="H624" s="1438"/>
    </row>
    <row r="625" spans="1:8" s="1404" customFormat="1">
      <c r="A625" s="1477"/>
      <c r="B625" s="1477"/>
      <c r="D625" s="1438"/>
      <c r="E625" s="1438"/>
      <c r="F625" s="1438"/>
      <c r="G625" s="1438"/>
      <c r="H625" s="1438"/>
    </row>
    <row r="626" spans="1:8" s="1404" customFormat="1">
      <c r="A626" s="1477"/>
      <c r="B626" s="1477"/>
      <c r="D626" s="1438"/>
      <c r="E626" s="1438"/>
      <c r="F626" s="1438"/>
      <c r="G626" s="1438"/>
      <c r="H626" s="1438"/>
    </row>
    <row r="627" spans="1:8" s="1404" customFormat="1">
      <c r="A627" s="1477"/>
      <c r="B627" s="1477"/>
      <c r="D627" s="1438"/>
      <c r="E627" s="1438"/>
      <c r="F627" s="1438"/>
      <c r="G627" s="1438"/>
      <c r="H627" s="1438"/>
    </row>
    <row r="628" spans="1:8" s="1404" customFormat="1">
      <c r="A628" s="1477"/>
      <c r="B628" s="1477"/>
      <c r="D628" s="1438"/>
      <c r="E628" s="1438"/>
      <c r="F628" s="1438"/>
      <c r="G628" s="1438"/>
      <c r="H628" s="1438"/>
    </row>
    <row r="629" spans="1:8" s="1404" customFormat="1">
      <c r="A629" s="1477"/>
      <c r="B629" s="1477"/>
      <c r="D629" s="1438"/>
      <c r="E629" s="1438"/>
      <c r="F629" s="1438"/>
      <c r="G629" s="1438"/>
      <c r="H629" s="1438"/>
    </row>
    <row r="630" spans="1:8" s="1404" customFormat="1">
      <c r="A630" s="1477"/>
      <c r="B630" s="1477"/>
      <c r="D630" s="1438"/>
      <c r="E630" s="1438"/>
      <c r="F630" s="1438"/>
      <c r="G630" s="1438"/>
      <c r="H630" s="1438"/>
    </row>
    <row r="631" spans="1:8" s="1404" customFormat="1">
      <c r="A631" s="1477"/>
      <c r="B631" s="1477"/>
      <c r="D631" s="1438"/>
      <c r="E631" s="1438"/>
      <c r="F631" s="1438"/>
      <c r="G631" s="1438"/>
      <c r="H631" s="1438"/>
    </row>
    <row r="632" spans="1:8" s="1404" customFormat="1">
      <c r="A632" s="1477"/>
      <c r="B632" s="1477"/>
      <c r="D632" s="1438"/>
      <c r="E632" s="1438"/>
      <c r="F632" s="1438"/>
      <c r="G632" s="1438"/>
      <c r="H632" s="1438"/>
    </row>
    <row r="633" spans="1:8" s="1404" customFormat="1">
      <c r="A633" s="1477"/>
      <c r="B633" s="1477"/>
      <c r="D633" s="1438"/>
      <c r="E633" s="1438"/>
      <c r="F633" s="1438"/>
      <c r="G633" s="1438"/>
      <c r="H633" s="1438"/>
    </row>
    <row r="634" spans="1:8" s="1404" customFormat="1">
      <c r="A634" s="1477"/>
      <c r="B634" s="1477"/>
      <c r="D634" s="1438"/>
      <c r="E634" s="1438"/>
      <c r="F634" s="1438"/>
      <c r="G634" s="1438"/>
      <c r="H634" s="1438"/>
    </row>
    <row r="635" spans="1:8" s="1404" customFormat="1">
      <c r="A635" s="1477"/>
      <c r="B635" s="1477"/>
      <c r="D635" s="1438"/>
      <c r="E635" s="1438"/>
      <c r="F635" s="1438"/>
      <c r="G635" s="1438"/>
      <c r="H635" s="1438"/>
    </row>
    <row r="636" spans="1:8" s="1404" customFormat="1">
      <c r="A636" s="1477"/>
      <c r="B636" s="1477"/>
      <c r="D636" s="1438"/>
      <c r="E636" s="1438"/>
      <c r="F636" s="1438"/>
      <c r="G636" s="1438"/>
      <c r="H636" s="1438"/>
    </row>
    <row r="637" spans="1:8" s="1404" customFormat="1">
      <c r="A637" s="1477"/>
      <c r="B637" s="1477"/>
      <c r="D637" s="1438"/>
      <c r="E637" s="1438"/>
      <c r="F637" s="1438"/>
      <c r="G637" s="1438"/>
      <c r="H637" s="1438"/>
    </row>
    <row r="638" spans="1:8" s="1404" customFormat="1">
      <c r="A638" s="1477"/>
      <c r="B638" s="1477"/>
      <c r="D638" s="1438"/>
      <c r="E638" s="1438"/>
      <c r="F638" s="1438"/>
      <c r="G638" s="1438"/>
      <c r="H638" s="1438"/>
    </row>
    <row r="639" spans="1:8" s="1404" customFormat="1">
      <c r="A639" s="1477"/>
      <c r="B639" s="1477"/>
      <c r="D639" s="1438"/>
      <c r="E639" s="1438"/>
      <c r="F639" s="1438"/>
      <c r="G639" s="1438"/>
      <c r="H639" s="1438"/>
    </row>
    <row r="640" spans="1:8" s="1404" customFormat="1">
      <c r="A640" s="1477"/>
      <c r="B640" s="1477"/>
      <c r="D640" s="1438"/>
      <c r="E640" s="1438"/>
      <c r="F640" s="1438"/>
      <c r="G640" s="1438"/>
      <c r="H640" s="1438"/>
    </row>
    <row r="641" spans="1:8" s="1404" customFormat="1">
      <c r="A641" s="1477"/>
      <c r="B641" s="1477"/>
      <c r="D641" s="1438"/>
      <c r="E641" s="1438"/>
      <c r="F641" s="1438"/>
      <c r="G641" s="1438"/>
      <c r="H641" s="1438"/>
    </row>
    <row r="642" spans="1:8" s="1404" customFormat="1">
      <c r="A642" s="1477"/>
      <c r="B642" s="1477"/>
      <c r="D642" s="1438"/>
      <c r="E642" s="1438"/>
      <c r="F642" s="1438"/>
      <c r="G642" s="1438"/>
      <c r="H642" s="1438"/>
    </row>
    <row r="643" spans="1:8" s="1404" customFormat="1">
      <c r="A643" s="1477"/>
      <c r="B643" s="1477"/>
      <c r="D643" s="1438"/>
      <c r="E643" s="1438"/>
      <c r="F643" s="1438"/>
      <c r="G643" s="1438"/>
      <c r="H643" s="1438"/>
    </row>
    <row r="644" spans="1:8" s="1404" customFormat="1">
      <c r="A644" s="1477"/>
      <c r="B644" s="1477"/>
      <c r="D644" s="1438"/>
      <c r="E644" s="1438"/>
      <c r="F644" s="1438"/>
      <c r="G644" s="1438"/>
      <c r="H644" s="1438"/>
    </row>
    <row r="645" spans="1:8" s="1404" customFormat="1">
      <c r="A645" s="1477"/>
      <c r="B645" s="1477"/>
      <c r="D645" s="1438"/>
      <c r="E645" s="1438"/>
      <c r="F645" s="1438"/>
      <c r="G645" s="1438"/>
      <c r="H645" s="1438"/>
    </row>
    <row r="646" spans="1:8" s="1404" customFormat="1">
      <c r="A646" s="1477"/>
      <c r="B646" s="1477"/>
      <c r="D646" s="1438"/>
      <c r="E646" s="1438"/>
      <c r="F646" s="1438"/>
      <c r="G646" s="1438"/>
      <c r="H646" s="1438"/>
    </row>
    <row r="647" spans="1:8" s="1404" customFormat="1">
      <c r="A647" s="1477"/>
      <c r="B647" s="1477"/>
      <c r="D647" s="1438"/>
      <c r="E647" s="1438"/>
      <c r="F647" s="1438"/>
      <c r="G647" s="1438"/>
      <c r="H647" s="1438"/>
    </row>
    <row r="648" spans="1:8" s="1404" customFormat="1">
      <c r="A648" s="1477"/>
      <c r="B648" s="1477"/>
      <c r="D648" s="1438"/>
      <c r="E648" s="1438"/>
      <c r="F648" s="1438"/>
      <c r="G648" s="1438"/>
      <c r="H648" s="1438"/>
    </row>
    <row r="649" spans="1:8" s="1404" customFormat="1">
      <c r="A649" s="1477"/>
      <c r="B649" s="1477"/>
      <c r="D649" s="1438"/>
      <c r="E649" s="1438"/>
      <c r="F649" s="1438"/>
      <c r="G649" s="1438"/>
      <c r="H649" s="1438"/>
    </row>
    <row r="650" spans="1:8" s="1404" customFormat="1">
      <c r="A650" s="1477"/>
      <c r="B650" s="1477"/>
      <c r="D650" s="1438"/>
      <c r="E650" s="1438"/>
      <c r="F650" s="1438"/>
      <c r="G650" s="1438"/>
      <c r="H650" s="1438"/>
    </row>
    <row r="651" spans="1:8" s="1404" customFormat="1">
      <c r="A651" s="1477"/>
      <c r="B651" s="1477"/>
      <c r="D651" s="1438"/>
      <c r="E651" s="1438"/>
      <c r="F651" s="1438"/>
      <c r="G651" s="1438"/>
      <c r="H651" s="1438"/>
    </row>
    <row r="652" spans="1:8" s="1404" customFormat="1">
      <c r="A652" s="1477"/>
      <c r="B652" s="1477"/>
      <c r="D652" s="1438"/>
      <c r="E652" s="1438"/>
      <c r="F652" s="1438"/>
      <c r="G652" s="1438"/>
      <c r="H652" s="1438"/>
    </row>
    <row r="653" spans="1:8" s="1404" customFormat="1">
      <c r="A653" s="1477"/>
      <c r="B653" s="1477"/>
      <c r="D653" s="1438"/>
      <c r="E653" s="1438"/>
      <c r="F653" s="1438"/>
      <c r="G653" s="1438"/>
      <c r="H653" s="1438"/>
    </row>
    <row r="654" spans="1:8" s="1404" customFormat="1">
      <c r="A654" s="1477"/>
      <c r="B654" s="1477"/>
      <c r="D654" s="1438"/>
      <c r="E654" s="1438"/>
      <c r="F654" s="1438"/>
      <c r="G654" s="1438"/>
      <c r="H654" s="1438"/>
    </row>
    <row r="655" spans="1:8" s="1404" customFormat="1">
      <c r="A655" s="1477"/>
      <c r="B655" s="1477"/>
      <c r="D655" s="1438"/>
      <c r="E655" s="1438"/>
      <c r="F655" s="1438"/>
      <c r="G655" s="1438"/>
      <c r="H655" s="1438"/>
    </row>
    <row r="656" spans="1:8" s="1404" customFormat="1">
      <c r="A656" s="1477"/>
      <c r="B656" s="1477"/>
      <c r="D656" s="1438"/>
      <c r="E656" s="1438"/>
      <c r="F656" s="1438"/>
      <c r="G656" s="1438"/>
      <c r="H656" s="1438"/>
    </row>
    <row r="657" spans="1:8" s="1404" customFormat="1">
      <c r="A657" s="1477"/>
      <c r="B657" s="1477"/>
      <c r="D657" s="1438"/>
      <c r="E657" s="1438"/>
      <c r="F657" s="1438"/>
      <c r="G657" s="1438"/>
      <c r="H657" s="1438"/>
    </row>
    <row r="658" spans="1:8" s="1404" customFormat="1">
      <c r="A658" s="1477"/>
      <c r="B658" s="1477"/>
      <c r="D658" s="1438"/>
      <c r="E658" s="1438"/>
      <c r="F658" s="1438"/>
      <c r="G658" s="1438"/>
      <c r="H658" s="1438"/>
    </row>
    <row r="659" spans="1:8" s="1404" customFormat="1">
      <c r="A659" s="1477"/>
      <c r="B659" s="1477"/>
      <c r="D659" s="1438"/>
      <c r="E659" s="1438"/>
      <c r="F659" s="1438"/>
      <c r="G659" s="1438"/>
      <c r="H659" s="1438"/>
    </row>
    <row r="660" spans="1:8" s="1404" customFormat="1">
      <c r="A660" s="1477"/>
      <c r="B660" s="1477"/>
      <c r="D660" s="1438"/>
      <c r="E660" s="1438"/>
      <c r="F660" s="1438"/>
      <c r="G660" s="1438"/>
      <c r="H660" s="1438"/>
    </row>
    <row r="661" spans="1:8" s="1404" customFormat="1">
      <c r="A661" s="1477"/>
      <c r="B661" s="1477"/>
      <c r="D661" s="1438"/>
      <c r="E661" s="1438"/>
      <c r="F661" s="1438"/>
      <c r="G661" s="1438"/>
      <c r="H661" s="1438"/>
    </row>
    <row r="662" spans="1:8" s="1404" customFormat="1">
      <c r="A662" s="1477"/>
      <c r="B662" s="1477"/>
      <c r="D662" s="1438"/>
      <c r="E662" s="1438"/>
      <c r="F662" s="1438"/>
      <c r="G662" s="1438"/>
      <c r="H662" s="1438"/>
    </row>
    <row r="663" spans="1:8" s="1404" customFormat="1">
      <c r="A663" s="1477"/>
      <c r="B663" s="1477"/>
      <c r="D663" s="1438"/>
      <c r="E663" s="1438"/>
      <c r="F663" s="1438"/>
      <c r="G663" s="1438"/>
      <c r="H663" s="1438"/>
    </row>
    <row r="664" spans="1:8" s="1404" customFormat="1">
      <c r="A664" s="1477"/>
      <c r="B664" s="1477"/>
      <c r="D664" s="1438"/>
      <c r="E664" s="1438"/>
      <c r="F664" s="1438"/>
      <c r="G664" s="1438"/>
      <c r="H664" s="1438"/>
    </row>
    <row r="665" spans="1:8" s="1404" customFormat="1">
      <c r="A665" s="1477"/>
      <c r="B665" s="1477"/>
      <c r="D665" s="1438"/>
      <c r="E665" s="1438"/>
      <c r="F665" s="1438"/>
      <c r="G665" s="1438"/>
      <c r="H665" s="1438"/>
    </row>
    <row r="666" spans="1:8" s="1404" customFormat="1">
      <c r="A666" s="1477"/>
      <c r="B666" s="1477"/>
      <c r="D666" s="1438"/>
      <c r="E666" s="1438"/>
      <c r="F666" s="1438"/>
      <c r="G666" s="1438"/>
      <c r="H666" s="1438"/>
    </row>
    <row r="667" spans="1:8" s="1404" customFormat="1">
      <c r="A667" s="1477"/>
      <c r="B667" s="1477"/>
      <c r="D667" s="1438"/>
      <c r="E667" s="1438"/>
      <c r="F667" s="1438"/>
      <c r="G667" s="1438"/>
      <c r="H667" s="1438"/>
    </row>
    <row r="668" spans="1:8" s="1404" customFormat="1">
      <c r="A668" s="1477"/>
      <c r="B668" s="1477"/>
      <c r="D668" s="1438"/>
      <c r="E668" s="1438"/>
      <c r="F668" s="1438"/>
      <c r="G668" s="1438"/>
      <c r="H668" s="1438"/>
    </row>
    <row r="669" spans="1:8" s="1404" customFormat="1">
      <c r="A669" s="1477"/>
      <c r="B669" s="1477"/>
      <c r="D669" s="1438"/>
      <c r="E669" s="1438"/>
      <c r="F669" s="1438"/>
      <c r="G669" s="1438"/>
      <c r="H669" s="1438"/>
    </row>
    <row r="670" spans="1:8" s="1404" customFormat="1">
      <c r="A670" s="1477"/>
      <c r="B670" s="1477"/>
      <c r="D670" s="1438"/>
      <c r="E670" s="1438"/>
      <c r="F670" s="1438"/>
      <c r="G670" s="1438"/>
      <c r="H670" s="1438"/>
    </row>
    <row r="671" spans="1:8" s="1404" customFormat="1">
      <c r="A671" s="1477"/>
      <c r="B671" s="1477"/>
      <c r="D671" s="1438"/>
      <c r="E671" s="1438"/>
      <c r="F671" s="1438"/>
      <c r="G671" s="1438"/>
      <c r="H671" s="1438"/>
    </row>
    <row r="672" spans="1:8" s="1404" customFormat="1">
      <c r="A672" s="1477"/>
      <c r="B672" s="1477"/>
      <c r="D672" s="1438"/>
      <c r="E672" s="1438"/>
      <c r="F672" s="1438"/>
      <c r="G672" s="1438"/>
      <c r="H672" s="1438"/>
    </row>
    <row r="673" spans="1:8" s="1404" customFormat="1">
      <c r="A673" s="1477"/>
      <c r="B673" s="1477"/>
      <c r="D673" s="1438"/>
      <c r="E673" s="1438"/>
      <c r="F673" s="1438"/>
      <c r="G673" s="1438"/>
      <c r="H673" s="1438"/>
    </row>
    <row r="674" spans="1:8" s="1404" customFormat="1">
      <c r="A674" s="1477"/>
      <c r="B674" s="1477"/>
      <c r="D674" s="1438"/>
      <c r="E674" s="1438"/>
      <c r="F674" s="1438"/>
      <c r="G674" s="1438"/>
      <c r="H674" s="1438"/>
    </row>
    <row r="675" spans="1:8" s="1404" customFormat="1">
      <c r="A675" s="1477"/>
      <c r="B675" s="1477"/>
      <c r="D675" s="1438"/>
      <c r="E675" s="1438"/>
      <c r="F675" s="1438"/>
      <c r="G675" s="1438"/>
      <c r="H675" s="1438"/>
    </row>
    <row r="676" spans="1:8" s="1404" customFormat="1">
      <c r="A676" s="1477"/>
      <c r="B676" s="1477"/>
      <c r="D676" s="1438"/>
      <c r="E676" s="1438"/>
      <c r="F676" s="1438"/>
      <c r="G676" s="1438"/>
      <c r="H676" s="1438"/>
    </row>
    <row r="677" spans="1:8" s="1404" customFormat="1">
      <c r="A677" s="1477"/>
      <c r="B677" s="1477"/>
      <c r="D677" s="1438"/>
      <c r="E677" s="1438"/>
      <c r="F677" s="1438"/>
      <c r="G677" s="1438"/>
      <c r="H677" s="1438"/>
    </row>
    <row r="678" spans="1:8" s="1404" customFormat="1">
      <c r="A678" s="1477"/>
      <c r="B678" s="1477"/>
      <c r="D678" s="1438"/>
      <c r="E678" s="1438"/>
      <c r="F678" s="1438"/>
      <c r="G678" s="1438"/>
      <c r="H678" s="1438"/>
    </row>
    <row r="679" spans="1:8" s="1404" customFormat="1">
      <c r="A679" s="1477"/>
      <c r="B679" s="1477"/>
      <c r="D679" s="1438"/>
      <c r="E679" s="1438"/>
      <c r="F679" s="1438"/>
      <c r="G679" s="1438"/>
      <c r="H679" s="1438"/>
    </row>
    <row r="680" spans="1:8" s="1404" customFormat="1">
      <c r="A680" s="1477"/>
      <c r="B680" s="1477"/>
      <c r="D680" s="1438"/>
      <c r="E680" s="1438"/>
      <c r="F680" s="1438"/>
      <c r="G680" s="1438"/>
      <c r="H680" s="1438"/>
    </row>
    <row r="681" spans="1:8" s="1404" customFormat="1">
      <c r="A681" s="1477"/>
      <c r="B681" s="1477"/>
      <c r="D681" s="1438"/>
      <c r="E681" s="1438"/>
      <c r="F681" s="1438"/>
      <c r="G681" s="1438"/>
      <c r="H681" s="1438"/>
    </row>
    <row r="682" spans="1:8" s="1404" customFormat="1">
      <c r="A682" s="1477"/>
      <c r="B682" s="1477"/>
      <c r="D682" s="1438"/>
      <c r="E682" s="1438"/>
      <c r="F682" s="1438"/>
      <c r="G682" s="1438"/>
      <c r="H682" s="1438"/>
    </row>
    <row r="683" spans="1:8" s="1404" customFormat="1">
      <c r="A683" s="1477"/>
      <c r="B683" s="1477"/>
      <c r="D683" s="1438"/>
      <c r="E683" s="1438"/>
      <c r="F683" s="1438"/>
      <c r="G683" s="1438"/>
      <c r="H683" s="1438"/>
    </row>
    <row r="684" spans="1:8" s="1404" customFormat="1">
      <c r="A684" s="1477"/>
      <c r="B684" s="1477"/>
      <c r="D684" s="1438"/>
      <c r="E684" s="1438"/>
      <c r="F684" s="1438"/>
      <c r="G684" s="1438"/>
      <c r="H684" s="1438"/>
    </row>
    <row r="685" spans="1:8" s="1404" customFormat="1">
      <c r="A685" s="1477"/>
      <c r="B685" s="1477"/>
      <c r="D685" s="1438"/>
      <c r="E685" s="1438"/>
      <c r="F685" s="1438"/>
      <c r="G685" s="1438"/>
      <c r="H685" s="1438"/>
    </row>
    <row r="686" spans="1:8" s="1404" customFormat="1">
      <c r="A686" s="1477"/>
      <c r="B686" s="1477"/>
      <c r="D686" s="1438"/>
      <c r="E686" s="1438"/>
      <c r="F686" s="1438"/>
      <c r="G686" s="1438"/>
      <c r="H686" s="1438"/>
    </row>
    <row r="687" spans="1:8" s="1404" customFormat="1">
      <c r="A687" s="1477"/>
      <c r="B687" s="1477"/>
      <c r="D687" s="1438"/>
      <c r="E687" s="1438"/>
      <c r="F687" s="1438"/>
      <c r="G687" s="1438"/>
      <c r="H687" s="1438"/>
    </row>
    <row r="688" spans="1:8" s="1404" customFormat="1">
      <c r="A688" s="1477"/>
      <c r="B688" s="1477"/>
      <c r="D688" s="1438"/>
      <c r="E688" s="1438"/>
      <c r="F688" s="1438"/>
      <c r="G688" s="1438"/>
      <c r="H688" s="1438"/>
    </row>
    <row r="689" spans="1:8" s="1404" customFormat="1">
      <c r="A689" s="1477"/>
      <c r="B689" s="1477"/>
      <c r="D689" s="1438"/>
      <c r="E689" s="1438"/>
      <c r="F689" s="1438"/>
      <c r="G689" s="1438"/>
      <c r="H689" s="1438"/>
    </row>
    <row r="690" spans="1:8" s="1404" customFormat="1">
      <c r="A690" s="1477"/>
      <c r="B690" s="1477"/>
      <c r="D690" s="1438"/>
      <c r="E690" s="1438"/>
      <c r="F690" s="1438"/>
      <c r="G690" s="1438"/>
      <c r="H690" s="1438"/>
    </row>
    <row r="691" spans="1:8" s="1404" customFormat="1">
      <c r="A691" s="1477"/>
      <c r="B691" s="1477"/>
      <c r="D691" s="1438"/>
      <c r="E691" s="1438"/>
      <c r="F691" s="1438"/>
      <c r="G691" s="1438"/>
      <c r="H691" s="1438"/>
    </row>
    <row r="692" spans="1:8" s="1404" customFormat="1">
      <c r="A692" s="1477"/>
      <c r="B692" s="1477"/>
      <c r="D692" s="1438"/>
      <c r="E692" s="1438"/>
      <c r="F692" s="1438"/>
      <c r="G692" s="1438"/>
      <c r="H692" s="1438"/>
    </row>
    <row r="693" spans="1:8" s="1404" customFormat="1">
      <c r="A693" s="1477"/>
      <c r="B693" s="1477"/>
      <c r="D693" s="1438"/>
      <c r="E693" s="1438"/>
      <c r="F693" s="1438"/>
      <c r="G693" s="1438"/>
      <c r="H693" s="1438"/>
    </row>
    <row r="694" spans="1:8" s="1404" customFormat="1">
      <c r="A694" s="1477"/>
      <c r="B694" s="1477"/>
      <c r="D694" s="1438"/>
      <c r="E694" s="1438"/>
      <c r="F694" s="1438"/>
      <c r="G694" s="1438"/>
      <c r="H694" s="1438"/>
    </row>
    <row r="695" spans="1:8" s="1404" customFormat="1">
      <c r="A695" s="1477"/>
      <c r="B695" s="1477"/>
      <c r="D695" s="1438"/>
      <c r="E695" s="1438"/>
      <c r="F695" s="1438"/>
      <c r="G695" s="1438"/>
      <c r="H695" s="1438"/>
    </row>
    <row r="696" spans="1:8" s="1404" customFormat="1">
      <c r="A696" s="1477"/>
      <c r="B696" s="1477"/>
      <c r="D696" s="1438"/>
      <c r="E696" s="1438"/>
      <c r="F696" s="1438"/>
      <c r="G696" s="1438"/>
      <c r="H696" s="1438"/>
    </row>
    <row r="697" spans="1:8" s="1404" customFormat="1">
      <c r="A697" s="1477"/>
      <c r="B697" s="1477"/>
      <c r="D697" s="1438"/>
      <c r="E697" s="1438"/>
      <c r="F697" s="1438"/>
      <c r="G697" s="1438"/>
      <c r="H697" s="1438"/>
    </row>
    <row r="698" spans="1:8" s="1404" customFormat="1">
      <c r="A698" s="1477"/>
      <c r="B698" s="1477"/>
      <c r="D698" s="1438"/>
      <c r="E698" s="1438"/>
      <c r="F698" s="1438"/>
      <c r="G698" s="1438"/>
      <c r="H698" s="1438"/>
    </row>
    <row r="699" spans="1:8" s="1404" customFormat="1">
      <c r="A699" s="1477"/>
      <c r="B699" s="1477"/>
      <c r="D699" s="1438"/>
      <c r="E699" s="1438"/>
      <c r="F699" s="1438"/>
      <c r="G699" s="1438"/>
      <c r="H699" s="1438"/>
    </row>
    <row r="700" spans="1:8" s="1404" customFormat="1">
      <c r="A700" s="1477"/>
      <c r="B700" s="1477"/>
      <c r="D700" s="1438"/>
      <c r="E700" s="1438"/>
      <c r="F700" s="1438"/>
      <c r="G700" s="1438"/>
      <c r="H700" s="1438"/>
    </row>
    <row r="701" spans="1:8" s="1404" customFormat="1">
      <c r="A701" s="1477"/>
      <c r="B701" s="1477"/>
      <c r="D701" s="1438"/>
      <c r="E701" s="1438"/>
      <c r="F701" s="1438"/>
      <c r="G701" s="1438"/>
      <c r="H701" s="1438"/>
    </row>
    <row r="702" spans="1:8" s="1404" customFormat="1">
      <c r="A702" s="1477"/>
      <c r="B702" s="1477"/>
      <c r="D702" s="1438"/>
      <c r="E702" s="1438"/>
      <c r="F702" s="1438"/>
      <c r="G702" s="1438"/>
      <c r="H702" s="1438"/>
    </row>
    <row r="703" spans="1:8" s="1404" customFormat="1">
      <c r="A703" s="1477"/>
      <c r="B703" s="1477"/>
      <c r="D703" s="1438"/>
      <c r="E703" s="1438"/>
      <c r="F703" s="1438"/>
      <c r="G703" s="1438"/>
      <c r="H703" s="1438"/>
    </row>
    <row r="704" spans="1:8" s="1404" customFormat="1">
      <c r="A704" s="1477"/>
      <c r="B704" s="1477"/>
      <c r="D704" s="1438"/>
      <c r="E704" s="1438"/>
      <c r="F704" s="1438"/>
      <c r="G704" s="1438"/>
      <c r="H704" s="1438"/>
    </row>
    <row r="705" spans="1:8" s="1404" customFormat="1">
      <c r="A705" s="1477"/>
      <c r="B705" s="1477"/>
      <c r="D705" s="1438"/>
      <c r="E705" s="1438"/>
      <c r="F705" s="1438"/>
      <c r="G705" s="1438"/>
      <c r="H705" s="1438"/>
    </row>
    <row r="706" spans="1:8" s="1404" customFormat="1">
      <c r="A706" s="1477"/>
      <c r="B706" s="1477"/>
      <c r="D706" s="1438"/>
      <c r="E706" s="1438"/>
      <c r="F706" s="1438"/>
      <c r="G706" s="1438"/>
      <c r="H706" s="1438"/>
    </row>
    <row r="707" spans="1:8" s="1404" customFormat="1">
      <c r="A707" s="1477"/>
      <c r="B707" s="1477"/>
      <c r="D707" s="1438"/>
      <c r="E707" s="1438"/>
      <c r="F707" s="1438"/>
      <c r="G707" s="1438"/>
      <c r="H707" s="1438"/>
    </row>
    <row r="708" spans="1:8" s="1404" customFormat="1">
      <c r="A708" s="1477"/>
      <c r="B708" s="1477"/>
      <c r="D708" s="1438"/>
      <c r="E708" s="1438"/>
      <c r="F708" s="1438"/>
      <c r="G708" s="1438"/>
      <c r="H708" s="1438"/>
    </row>
    <row r="709" spans="1:8" s="1404" customFormat="1">
      <c r="A709" s="1477"/>
      <c r="B709" s="1477"/>
      <c r="D709" s="1438"/>
      <c r="E709" s="1438"/>
      <c r="F709" s="1438"/>
      <c r="G709" s="1438"/>
      <c r="H709" s="1438"/>
    </row>
    <row r="710" spans="1:8" s="1404" customFormat="1">
      <c r="A710" s="1477"/>
      <c r="B710" s="1477"/>
      <c r="D710" s="1438"/>
      <c r="E710" s="1438"/>
      <c r="F710" s="1438"/>
      <c r="G710" s="1438"/>
      <c r="H710" s="1438"/>
    </row>
    <row r="711" spans="1:8" s="1404" customFormat="1">
      <c r="A711" s="1477"/>
      <c r="B711" s="1477"/>
      <c r="D711" s="1438"/>
      <c r="E711" s="1438"/>
      <c r="F711" s="1438"/>
      <c r="G711" s="1438"/>
      <c r="H711" s="1438"/>
    </row>
    <row r="712" spans="1:8" s="1404" customFormat="1">
      <c r="A712" s="1477"/>
      <c r="B712" s="1477"/>
      <c r="D712" s="1438"/>
      <c r="E712" s="1438"/>
      <c r="F712" s="1438"/>
      <c r="G712" s="1438"/>
      <c r="H712" s="1438"/>
    </row>
    <row r="713" spans="1:8" s="1404" customFormat="1">
      <c r="A713" s="1477"/>
      <c r="B713" s="1477"/>
      <c r="D713" s="1438"/>
      <c r="E713" s="1438"/>
      <c r="F713" s="1438"/>
      <c r="G713" s="1438"/>
      <c r="H713" s="1438"/>
    </row>
    <row r="714" spans="1:8" s="1404" customFormat="1">
      <c r="A714" s="1477"/>
      <c r="B714" s="1477"/>
      <c r="D714" s="1438"/>
      <c r="E714" s="1438"/>
      <c r="F714" s="1438"/>
      <c r="G714" s="1438"/>
      <c r="H714" s="1438"/>
    </row>
    <row r="715" spans="1:8" s="1404" customFormat="1">
      <c r="A715" s="1477"/>
      <c r="B715" s="1477"/>
      <c r="D715" s="1438"/>
      <c r="E715" s="1438"/>
      <c r="F715" s="1438"/>
      <c r="G715" s="1438"/>
      <c r="H715" s="1438"/>
    </row>
    <row r="716" spans="1:8" s="1404" customFormat="1">
      <c r="A716" s="1477"/>
      <c r="B716" s="1477"/>
      <c r="D716" s="1438"/>
      <c r="E716" s="1438"/>
      <c r="F716" s="1438"/>
      <c r="G716" s="1438"/>
      <c r="H716" s="1438"/>
    </row>
    <row r="717" spans="1:8" s="1404" customFormat="1">
      <c r="A717" s="1477"/>
      <c r="B717" s="1477"/>
      <c r="D717" s="1438"/>
      <c r="E717" s="1438"/>
      <c r="F717" s="1438"/>
      <c r="G717" s="1438"/>
      <c r="H717" s="1438"/>
    </row>
    <row r="718" spans="1:8" s="1404" customFormat="1">
      <c r="A718" s="1477"/>
      <c r="B718" s="1477"/>
      <c r="D718" s="1438"/>
      <c r="E718" s="1438"/>
      <c r="F718" s="1438"/>
      <c r="G718" s="1438"/>
      <c r="H718" s="1438"/>
    </row>
    <row r="719" spans="1:8" s="1404" customFormat="1">
      <c r="A719" s="1477"/>
      <c r="B719" s="1477"/>
      <c r="D719" s="1438"/>
      <c r="E719" s="1438"/>
      <c r="F719" s="1438"/>
      <c r="G719" s="1438"/>
      <c r="H719" s="1438"/>
    </row>
    <row r="720" spans="1:8" s="1404" customFormat="1">
      <c r="A720" s="1477"/>
      <c r="B720" s="1477"/>
      <c r="D720" s="1438"/>
      <c r="E720" s="1438"/>
      <c r="F720" s="1438"/>
      <c r="G720" s="1438"/>
      <c r="H720" s="1438"/>
    </row>
    <row r="721" spans="1:8" s="1404" customFormat="1">
      <c r="A721" s="1477"/>
      <c r="B721" s="1477"/>
      <c r="D721" s="1438"/>
      <c r="E721" s="1438"/>
      <c r="F721" s="1438"/>
      <c r="G721" s="1438"/>
      <c r="H721" s="1438"/>
    </row>
    <row r="722" spans="1:8" s="1404" customFormat="1">
      <c r="A722" s="1477"/>
      <c r="B722" s="1477"/>
      <c r="D722" s="1438"/>
      <c r="E722" s="1438"/>
      <c r="F722" s="1438"/>
      <c r="G722" s="1438"/>
      <c r="H722" s="1438"/>
    </row>
    <row r="723" spans="1:8" s="1404" customFormat="1">
      <c r="A723" s="1477"/>
      <c r="B723" s="1477"/>
      <c r="D723" s="1438"/>
      <c r="E723" s="1438"/>
      <c r="F723" s="1438"/>
      <c r="G723" s="1438"/>
      <c r="H723" s="1438"/>
    </row>
    <row r="724" spans="1:8" s="1404" customFormat="1">
      <c r="A724" s="1477"/>
      <c r="B724" s="1477"/>
      <c r="D724" s="1438"/>
      <c r="E724" s="1438"/>
      <c r="F724" s="1438"/>
      <c r="G724" s="1438"/>
      <c r="H724" s="1438"/>
    </row>
    <row r="725" spans="1:8" s="1404" customFormat="1">
      <c r="A725" s="1477"/>
      <c r="B725" s="1477"/>
      <c r="D725" s="1438"/>
      <c r="E725" s="1438"/>
      <c r="F725" s="1438"/>
      <c r="G725" s="1438"/>
      <c r="H725" s="1438"/>
    </row>
    <row r="726" spans="1:8" s="1404" customFormat="1">
      <c r="A726" s="1477"/>
      <c r="B726" s="1477"/>
      <c r="D726" s="1438"/>
      <c r="E726" s="1438"/>
      <c r="F726" s="1438"/>
      <c r="G726" s="1438"/>
      <c r="H726" s="1438"/>
    </row>
    <row r="727" spans="1:8" s="1404" customFormat="1">
      <c r="A727" s="1477"/>
      <c r="B727" s="1477"/>
      <c r="D727" s="1438"/>
      <c r="E727" s="1438"/>
      <c r="F727" s="1438"/>
      <c r="G727" s="1438"/>
      <c r="H727" s="1438"/>
    </row>
    <row r="728" spans="1:8" s="1404" customFormat="1">
      <c r="A728" s="1477"/>
      <c r="B728" s="1477"/>
      <c r="D728" s="1438"/>
      <c r="E728" s="1438"/>
      <c r="F728" s="1438"/>
      <c r="G728" s="1438"/>
      <c r="H728" s="1438"/>
    </row>
    <row r="729" spans="1:8" s="1404" customFormat="1">
      <c r="A729" s="1477"/>
      <c r="B729" s="1477"/>
      <c r="D729" s="1438"/>
      <c r="E729" s="1438"/>
      <c r="F729" s="1438"/>
      <c r="G729" s="1438"/>
      <c r="H729" s="1438"/>
    </row>
    <row r="730" spans="1:8" s="1404" customFormat="1">
      <c r="A730" s="1477"/>
      <c r="B730" s="1477"/>
      <c r="D730" s="1438"/>
      <c r="E730" s="1438"/>
      <c r="F730" s="1438"/>
      <c r="G730" s="1438"/>
      <c r="H730" s="1438"/>
    </row>
    <row r="731" spans="1:8" s="1404" customFormat="1">
      <c r="A731" s="1477"/>
      <c r="B731" s="1477"/>
      <c r="D731" s="1438"/>
      <c r="E731" s="1438"/>
      <c r="F731" s="1438"/>
      <c r="G731" s="1438"/>
      <c r="H731" s="1438"/>
    </row>
    <row r="732" spans="1:8" s="1404" customFormat="1">
      <c r="A732" s="1477"/>
      <c r="B732" s="1477"/>
      <c r="D732" s="1438"/>
      <c r="E732" s="1438"/>
      <c r="F732" s="1438"/>
      <c r="G732" s="1438"/>
      <c r="H732" s="1438"/>
    </row>
    <row r="733" spans="1:8" s="1404" customFormat="1">
      <c r="A733" s="1477"/>
      <c r="B733" s="1477"/>
      <c r="D733" s="1438"/>
      <c r="E733" s="1438"/>
      <c r="F733" s="1438"/>
      <c r="G733" s="1438"/>
      <c r="H733" s="1438"/>
    </row>
    <row r="734" spans="1:8" s="1404" customFormat="1">
      <c r="A734" s="1477"/>
      <c r="B734" s="1477"/>
      <c r="D734" s="1438"/>
      <c r="E734" s="1438"/>
      <c r="F734" s="1438"/>
      <c r="G734" s="1438"/>
      <c r="H734" s="1438"/>
    </row>
    <row r="735" spans="1:8" s="1404" customFormat="1">
      <c r="A735" s="1477"/>
      <c r="B735" s="1477"/>
      <c r="D735" s="1438"/>
      <c r="E735" s="1438"/>
      <c r="F735" s="1438"/>
      <c r="G735" s="1438"/>
      <c r="H735" s="1438"/>
    </row>
    <row r="736" spans="1:8" s="1404" customFormat="1">
      <c r="A736" s="1477"/>
      <c r="B736" s="1477"/>
      <c r="D736" s="1438"/>
      <c r="E736" s="1438"/>
      <c r="F736" s="1438"/>
      <c r="G736" s="1438"/>
      <c r="H736" s="1438"/>
    </row>
    <row r="737" spans="1:8" s="1404" customFormat="1">
      <c r="A737" s="1477"/>
      <c r="B737" s="1477"/>
      <c r="D737" s="1438"/>
      <c r="E737" s="1438"/>
      <c r="F737" s="1438"/>
      <c r="G737" s="1438"/>
      <c r="H737" s="1438"/>
    </row>
    <row r="738" spans="1:8" s="1404" customFormat="1">
      <c r="A738" s="1477"/>
      <c r="B738" s="1477"/>
      <c r="D738" s="1438"/>
      <c r="E738" s="1438"/>
      <c r="F738" s="1438"/>
      <c r="G738" s="1438"/>
      <c r="H738" s="1438"/>
    </row>
    <row r="739" spans="1:8" s="1404" customFormat="1">
      <c r="A739" s="1477"/>
      <c r="B739" s="1477"/>
      <c r="D739" s="1438"/>
      <c r="E739" s="1438"/>
      <c r="F739" s="1438"/>
      <c r="G739" s="1438"/>
      <c r="H739" s="1438"/>
    </row>
    <row r="740" spans="1:8" s="1404" customFormat="1">
      <c r="A740" s="1477"/>
      <c r="B740" s="1477"/>
      <c r="D740" s="1438"/>
      <c r="E740" s="1438"/>
      <c r="F740" s="1438"/>
      <c r="G740" s="1438"/>
      <c r="H740" s="1438"/>
    </row>
    <row r="741" spans="1:8" s="1404" customFormat="1">
      <c r="A741" s="1477"/>
      <c r="B741" s="1477"/>
      <c r="D741" s="1438"/>
      <c r="E741" s="1438"/>
      <c r="F741" s="1438"/>
      <c r="G741" s="1438"/>
      <c r="H741" s="1438"/>
    </row>
    <row r="742" spans="1:8" s="1404" customFormat="1">
      <c r="A742" s="1477"/>
      <c r="B742" s="1477"/>
      <c r="D742" s="1438"/>
      <c r="E742" s="1438"/>
      <c r="F742" s="1438"/>
      <c r="G742" s="1438"/>
      <c r="H742" s="1438"/>
    </row>
    <row r="743" spans="1:8" s="1404" customFormat="1">
      <c r="A743" s="1477"/>
      <c r="B743" s="1477"/>
      <c r="D743" s="1438"/>
      <c r="E743" s="1438"/>
      <c r="F743" s="1438"/>
      <c r="G743" s="1438"/>
      <c r="H743" s="1438"/>
    </row>
    <row r="744" spans="1:8" s="1404" customFormat="1">
      <c r="A744" s="1477"/>
      <c r="B744" s="1477"/>
      <c r="D744" s="1438"/>
      <c r="E744" s="1438"/>
      <c r="F744" s="1438"/>
      <c r="G744" s="1438"/>
      <c r="H744" s="1438"/>
    </row>
    <row r="745" spans="1:8" s="1404" customFormat="1">
      <c r="A745" s="1477"/>
      <c r="B745" s="1477"/>
      <c r="D745" s="1438"/>
      <c r="E745" s="1438"/>
      <c r="F745" s="1438"/>
      <c r="G745" s="1438"/>
      <c r="H745" s="1438"/>
    </row>
    <row r="746" spans="1:8" s="1404" customFormat="1">
      <c r="A746" s="1477"/>
      <c r="B746" s="1477"/>
      <c r="D746" s="1438"/>
      <c r="E746" s="1438"/>
      <c r="F746" s="1438"/>
      <c r="G746" s="1438"/>
      <c r="H746" s="1438"/>
    </row>
    <row r="747" spans="1:8" s="1404" customFormat="1">
      <c r="A747" s="1477"/>
      <c r="B747" s="1477"/>
      <c r="D747" s="1438"/>
      <c r="E747" s="1438"/>
      <c r="F747" s="1438"/>
      <c r="G747" s="1438"/>
      <c r="H747" s="1438"/>
    </row>
    <row r="748" spans="1:8" s="1404" customFormat="1">
      <c r="A748" s="1477"/>
      <c r="B748" s="1477"/>
      <c r="D748" s="1438"/>
      <c r="E748" s="1438"/>
      <c r="F748" s="1438"/>
      <c r="G748" s="1438"/>
      <c r="H748" s="1438"/>
    </row>
    <row r="749" spans="1:8" s="1404" customFormat="1">
      <c r="A749" s="1477"/>
      <c r="B749" s="1477"/>
      <c r="D749" s="1438"/>
      <c r="E749" s="1438"/>
      <c r="F749" s="1438"/>
      <c r="G749" s="1438"/>
      <c r="H749" s="1438"/>
    </row>
    <row r="750" spans="1:8" s="1404" customFormat="1">
      <c r="A750" s="1477"/>
      <c r="B750" s="1477"/>
      <c r="D750" s="1438"/>
      <c r="E750" s="1438"/>
      <c r="F750" s="1438"/>
      <c r="G750" s="1438"/>
      <c r="H750" s="1438"/>
    </row>
    <row r="751" spans="1:8" s="1404" customFormat="1">
      <c r="A751" s="1477"/>
      <c r="B751" s="1477"/>
      <c r="D751" s="1438"/>
      <c r="E751" s="1438"/>
      <c r="F751" s="1438"/>
      <c r="G751" s="1438"/>
      <c r="H751" s="1438"/>
    </row>
    <row r="752" spans="1:8" s="1404" customFormat="1">
      <c r="A752" s="1477"/>
      <c r="B752" s="1477"/>
      <c r="D752" s="1438"/>
      <c r="E752" s="1438"/>
      <c r="F752" s="1438"/>
      <c r="G752" s="1438"/>
      <c r="H752" s="1438"/>
    </row>
    <row r="753" spans="1:8" s="1404" customFormat="1">
      <c r="A753" s="1477"/>
      <c r="B753" s="1477"/>
      <c r="D753" s="1438"/>
      <c r="E753" s="1438"/>
      <c r="F753" s="1438"/>
      <c r="G753" s="1438"/>
      <c r="H753" s="1438"/>
    </row>
    <row r="754" spans="1:8" s="1404" customFormat="1">
      <c r="A754" s="1477"/>
      <c r="B754" s="1477"/>
      <c r="D754" s="1438"/>
      <c r="E754" s="1438"/>
      <c r="F754" s="1438"/>
      <c r="G754" s="1438"/>
      <c r="H754" s="1438"/>
    </row>
    <row r="755" spans="1:8" s="1404" customFormat="1">
      <c r="A755" s="1477"/>
      <c r="B755" s="1477"/>
      <c r="D755" s="1438"/>
      <c r="E755" s="1438"/>
      <c r="F755" s="1438"/>
      <c r="G755" s="1438"/>
      <c r="H755" s="1438"/>
    </row>
    <row r="756" spans="1:8" s="1404" customFormat="1">
      <c r="A756" s="1477"/>
      <c r="B756" s="1477"/>
      <c r="D756" s="1438"/>
      <c r="E756" s="1438"/>
      <c r="F756" s="1438"/>
      <c r="G756" s="1438"/>
      <c r="H756" s="1438"/>
    </row>
    <row r="757" spans="1:8" s="1404" customFormat="1">
      <c r="A757" s="1477"/>
      <c r="B757" s="1477"/>
      <c r="D757" s="1438"/>
      <c r="E757" s="1438"/>
      <c r="F757" s="1438"/>
      <c r="G757" s="1438"/>
      <c r="H757" s="1438"/>
    </row>
    <row r="758" spans="1:8" s="1404" customFormat="1">
      <c r="A758" s="1477"/>
      <c r="B758" s="1477"/>
      <c r="D758" s="1438"/>
      <c r="E758" s="1438"/>
      <c r="F758" s="1438"/>
      <c r="G758" s="1438"/>
      <c r="H758" s="1438"/>
    </row>
    <row r="759" spans="1:8" s="1404" customFormat="1">
      <c r="A759" s="1477"/>
      <c r="B759" s="1477"/>
      <c r="D759" s="1438"/>
      <c r="E759" s="1438"/>
      <c r="F759" s="1438"/>
      <c r="G759" s="1438"/>
      <c r="H759" s="1438"/>
    </row>
    <row r="760" spans="1:8" s="1404" customFormat="1">
      <c r="A760" s="1477"/>
      <c r="B760" s="1477"/>
      <c r="D760" s="1438"/>
      <c r="E760" s="1438"/>
      <c r="F760" s="1438"/>
      <c r="G760" s="1438"/>
      <c r="H760" s="1438"/>
    </row>
    <row r="761" spans="1:8" s="1404" customFormat="1">
      <c r="A761" s="1477"/>
      <c r="B761" s="1477"/>
      <c r="D761" s="1438"/>
      <c r="E761" s="1438"/>
      <c r="F761" s="1438"/>
      <c r="G761" s="1438"/>
      <c r="H761" s="1438"/>
    </row>
    <row r="762" spans="1:8" s="1404" customFormat="1">
      <c r="A762" s="1477"/>
      <c r="B762" s="1477"/>
      <c r="D762" s="1438"/>
      <c r="E762" s="1438"/>
      <c r="F762" s="1438"/>
      <c r="G762" s="1438"/>
      <c r="H762" s="1438"/>
    </row>
    <row r="763" spans="1:8" s="1404" customFormat="1">
      <c r="A763" s="1477"/>
      <c r="B763" s="1477"/>
      <c r="D763" s="1438"/>
      <c r="E763" s="1438"/>
      <c r="F763" s="1438"/>
      <c r="G763" s="1438"/>
      <c r="H763" s="1438"/>
    </row>
    <row r="764" spans="1:8" s="1404" customFormat="1">
      <c r="A764" s="1477"/>
      <c r="B764" s="1477"/>
      <c r="D764" s="1438"/>
      <c r="E764" s="1438"/>
      <c r="F764" s="1438"/>
      <c r="G764" s="1438"/>
      <c r="H764" s="1438"/>
    </row>
    <row r="765" spans="1:8" s="1404" customFormat="1">
      <c r="A765" s="1477"/>
      <c r="B765" s="1477"/>
      <c r="D765" s="1438"/>
      <c r="E765" s="1438"/>
      <c r="F765" s="1438"/>
      <c r="G765" s="1438"/>
      <c r="H765" s="1438"/>
    </row>
    <row r="766" spans="1:8" s="1404" customFormat="1">
      <c r="A766" s="1477"/>
      <c r="B766" s="1477"/>
      <c r="D766" s="1438"/>
      <c r="E766" s="1438"/>
      <c r="F766" s="1438"/>
      <c r="G766" s="1438"/>
      <c r="H766" s="1438"/>
    </row>
    <row r="767" spans="1:8" s="1404" customFormat="1">
      <c r="A767" s="1477"/>
      <c r="B767" s="1477"/>
      <c r="D767" s="1438"/>
      <c r="E767" s="1438"/>
      <c r="F767" s="1438"/>
      <c r="G767" s="1438"/>
      <c r="H767" s="1438"/>
    </row>
    <row r="768" spans="1:8" s="1404" customFormat="1">
      <c r="A768" s="1477"/>
      <c r="B768" s="1477"/>
      <c r="D768" s="1438"/>
      <c r="E768" s="1438"/>
      <c r="F768" s="1438"/>
      <c r="G768" s="1438"/>
      <c r="H768" s="1438"/>
    </row>
    <row r="769" spans="1:8" s="1404" customFormat="1">
      <c r="A769" s="1477"/>
      <c r="B769" s="1477"/>
      <c r="D769" s="1438"/>
      <c r="E769" s="1438"/>
      <c r="F769" s="1438"/>
      <c r="G769" s="1438"/>
      <c r="H769" s="1438"/>
    </row>
    <row r="770" spans="1:8" s="1404" customFormat="1">
      <c r="A770" s="1477"/>
      <c r="B770" s="1477"/>
      <c r="D770" s="1438"/>
      <c r="E770" s="1438"/>
      <c r="F770" s="1438"/>
      <c r="G770" s="1438"/>
      <c r="H770" s="1438"/>
    </row>
    <row r="771" spans="1:8" s="1404" customFormat="1">
      <c r="A771" s="1477"/>
      <c r="B771" s="1477"/>
      <c r="D771" s="1438"/>
      <c r="E771" s="1438"/>
      <c r="F771" s="1438"/>
      <c r="G771" s="1438"/>
      <c r="H771" s="1438"/>
    </row>
    <row r="772" spans="1:8" s="1404" customFormat="1">
      <c r="A772" s="1477"/>
      <c r="B772" s="1477"/>
      <c r="D772" s="1438"/>
      <c r="E772" s="1438"/>
      <c r="F772" s="1438"/>
      <c r="G772" s="1438"/>
      <c r="H772" s="1438"/>
    </row>
    <row r="773" spans="1:8" s="1404" customFormat="1">
      <c r="A773" s="1477"/>
      <c r="B773" s="1477"/>
      <c r="D773" s="1438"/>
      <c r="E773" s="1438"/>
      <c r="F773" s="1438"/>
      <c r="G773" s="1438"/>
      <c r="H773" s="1438"/>
    </row>
    <row r="774" spans="1:8" s="1404" customFormat="1">
      <c r="A774" s="1477"/>
      <c r="B774" s="1477"/>
      <c r="D774" s="1438"/>
      <c r="E774" s="1438"/>
      <c r="F774" s="1438"/>
      <c r="G774" s="1438"/>
      <c r="H774" s="1438"/>
    </row>
    <row r="775" spans="1:8" s="1404" customFormat="1">
      <c r="A775" s="1477"/>
      <c r="B775" s="1477"/>
      <c r="D775" s="1438"/>
      <c r="E775" s="1438"/>
      <c r="F775" s="1438"/>
      <c r="G775" s="1438"/>
      <c r="H775" s="1438"/>
    </row>
    <row r="776" spans="1:8" s="1404" customFormat="1">
      <c r="A776" s="1477"/>
      <c r="B776" s="1477"/>
      <c r="D776" s="1438"/>
      <c r="E776" s="1438"/>
      <c r="F776" s="1438"/>
      <c r="G776" s="1438"/>
      <c r="H776" s="1438"/>
    </row>
    <row r="777" spans="1:8" s="1404" customFormat="1">
      <c r="A777" s="1477"/>
      <c r="B777" s="1477"/>
      <c r="D777" s="1438"/>
      <c r="E777" s="1438"/>
      <c r="F777" s="1438"/>
      <c r="G777" s="1438"/>
      <c r="H777" s="1438"/>
    </row>
    <row r="778" spans="1:8" s="1404" customFormat="1">
      <c r="A778" s="1477"/>
      <c r="B778" s="1477"/>
      <c r="D778" s="1438"/>
      <c r="E778" s="1438"/>
      <c r="F778" s="1438"/>
      <c r="G778" s="1438"/>
      <c r="H778" s="1438"/>
    </row>
    <row r="779" spans="1:8" s="1404" customFormat="1">
      <c r="A779" s="1477"/>
      <c r="B779" s="1477"/>
      <c r="D779" s="1438"/>
      <c r="E779" s="1438"/>
      <c r="F779" s="1438"/>
      <c r="G779" s="1438"/>
      <c r="H779" s="1438"/>
    </row>
    <row r="780" spans="1:8" s="1404" customFormat="1">
      <c r="A780" s="1477"/>
      <c r="B780" s="1477"/>
      <c r="D780" s="1438"/>
      <c r="E780" s="1438"/>
      <c r="F780" s="1438"/>
      <c r="G780" s="1438"/>
      <c r="H780" s="1438"/>
    </row>
    <row r="781" spans="1:8" s="1404" customFormat="1">
      <c r="A781" s="1477"/>
      <c r="B781" s="1477"/>
      <c r="D781" s="1438"/>
      <c r="E781" s="1438"/>
      <c r="F781" s="1438"/>
      <c r="G781" s="1438"/>
      <c r="H781" s="1438"/>
    </row>
    <row r="782" spans="1:8" s="1404" customFormat="1">
      <c r="A782" s="1477"/>
      <c r="B782" s="1477"/>
      <c r="D782" s="1438"/>
      <c r="E782" s="1438"/>
      <c r="F782" s="1438"/>
      <c r="G782" s="1438"/>
      <c r="H782" s="1438"/>
    </row>
    <row r="783" spans="1:8" s="1404" customFormat="1">
      <c r="A783" s="1477"/>
      <c r="B783" s="1477"/>
      <c r="D783" s="1438"/>
      <c r="E783" s="1438"/>
      <c r="F783" s="1438"/>
      <c r="G783" s="1438"/>
      <c r="H783" s="1438"/>
    </row>
    <row r="784" spans="1:8" s="1404" customFormat="1">
      <c r="A784" s="1477"/>
      <c r="B784" s="1477"/>
      <c r="D784" s="1438"/>
      <c r="E784" s="1438"/>
      <c r="F784" s="1438"/>
      <c r="G784" s="1438"/>
      <c r="H784" s="1438"/>
    </row>
    <row r="785" spans="1:8" s="1404" customFormat="1">
      <c r="A785" s="1477"/>
      <c r="B785" s="1477"/>
      <c r="D785" s="1438"/>
      <c r="E785" s="1438"/>
      <c r="F785" s="1438"/>
      <c r="G785" s="1438"/>
      <c r="H785" s="1438"/>
    </row>
    <row r="786" spans="1:8" s="1404" customFormat="1">
      <c r="A786" s="1477"/>
      <c r="B786" s="1477"/>
      <c r="D786" s="1438"/>
      <c r="E786" s="1438"/>
      <c r="F786" s="1438"/>
      <c r="G786" s="1438"/>
      <c r="H786" s="1438"/>
    </row>
    <row r="787" spans="1:8" s="1404" customFormat="1">
      <c r="A787" s="1477"/>
      <c r="B787" s="1477"/>
      <c r="D787" s="1438"/>
      <c r="E787" s="1438"/>
      <c r="F787" s="1438"/>
      <c r="G787" s="1438"/>
      <c r="H787" s="1438"/>
    </row>
    <row r="788" spans="1:8" s="1404" customFormat="1">
      <c r="A788" s="1477"/>
      <c r="B788" s="1477"/>
      <c r="D788" s="1438"/>
      <c r="E788" s="1438"/>
      <c r="F788" s="1438"/>
      <c r="G788" s="1438"/>
      <c r="H788" s="1438"/>
    </row>
    <row r="789" spans="1:8" s="1404" customFormat="1">
      <c r="A789" s="1477"/>
      <c r="B789" s="1477"/>
      <c r="D789" s="1438"/>
      <c r="E789" s="1438"/>
      <c r="F789" s="1438"/>
      <c r="G789" s="1438"/>
      <c r="H789" s="1438"/>
    </row>
    <row r="790" spans="1:8" s="1404" customFormat="1">
      <c r="A790" s="1477"/>
      <c r="B790" s="1477"/>
      <c r="D790" s="1438"/>
      <c r="E790" s="1438"/>
      <c r="F790" s="1438"/>
      <c r="G790" s="1438"/>
      <c r="H790" s="1438"/>
    </row>
    <row r="791" spans="1:8" s="1404" customFormat="1">
      <c r="A791" s="1477"/>
      <c r="B791" s="1477"/>
      <c r="D791" s="1438"/>
      <c r="E791" s="1438"/>
      <c r="F791" s="1438"/>
      <c r="G791" s="1438"/>
      <c r="H791" s="1438"/>
    </row>
    <row r="792" spans="1:8" s="1404" customFormat="1">
      <c r="A792" s="1477"/>
      <c r="B792" s="1477"/>
      <c r="D792" s="1438"/>
      <c r="E792" s="1438"/>
      <c r="F792" s="1438"/>
      <c r="G792" s="1438"/>
      <c r="H792" s="1438"/>
    </row>
    <row r="793" spans="1:8" s="1404" customFormat="1">
      <c r="A793" s="1477"/>
      <c r="B793" s="1477"/>
      <c r="D793" s="1438"/>
      <c r="E793" s="1438"/>
      <c r="F793" s="1438"/>
      <c r="G793" s="1438"/>
      <c r="H793" s="1438"/>
    </row>
    <row r="794" spans="1:8" s="1404" customFormat="1">
      <c r="A794" s="1477"/>
      <c r="B794" s="1477"/>
      <c r="D794" s="1438"/>
      <c r="E794" s="1438"/>
      <c r="F794" s="1438"/>
      <c r="G794" s="1438"/>
      <c r="H794" s="1438"/>
    </row>
    <row r="795" spans="1:8" s="1404" customFormat="1">
      <c r="A795" s="1477"/>
      <c r="B795" s="1477"/>
      <c r="D795" s="1438"/>
      <c r="E795" s="1438"/>
      <c r="F795" s="1438"/>
      <c r="G795" s="1438"/>
      <c r="H795" s="1438"/>
    </row>
    <row r="796" spans="1:8" s="1404" customFormat="1">
      <c r="A796" s="1477"/>
      <c r="B796" s="1477"/>
      <c r="D796" s="1438"/>
      <c r="E796" s="1438"/>
      <c r="F796" s="1438"/>
      <c r="G796" s="1438"/>
      <c r="H796" s="1438"/>
    </row>
    <row r="797" spans="1:8" s="1404" customFormat="1">
      <c r="A797" s="1477"/>
      <c r="B797" s="1477"/>
      <c r="D797" s="1438"/>
      <c r="E797" s="1438"/>
      <c r="F797" s="1438"/>
      <c r="G797" s="1438"/>
      <c r="H797" s="1438"/>
    </row>
    <row r="798" spans="1:8" s="1404" customFormat="1">
      <c r="A798" s="1477"/>
      <c r="B798" s="1477"/>
      <c r="D798" s="1438"/>
      <c r="E798" s="1438"/>
      <c r="F798" s="1438"/>
      <c r="G798" s="1438"/>
      <c r="H798" s="1438"/>
    </row>
    <row r="799" spans="1:8" s="1404" customFormat="1">
      <c r="A799" s="1477"/>
      <c r="B799" s="1477"/>
      <c r="D799" s="1438"/>
      <c r="E799" s="1438"/>
      <c r="F799" s="1438"/>
      <c r="G799" s="1438"/>
      <c r="H799" s="1438"/>
    </row>
    <row r="800" spans="1:8" s="1404" customFormat="1">
      <c r="A800" s="1477"/>
      <c r="B800" s="1477"/>
      <c r="D800" s="1438"/>
      <c r="E800" s="1438"/>
      <c r="F800" s="1438"/>
      <c r="G800" s="1438"/>
      <c r="H800" s="1438"/>
    </row>
    <row r="801" spans="1:8" s="1404" customFormat="1">
      <c r="A801" s="1477"/>
      <c r="B801" s="1477"/>
      <c r="D801" s="1438"/>
      <c r="E801" s="1438"/>
      <c r="F801" s="1438"/>
      <c r="G801" s="1438"/>
      <c r="H801" s="1438"/>
    </row>
    <row r="802" spans="1:8" s="1404" customFormat="1">
      <c r="A802" s="1477"/>
      <c r="B802" s="1477"/>
      <c r="D802" s="1438"/>
      <c r="E802" s="1438"/>
      <c r="F802" s="1438"/>
      <c r="G802" s="1438"/>
      <c r="H802" s="1438"/>
    </row>
    <row r="803" spans="1:8" s="1404" customFormat="1">
      <c r="A803" s="1477"/>
      <c r="B803" s="1477"/>
      <c r="D803" s="1438"/>
      <c r="E803" s="1438"/>
      <c r="F803" s="1438"/>
      <c r="G803" s="1438"/>
      <c r="H803" s="1438"/>
    </row>
    <row r="804" spans="1:8" s="1404" customFormat="1">
      <c r="A804" s="1477"/>
      <c r="B804" s="1477"/>
      <c r="D804" s="1438"/>
      <c r="E804" s="1438"/>
      <c r="F804" s="1438"/>
      <c r="G804" s="1438"/>
      <c r="H804" s="1438"/>
    </row>
    <row r="805" spans="1:8" s="1404" customFormat="1">
      <c r="A805" s="1477"/>
      <c r="B805" s="1477"/>
      <c r="D805" s="1438"/>
      <c r="E805" s="1438"/>
      <c r="F805" s="1438"/>
      <c r="G805" s="1438"/>
      <c r="H805" s="1438"/>
    </row>
    <row r="806" spans="1:8" s="1404" customFormat="1">
      <c r="A806" s="1477"/>
      <c r="B806" s="1477"/>
      <c r="D806" s="1438"/>
      <c r="E806" s="1438"/>
      <c r="F806" s="1438"/>
      <c r="G806" s="1438"/>
      <c r="H806" s="1438"/>
    </row>
    <row r="807" spans="1:8" s="1404" customFormat="1">
      <c r="A807" s="1477"/>
      <c r="B807" s="1477"/>
      <c r="D807" s="1438"/>
      <c r="E807" s="1438"/>
      <c r="F807" s="1438"/>
      <c r="G807" s="1438"/>
      <c r="H807" s="1438"/>
    </row>
    <row r="808" spans="1:8" s="1404" customFormat="1">
      <c r="A808" s="1477"/>
      <c r="B808" s="1477"/>
      <c r="D808" s="1438"/>
      <c r="E808" s="1438"/>
      <c r="F808" s="1438"/>
      <c r="G808" s="1438"/>
      <c r="H808" s="1438"/>
    </row>
    <row r="809" spans="1:8" s="1404" customFormat="1">
      <c r="A809" s="1477"/>
      <c r="B809" s="1477"/>
      <c r="D809" s="1438"/>
      <c r="E809" s="1438"/>
      <c r="F809" s="1438"/>
      <c r="G809" s="1438"/>
      <c r="H809" s="1438"/>
    </row>
    <row r="810" spans="1:8" s="1404" customFormat="1">
      <c r="A810" s="1477"/>
      <c r="B810" s="1477"/>
      <c r="D810" s="1438"/>
      <c r="E810" s="1438"/>
      <c r="F810" s="1438"/>
      <c r="G810" s="1438"/>
      <c r="H810" s="1438"/>
    </row>
    <row r="811" spans="1:8" s="1404" customFormat="1">
      <c r="A811" s="1477"/>
      <c r="B811" s="1477"/>
      <c r="D811" s="1438"/>
      <c r="E811" s="1438"/>
      <c r="F811" s="1438"/>
      <c r="G811" s="1438"/>
      <c r="H811" s="1438"/>
    </row>
    <row r="812" spans="1:8" s="1404" customFormat="1">
      <c r="A812" s="1477"/>
      <c r="B812" s="1477"/>
      <c r="D812" s="1438"/>
      <c r="E812" s="1438"/>
      <c r="F812" s="1438"/>
      <c r="G812" s="1438"/>
      <c r="H812" s="1438"/>
    </row>
    <row r="813" spans="1:8" s="1404" customFormat="1">
      <c r="A813" s="1477"/>
      <c r="B813" s="1477"/>
      <c r="D813" s="1438"/>
      <c r="E813" s="1438"/>
      <c r="F813" s="1438"/>
      <c r="G813" s="1438"/>
      <c r="H813" s="1438"/>
    </row>
    <row r="814" spans="1:8" s="1404" customFormat="1">
      <c r="A814" s="1477"/>
      <c r="B814" s="1477"/>
      <c r="D814" s="1438"/>
      <c r="E814" s="1438"/>
      <c r="F814" s="1438"/>
      <c r="G814" s="1438"/>
      <c r="H814" s="1438"/>
    </row>
    <row r="815" spans="1:8" s="1404" customFormat="1">
      <c r="A815" s="1477"/>
      <c r="B815" s="1477"/>
      <c r="D815" s="1438"/>
      <c r="E815" s="1438"/>
      <c r="F815" s="1438"/>
      <c r="G815" s="1438"/>
      <c r="H815" s="1438"/>
    </row>
    <row r="816" spans="1:8" s="1404" customFormat="1">
      <c r="A816" s="1477"/>
      <c r="B816" s="1477"/>
      <c r="D816" s="1438"/>
      <c r="E816" s="1438"/>
      <c r="F816" s="1438"/>
      <c r="G816" s="1438"/>
      <c r="H816" s="1438"/>
    </row>
    <row r="817" spans="1:8" s="1404" customFormat="1">
      <c r="A817" s="1477"/>
      <c r="B817" s="1477"/>
      <c r="D817" s="1438"/>
      <c r="E817" s="1438"/>
      <c r="F817" s="1438"/>
      <c r="G817" s="1438"/>
      <c r="H817" s="1438"/>
    </row>
    <row r="818" spans="1:8" s="1404" customFormat="1">
      <c r="A818" s="1477"/>
      <c r="B818" s="1477"/>
      <c r="D818" s="1438"/>
      <c r="E818" s="1438"/>
      <c r="F818" s="1438"/>
      <c r="G818" s="1438"/>
      <c r="H818" s="1438"/>
    </row>
    <row r="819" spans="1:8" s="1404" customFormat="1">
      <c r="A819" s="1477"/>
      <c r="B819" s="1477"/>
      <c r="D819" s="1438"/>
      <c r="E819" s="1438"/>
      <c r="F819" s="1438"/>
      <c r="G819" s="1438"/>
      <c r="H819" s="1438"/>
    </row>
    <row r="820" spans="1:8" s="1404" customFormat="1">
      <c r="A820" s="1477"/>
      <c r="B820" s="1477"/>
      <c r="D820" s="1438"/>
      <c r="E820" s="1438"/>
      <c r="F820" s="1438"/>
      <c r="G820" s="1438"/>
      <c r="H820" s="1438"/>
    </row>
    <row r="821" spans="1:8" s="1404" customFormat="1">
      <c r="A821" s="1477"/>
      <c r="B821" s="1477"/>
      <c r="D821" s="1438"/>
      <c r="E821" s="1438"/>
      <c r="F821" s="1438"/>
      <c r="G821" s="1438"/>
      <c r="H821" s="1438"/>
    </row>
    <row r="822" spans="1:8" s="1404" customFormat="1">
      <c r="A822" s="1477"/>
      <c r="B822" s="1477"/>
      <c r="D822" s="1438"/>
      <c r="E822" s="1438"/>
      <c r="F822" s="1438"/>
      <c r="G822" s="1438"/>
      <c r="H822" s="1438"/>
    </row>
    <row r="823" spans="1:8" s="1404" customFormat="1">
      <c r="A823" s="1477"/>
      <c r="B823" s="1477"/>
      <c r="D823" s="1438"/>
      <c r="E823" s="1438"/>
      <c r="F823" s="1438"/>
      <c r="G823" s="1438"/>
      <c r="H823" s="1438"/>
    </row>
    <row r="824" spans="1:8" s="1404" customFormat="1">
      <c r="A824" s="1477"/>
      <c r="B824" s="1477"/>
      <c r="D824" s="1438"/>
      <c r="E824" s="1438"/>
      <c r="F824" s="1438"/>
      <c r="G824" s="1438"/>
      <c r="H824" s="1438"/>
    </row>
    <row r="825" spans="1:8" s="1404" customFormat="1">
      <c r="A825" s="1477"/>
      <c r="B825" s="1477"/>
      <c r="D825" s="1438"/>
      <c r="E825" s="1438"/>
      <c r="F825" s="1438"/>
      <c r="G825" s="1438"/>
      <c r="H825" s="1438"/>
    </row>
    <row r="826" spans="1:8" s="1404" customFormat="1">
      <c r="A826" s="1477"/>
      <c r="B826" s="1477"/>
      <c r="D826" s="1438"/>
      <c r="E826" s="1438"/>
      <c r="F826" s="1438"/>
      <c r="G826" s="1438"/>
      <c r="H826" s="1438"/>
    </row>
    <row r="827" spans="1:8" s="1404" customFormat="1">
      <c r="A827" s="1477"/>
      <c r="B827" s="1477"/>
      <c r="D827" s="1438"/>
      <c r="E827" s="1438"/>
      <c r="F827" s="1438"/>
      <c r="G827" s="1438"/>
      <c r="H827" s="1438"/>
    </row>
    <row r="828" spans="1:8" s="1404" customFormat="1">
      <c r="A828" s="1477"/>
      <c r="B828" s="1477"/>
      <c r="D828" s="1438"/>
      <c r="E828" s="1438"/>
      <c r="F828" s="1438"/>
      <c r="G828" s="1438"/>
      <c r="H828" s="1438"/>
    </row>
    <row r="829" spans="1:8" s="1404" customFormat="1">
      <c r="A829" s="1477"/>
      <c r="B829" s="1477"/>
      <c r="D829" s="1438"/>
      <c r="E829" s="1438"/>
      <c r="F829" s="1438"/>
      <c r="G829" s="1438"/>
      <c r="H829" s="1438"/>
    </row>
    <row r="830" spans="1:8" s="1404" customFormat="1">
      <c r="A830" s="1477"/>
      <c r="B830" s="1477"/>
      <c r="D830" s="1438"/>
      <c r="E830" s="1438"/>
      <c r="F830" s="1438"/>
      <c r="G830" s="1438"/>
      <c r="H830" s="1438"/>
    </row>
    <row r="831" spans="1:8" s="1404" customFormat="1">
      <c r="A831" s="1477"/>
      <c r="B831" s="1477"/>
      <c r="D831" s="1438"/>
      <c r="E831" s="1438"/>
      <c r="F831" s="1438"/>
      <c r="G831" s="1438"/>
      <c r="H831" s="1438"/>
    </row>
    <row r="832" spans="1:8" s="1404" customFormat="1">
      <c r="A832" s="1477"/>
      <c r="B832" s="1477"/>
      <c r="D832" s="1438"/>
      <c r="E832" s="1438"/>
      <c r="F832" s="1438"/>
      <c r="G832" s="1438"/>
      <c r="H832" s="1438"/>
    </row>
    <row r="833" spans="1:8" s="1404" customFormat="1">
      <c r="A833" s="1477"/>
      <c r="B833" s="1477"/>
      <c r="D833" s="1438"/>
      <c r="E833" s="1438"/>
      <c r="F833" s="1438"/>
      <c r="G833" s="1438"/>
      <c r="H833" s="1438"/>
    </row>
    <row r="834" spans="1:8" s="1404" customFormat="1">
      <c r="A834" s="1477"/>
      <c r="B834" s="1477"/>
      <c r="D834" s="1438"/>
      <c r="E834" s="1438"/>
      <c r="F834" s="1438"/>
      <c r="G834" s="1438"/>
      <c r="H834" s="1438"/>
    </row>
    <row r="835" spans="1:8" s="1404" customFormat="1">
      <c r="A835" s="1477"/>
      <c r="B835" s="1477"/>
      <c r="D835" s="1438"/>
      <c r="E835" s="1438"/>
      <c r="F835" s="1438"/>
      <c r="G835" s="1438"/>
      <c r="H835" s="1438"/>
    </row>
    <row r="836" spans="1:8" s="1404" customFormat="1">
      <c r="A836" s="1477"/>
      <c r="B836" s="1477"/>
      <c r="D836" s="1438"/>
      <c r="E836" s="1438"/>
      <c r="F836" s="1438"/>
      <c r="G836" s="1438"/>
      <c r="H836" s="1438"/>
    </row>
    <row r="837" spans="1:8" s="1404" customFormat="1">
      <c r="A837" s="1477"/>
      <c r="B837" s="1477"/>
      <c r="D837" s="1438"/>
      <c r="E837" s="1438"/>
      <c r="F837" s="1438"/>
      <c r="G837" s="1438"/>
      <c r="H837" s="1438"/>
    </row>
    <row r="838" spans="1:8" s="1404" customFormat="1">
      <c r="A838" s="1477"/>
      <c r="B838" s="1477"/>
      <c r="D838" s="1438"/>
      <c r="E838" s="1438"/>
      <c r="F838" s="1438"/>
      <c r="G838" s="1438"/>
      <c r="H838" s="1438"/>
    </row>
    <row r="839" spans="1:8" s="1404" customFormat="1">
      <c r="A839" s="1477"/>
      <c r="B839" s="1477"/>
      <c r="D839" s="1438"/>
      <c r="E839" s="1438"/>
      <c r="F839" s="1438"/>
      <c r="G839" s="1438"/>
      <c r="H839" s="1438"/>
    </row>
    <row r="840" spans="1:8" s="1404" customFormat="1">
      <c r="A840" s="1477"/>
      <c r="B840" s="1477"/>
      <c r="D840" s="1438"/>
      <c r="E840" s="1438"/>
      <c r="F840" s="1438"/>
      <c r="G840" s="1438"/>
      <c r="H840" s="1438"/>
    </row>
    <row r="841" spans="1:8" s="1404" customFormat="1">
      <c r="A841" s="1477"/>
      <c r="B841" s="1477"/>
      <c r="D841" s="1438"/>
      <c r="E841" s="1438"/>
      <c r="F841" s="1438"/>
      <c r="G841" s="1438"/>
      <c r="H841" s="1438"/>
    </row>
    <row r="842" spans="1:8" s="1404" customFormat="1">
      <c r="A842" s="1477"/>
      <c r="B842" s="1477"/>
      <c r="D842" s="1438"/>
      <c r="E842" s="1438"/>
      <c r="F842" s="1438"/>
      <c r="G842" s="1438"/>
      <c r="H842" s="1438"/>
    </row>
    <row r="843" spans="1:8" s="1404" customFormat="1">
      <c r="A843" s="1477"/>
      <c r="B843" s="1477"/>
      <c r="D843" s="1438"/>
      <c r="E843" s="1438"/>
      <c r="F843" s="1438"/>
      <c r="G843" s="1438"/>
      <c r="H843" s="1438"/>
    </row>
    <row r="844" spans="1:8" s="1404" customFormat="1">
      <c r="A844" s="1477"/>
      <c r="B844" s="1477"/>
      <c r="D844" s="1438"/>
      <c r="E844" s="1438"/>
      <c r="F844" s="1438"/>
      <c r="G844" s="1438"/>
      <c r="H844" s="1438"/>
    </row>
    <row r="845" spans="1:8" s="1404" customFormat="1">
      <c r="A845" s="1477"/>
      <c r="B845" s="1477"/>
      <c r="D845" s="1438"/>
      <c r="E845" s="1438"/>
      <c r="F845" s="1438"/>
      <c r="G845" s="1438"/>
      <c r="H845" s="1438"/>
    </row>
    <row r="846" spans="1:8" s="1404" customFormat="1">
      <c r="A846" s="1477"/>
      <c r="B846" s="1477"/>
      <c r="D846" s="1438"/>
      <c r="E846" s="1438"/>
      <c r="F846" s="1438"/>
      <c r="G846" s="1438"/>
      <c r="H846" s="1438"/>
    </row>
    <row r="847" spans="1:8" s="1404" customFormat="1">
      <c r="A847" s="1477"/>
      <c r="B847" s="1477"/>
      <c r="D847" s="1438"/>
      <c r="E847" s="1438"/>
      <c r="F847" s="1438"/>
      <c r="G847" s="1438"/>
      <c r="H847" s="1438"/>
    </row>
    <row r="848" spans="1:8" s="1404" customFormat="1">
      <c r="A848" s="1477"/>
      <c r="B848" s="1477"/>
      <c r="D848" s="1438"/>
      <c r="E848" s="1438"/>
      <c r="F848" s="1438"/>
      <c r="G848" s="1438"/>
      <c r="H848" s="1438"/>
    </row>
    <row r="849" spans="1:8" s="1404" customFormat="1">
      <c r="A849" s="1477"/>
      <c r="B849" s="1477"/>
      <c r="D849" s="1438"/>
      <c r="E849" s="1438"/>
      <c r="F849" s="1438"/>
      <c r="G849" s="1438"/>
      <c r="H849" s="1438"/>
    </row>
    <row r="850" spans="1:8" s="1404" customFormat="1">
      <c r="A850" s="1477"/>
      <c r="B850" s="1477"/>
      <c r="D850" s="1438"/>
      <c r="E850" s="1438"/>
      <c r="F850" s="1438"/>
      <c r="G850" s="1438"/>
      <c r="H850" s="1438"/>
    </row>
    <row r="851" spans="1:8" s="1404" customFormat="1">
      <c r="A851" s="1477"/>
      <c r="B851" s="1477"/>
      <c r="D851" s="1438"/>
      <c r="E851" s="1438"/>
      <c r="F851" s="1438"/>
      <c r="G851" s="1438"/>
      <c r="H851" s="1438"/>
    </row>
    <row r="852" spans="1:8" s="1404" customFormat="1">
      <c r="A852" s="1477"/>
      <c r="B852" s="1477"/>
      <c r="D852" s="1438"/>
      <c r="E852" s="1438"/>
      <c r="F852" s="1438"/>
      <c r="G852" s="1438"/>
      <c r="H852" s="1438"/>
    </row>
    <row r="853" spans="1:8" s="1404" customFormat="1">
      <c r="A853" s="1477"/>
      <c r="B853" s="1477"/>
      <c r="D853" s="1438"/>
      <c r="E853" s="1438"/>
      <c r="F853" s="1438"/>
      <c r="G853" s="1438"/>
      <c r="H853" s="1438"/>
    </row>
    <row r="854" spans="1:8" s="1404" customFormat="1">
      <c r="A854" s="1477"/>
      <c r="B854" s="1477"/>
      <c r="D854" s="1438"/>
      <c r="E854" s="1438"/>
      <c r="F854" s="1438"/>
      <c r="G854" s="1438"/>
      <c r="H854" s="1438"/>
    </row>
    <row r="855" spans="1:8" s="1404" customFormat="1">
      <c r="A855" s="1477"/>
      <c r="B855" s="1477"/>
      <c r="D855" s="1438"/>
      <c r="E855" s="1438"/>
      <c r="F855" s="1438"/>
      <c r="G855" s="1438"/>
      <c r="H855" s="1438"/>
    </row>
    <row r="856" spans="1:8" s="1404" customFormat="1">
      <c r="A856" s="1477"/>
      <c r="B856" s="1477"/>
      <c r="D856" s="1438"/>
      <c r="E856" s="1438"/>
      <c r="F856" s="1438"/>
      <c r="G856" s="1438"/>
      <c r="H856" s="1438"/>
    </row>
    <row r="857" spans="1:8" s="1404" customFormat="1">
      <c r="A857" s="1477"/>
      <c r="B857" s="1477"/>
      <c r="D857" s="1438"/>
      <c r="E857" s="1438"/>
      <c r="F857" s="1438"/>
      <c r="G857" s="1438"/>
      <c r="H857" s="1438"/>
    </row>
    <row r="858" spans="1:8" s="1404" customFormat="1">
      <c r="A858" s="1477"/>
      <c r="B858" s="1477"/>
      <c r="D858" s="1438"/>
      <c r="E858" s="1438"/>
      <c r="F858" s="1438"/>
      <c r="G858" s="1438"/>
      <c r="H858" s="1438"/>
    </row>
    <row r="859" spans="1:8" s="1404" customFormat="1">
      <c r="A859" s="1477"/>
      <c r="B859" s="1477"/>
      <c r="D859" s="1438"/>
      <c r="E859" s="1438"/>
      <c r="F859" s="1438"/>
      <c r="G859" s="1438"/>
      <c r="H859" s="1438"/>
    </row>
    <row r="860" spans="1:8" s="1404" customFormat="1">
      <c r="A860" s="1477"/>
      <c r="B860" s="1477"/>
      <c r="D860" s="1438"/>
      <c r="E860" s="1438"/>
      <c r="F860" s="1438"/>
      <c r="G860" s="1438"/>
      <c r="H860" s="1438"/>
    </row>
    <row r="861" spans="1:8" s="1404" customFormat="1">
      <c r="A861" s="1477"/>
      <c r="B861" s="1477"/>
      <c r="D861" s="1438"/>
      <c r="E861" s="1438"/>
      <c r="F861" s="1438"/>
      <c r="G861" s="1438"/>
      <c r="H861" s="1438"/>
    </row>
    <row r="862" spans="1:8" s="1404" customFormat="1">
      <c r="A862" s="1477"/>
      <c r="B862" s="1477"/>
      <c r="D862" s="1438"/>
      <c r="E862" s="1438"/>
      <c r="F862" s="1438"/>
      <c r="G862" s="1438"/>
      <c r="H862" s="1438"/>
    </row>
    <row r="863" spans="1:8" s="1404" customFormat="1">
      <c r="A863" s="1477"/>
      <c r="B863" s="1477"/>
      <c r="D863" s="1438"/>
      <c r="E863" s="1438"/>
      <c r="F863" s="1438"/>
      <c r="G863" s="1438"/>
      <c r="H863" s="1438"/>
    </row>
    <row r="864" spans="1:8" s="1404" customFormat="1">
      <c r="A864" s="1477"/>
      <c r="B864" s="1477"/>
      <c r="D864" s="1438"/>
      <c r="E864" s="1438"/>
      <c r="F864" s="1438"/>
      <c r="G864" s="1438"/>
      <c r="H864" s="1438"/>
    </row>
    <row r="865" spans="1:8" s="1404" customFormat="1">
      <c r="A865" s="1477"/>
      <c r="B865" s="1477"/>
      <c r="D865" s="1438"/>
      <c r="E865" s="1438"/>
      <c r="F865" s="1438"/>
      <c r="G865" s="1438"/>
      <c r="H865" s="1438"/>
    </row>
    <row r="866" spans="1:8" s="1404" customFormat="1">
      <c r="A866" s="1477"/>
      <c r="B866" s="1477"/>
      <c r="D866" s="1438"/>
      <c r="E866" s="1438"/>
      <c r="F866" s="1438"/>
      <c r="G866" s="1438"/>
      <c r="H866" s="1438"/>
    </row>
    <row r="867" spans="1:8" s="1404" customFormat="1">
      <c r="A867" s="1477"/>
      <c r="B867" s="1477"/>
      <c r="D867" s="1438"/>
      <c r="E867" s="1438"/>
      <c r="F867" s="1438"/>
      <c r="G867" s="1438"/>
      <c r="H867" s="1438"/>
    </row>
    <row r="868" spans="1:8" s="1404" customFormat="1">
      <c r="A868" s="1477"/>
      <c r="B868" s="1477"/>
      <c r="D868" s="1438"/>
      <c r="E868" s="1438"/>
      <c r="F868" s="1438"/>
      <c r="G868" s="1438"/>
      <c r="H868" s="1438"/>
    </row>
    <row r="869" spans="1:8" s="1404" customFormat="1">
      <c r="A869" s="1477"/>
      <c r="B869" s="1477"/>
      <c r="D869" s="1438"/>
      <c r="E869" s="1438"/>
      <c r="F869" s="1438"/>
      <c r="G869" s="1438"/>
      <c r="H869" s="1438"/>
    </row>
    <row r="870" spans="1:8" s="1404" customFormat="1">
      <c r="A870" s="1477"/>
      <c r="B870" s="1477"/>
      <c r="D870" s="1438"/>
      <c r="E870" s="1438"/>
      <c r="F870" s="1438"/>
      <c r="G870" s="1438"/>
      <c r="H870" s="1438"/>
    </row>
    <row r="871" spans="1:8" s="1404" customFormat="1">
      <c r="A871" s="1477"/>
      <c r="B871" s="1477"/>
      <c r="D871" s="1438"/>
      <c r="E871" s="1438"/>
      <c r="F871" s="1438"/>
      <c r="G871" s="1438"/>
      <c r="H871" s="1438"/>
    </row>
    <row r="872" spans="1:8" s="1404" customFormat="1">
      <c r="A872" s="1477"/>
      <c r="B872" s="1477"/>
      <c r="D872" s="1438"/>
      <c r="E872" s="1438"/>
      <c r="F872" s="1438"/>
      <c r="G872" s="1438"/>
      <c r="H872" s="1438"/>
    </row>
    <row r="873" spans="1:8" s="1404" customFormat="1">
      <c r="A873" s="1477"/>
      <c r="B873" s="1477"/>
      <c r="D873" s="1438"/>
      <c r="E873" s="1438"/>
      <c r="F873" s="1438"/>
      <c r="G873" s="1438"/>
      <c r="H873" s="1438"/>
    </row>
    <row r="874" spans="1:8" s="1404" customFormat="1">
      <c r="A874" s="1477"/>
      <c r="B874" s="1477"/>
      <c r="D874" s="1438"/>
      <c r="E874" s="1438"/>
      <c r="F874" s="1438"/>
      <c r="G874" s="1438"/>
      <c r="H874" s="1438"/>
    </row>
    <row r="875" spans="1:8" s="1404" customFormat="1">
      <c r="A875" s="1477"/>
      <c r="B875" s="1477"/>
      <c r="D875" s="1438"/>
      <c r="E875" s="1438"/>
      <c r="F875" s="1438"/>
      <c r="G875" s="1438"/>
      <c r="H875" s="1438"/>
    </row>
    <row r="876" spans="1:8" s="1404" customFormat="1">
      <c r="A876" s="1477"/>
      <c r="B876" s="1477"/>
      <c r="D876" s="1438"/>
      <c r="E876" s="1438"/>
      <c r="F876" s="1438"/>
      <c r="G876" s="1438"/>
      <c r="H876" s="1438"/>
    </row>
    <row r="877" spans="1:8" s="1404" customFormat="1">
      <c r="A877" s="1477"/>
      <c r="B877" s="1477"/>
      <c r="D877" s="1438"/>
      <c r="E877" s="1438"/>
      <c r="F877" s="1438"/>
      <c r="G877" s="1438"/>
      <c r="H877" s="1438"/>
    </row>
    <row r="878" spans="1:8" s="1404" customFormat="1">
      <c r="A878" s="1477"/>
      <c r="B878" s="1477"/>
      <c r="D878" s="1438"/>
      <c r="E878" s="1438"/>
      <c r="F878" s="1438"/>
      <c r="G878" s="1438"/>
      <c r="H878" s="1438"/>
    </row>
    <row r="879" spans="1:8" s="1404" customFormat="1">
      <c r="A879" s="1477"/>
      <c r="B879" s="1477"/>
      <c r="D879" s="1438"/>
      <c r="E879" s="1438"/>
      <c r="F879" s="1438"/>
      <c r="G879" s="1438"/>
      <c r="H879" s="1438"/>
    </row>
    <row r="880" spans="1:8" s="1404" customFormat="1">
      <c r="A880" s="1477"/>
      <c r="B880" s="1477"/>
      <c r="D880" s="1438"/>
      <c r="E880" s="1438"/>
      <c r="F880" s="1438"/>
      <c r="G880" s="1438"/>
      <c r="H880" s="1438"/>
    </row>
    <row r="881" spans="1:8" s="1404" customFormat="1">
      <c r="A881" s="1477"/>
      <c r="B881" s="1477"/>
      <c r="D881" s="1438"/>
      <c r="E881" s="1438"/>
      <c r="F881" s="1438"/>
      <c r="G881" s="1438"/>
      <c r="H881" s="1438"/>
    </row>
    <row r="882" spans="1:8" s="1404" customFormat="1">
      <c r="A882" s="1477"/>
      <c r="B882" s="1477"/>
      <c r="D882" s="1438"/>
      <c r="E882" s="1438"/>
      <c r="F882" s="1438"/>
      <c r="G882" s="1438"/>
      <c r="H882" s="1438"/>
    </row>
    <row r="883" spans="1:8" s="1404" customFormat="1">
      <c r="A883" s="1477"/>
      <c r="B883" s="1477"/>
      <c r="D883" s="1438"/>
      <c r="E883" s="1438"/>
      <c r="F883" s="1438"/>
      <c r="G883" s="1438"/>
      <c r="H883" s="1438"/>
    </row>
    <row r="884" spans="1:8" s="1404" customFormat="1">
      <c r="A884" s="1477"/>
      <c r="B884" s="1477"/>
      <c r="D884" s="1438"/>
      <c r="E884" s="1438"/>
      <c r="F884" s="1438"/>
      <c r="G884" s="1438"/>
      <c r="H884" s="1438"/>
    </row>
    <row r="885" spans="1:8" s="1404" customFormat="1">
      <c r="A885" s="1477"/>
      <c r="B885" s="1477"/>
      <c r="D885" s="1438"/>
      <c r="E885" s="1438"/>
      <c r="F885" s="1438"/>
      <c r="G885" s="1438"/>
      <c r="H885" s="1438"/>
    </row>
    <row r="886" spans="1:8" s="1404" customFormat="1">
      <c r="A886" s="1477"/>
      <c r="B886" s="1477"/>
      <c r="D886" s="1438"/>
      <c r="E886" s="1438"/>
      <c r="F886" s="1438"/>
      <c r="G886" s="1438"/>
      <c r="H886" s="1438"/>
    </row>
    <row r="887" spans="1:8" s="1404" customFormat="1">
      <c r="A887" s="1477"/>
      <c r="B887" s="1477"/>
      <c r="D887" s="1438"/>
      <c r="E887" s="1438"/>
      <c r="F887" s="1438"/>
      <c r="G887" s="1438"/>
      <c r="H887" s="1438"/>
    </row>
    <row r="888" spans="1:8" s="1404" customFormat="1">
      <c r="A888" s="1477"/>
      <c r="B888" s="1477"/>
      <c r="D888" s="1438"/>
      <c r="E888" s="1438"/>
      <c r="F888" s="1438"/>
      <c r="G888" s="1438"/>
      <c r="H888" s="1438"/>
    </row>
    <row r="889" spans="1:8" s="1404" customFormat="1">
      <c r="A889" s="1477"/>
      <c r="B889" s="1477"/>
      <c r="D889" s="1438"/>
      <c r="E889" s="1438"/>
      <c r="F889" s="1438"/>
      <c r="G889" s="1438"/>
      <c r="H889" s="1438"/>
    </row>
    <row r="890" spans="1:8" s="1404" customFormat="1">
      <c r="A890" s="1477"/>
      <c r="B890" s="1477"/>
      <c r="D890" s="1438"/>
      <c r="E890" s="1438"/>
      <c r="F890" s="1438"/>
      <c r="G890" s="1438"/>
      <c r="H890" s="1438"/>
    </row>
    <row r="891" spans="1:8" s="1404" customFormat="1">
      <c r="A891" s="1477"/>
      <c r="B891" s="1477"/>
      <c r="D891" s="1438"/>
      <c r="E891" s="1438"/>
      <c r="F891" s="1438"/>
      <c r="G891" s="1438"/>
      <c r="H891" s="1438"/>
    </row>
    <row r="892" spans="1:8" s="1404" customFormat="1">
      <c r="A892" s="1477"/>
      <c r="B892" s="1477"/>
      <c r="D892" s="1438"/>
      <c r="E892" s="1438"/>
      <c r="F892" s="1438"/>
      <c r="G892" s="1438"/>
      <c r="H892" s="1438"/>
    </row>
    <row r="893" spans="1:8" s="1404" customFormat="1">
      <c r="A893" s="1477"/>
      <c r="B893" s="1477"/>
      <c r="D893" s="1438"/>
      <c r="E893" s="1438"/>
      <c r="F893" s="1438"/>
      <c r="G893" s="1438"/>
      <c r="H893" s="1438"/>
    </row>
    <row r="894" spans="1:8" s="1404" customFormat="1">
      <c r="A894" s="1477"/>
      <c r="B894" s="1477"/>
      <c r="D894" s="1438"/>
      <c r="E894" s="1438"/>
      <c r="F894" s="1438"/>
      <c r="G894" s="1438"/>
      <c r="H894" s="1438"/>
    </row>
    <row r="895" spans="1:8" s="1404" customFormat="1">
      <c r="A895" s="1477"/>
      <c r="B895" s="1477"/>
      <c r="D895" s="1438"/>
      <c r="E895" s="1438"/>
      <c r="F895" s="1438"/>
      <c r="G895" s="1438"/>
      <c r="H895" s="1438"/>
    </row>
    <row r="896" spans="1:8" s="1404" customFormat="1">
      <c r="A896" s="1477"/>
      <c r="B896" s="1477"/>
      <c r="D896" s="1438"/>
      <c r="E896" s="1438"/>
      <c r="F896" s="1438"/>
      <c r="G896" s="1438"/>
      <c r="H896" s="1438"/>
    </row>
    <row r="897" spans="1:8" s="1404" customFormat="1">
      <c r="A897" s="1477"/>
      <c r="B897" s="1477"/>
      <c r="D897" s="1438"/>
      <c r="E897" s="1438"/>
      <c r="F897" s="1438"/>
      <c r="G897" s="1438"/>
      <c r="H897" s="1438"/>
    </row>
    <row r="898" spans="1:8" s="1404" customFormat="1">
      <c r="A898" s="1477"/>
      <c r="B898" s="1477"/>
      <c r="D898" s="1438"/>
      <c r="E898" s="1438"/>
      <c r="F898" s="1438"/>
      <c r="G898" s="1438"/>
      <c r="H898" s="1438"/>
    </row>
    <row r="899" spans="1:8" s="1404" customFormat="1">
      <c r="A899" s="1477"/>
      <c r="B899" s="1477"/>
      <c r="D899" s="1438"/>
      <c r="E899" s="1438"/>
      <c r="F899" s="1438"/>
      <c r="G899" s="1438"/>
      <c r="H899" s="1438"/>
    </row>
    <row r="900" spans="1:8" s="1404" customFormat="1">
      <c r="A900" s="1477"/>
      <c r="B900" s="1477"/>
      <c r="D900" s="1438"/>
      <c r="E900" s="1438"/>
      <c r="F900" s="1438"/>
      <c r="G900" s="1438"/>
      <c r="H900" s="1438"/>
    </row>
    <row r="901" spans="1:8" s="1404" customFormat="1">
      <c r="A901" s="1477"/>
      <c r="B901" s="1477"/>
      <c r="D901" s="1438"/>
      <c r="E901" s="1438"/>
      <c r="F901" s="1438"/>
      <c r="G901" s="1438"/>
      <c r="H901" s="1438"/>
    </row>
    <row r="902" spans="1:8" s="1404" customFormat="1">
      <c r="A902" s="1477"/>
      <c r="B902" s="1477"/>
      <c r="D902" s="1438"/>
      <c r="E902" s="1438"/>
      <c r="F902" s="1438"/>
      <c r="G902" s="1438"/>
      <c r="H902" s="1438"/>
    </row>
    <row r="903" spans="1:8" s="1404" customFormat="1">
      <c r="A903" s="1477"/>
      <c r="B903" s="1477"/>
      <c r="D903" s="1438"/>
      <c r="E903" s="1438"/>
      <c r="F903" s="1438"/>
      <c r="G903" s="1438"/>
      <c r="H903" s="1438"/>
    </row>
    <row r="904" spans="1:8" s="1404" customFormat="1">
      <c r="A904" s="1477"/>
      <c r="B904" s="1477"/>
      <c r="D904" s="1438"/>
      <c r="E904" s="1438"/>
      <c r="F904" s="1438"/>
      <c r="G904" s="1438"/>
      <c r="H904" s="1438"/>
    </row>
    <row r="905" spans="1:8" s="1404" customFormat="1">
      <c r="A905" s="1477"/>
      <c r="B905" s="1477"/>
      <c r="D905" s="1438"/>
      <c r="E905" s="1438"/>
      <c r="F905" s="1438"/>
      <c r="G905" s="1438"/>
      <c r="H905" s="1438"/>
    </row>
    <row r="906" spans="1:8" s="1404" customFormat="1">
      <c r="A906" s="1477"/>
      <c r="B906" s="1477"/>
      <c r="D906" s="1438"/>
      <c r="E906" s="1438"/>
      <c r="F906" s="1438"/>
      <c r="G906" s="1438"/>
      <c r="H906" s="1438"/>
    </row>
    <row r="907" spans="1:8" s="1404" customFormat="1">
      <c r="A907" s="1477"/>
      <c r="B907" s="1477"/>
      <c r="D907" s="1438"/>
      <c r="E907" s="1438"/>
      <c r="F907" s="1438"/>
      <c r="G907" s="1438"/>
      <c r="H907" s="1438"/>
    </row>
    <row r="908" spans="1:8" s="1404" customFormat="1">
      <c r="A908" s="1477"/>
      <c r="B908" s="1477"/>
      <c r="D908" s="1438"/>
      <c r="E908" s="1438"/>
      <c r="F908" s="1438"/>
      <c r="G908" s="1438"/>
      <c r="H908" s="1438"/>
    </row>
    <row r="909" spans="1:8" s="1404" customFormat="1">
      <c r="A909" s="1477"/>
      <c r="B909" s="1477"/>
      <c r="D909" s="1438"/>
      <c r="E909" s="1438"/>
      <c r="F909" s="1438"/>
      <c r="G909" s="1438"/>
      <c r="H909" s="1438"/>
    </row>
    <row r="910" spans="1:8" s="1404" customFormat="1">
      <c r="A910" s="1477"/>
      <c r="B910" s="1477"/>
      <c r="D910" s="1438"/>
      <c r="E910" s="1438"/>
      <c r="F910" s="1438"/>
      <c r="G910" s="1438"/>
      <c r="H910" s="1438"/>
    </row>
    <row r="911" spans="1:8" s="1404" customFormat="1">
      <c r="A911" s="1477"/>
      <c r="B911" s="1477"/>
      <c r="D911" s="1438"/>
      <c r="E911" s="1438"/>
      <c r="F911" s="1438"/>
      <c r="G911" s="1438"/>
      <c r="H911" s="1438"/>
    </row>
    <row r="912" spans="1:8" s="1404" customFormat="1">
      <c r="A912" s="1477"/>
      <c r="B912" s="1477"/>
      <c r="D912" s="1438"/>
      <c r="E912" s="1438"/>
      <c r="F912" s="1438"/>
      <c r="G912" s="1438"/>
      <c r="H912" s="1438"/>
    </row>
    <row r="913" spans="1:8" s="1404" customFormat="1">
      <c r="A913" s="1477"/>
      <c r="B913" s="1477"/>
      <c r="D913" s="1438"/>
      <c r="E913" s="1438"/>
      <c r="F913" s="1438"/>
      <c r="G913" s="1438"/>
      <c r="H913" s="1438"/>
    </row>
    <row r="914" spans="1:8" s="1404" customFormat="1">
      <c r="A914" s="1477"/>
      <c r="B914" s="1477"/>
      <c r="D914" s="1438"/>
      <c r="E914" s="1438"/>
      <c r="F914" s="1438"/>
      <c r="G914" s="1438"/>
      <c r="H914" s="1438"/>
    </row>
    <row r="915" spans="1:8" s="1404" customFormat="1">
      <c r="A915" s="1477"/>
      <c r="B915" s="1477"/>
      <c r="D915" s="1438"/>
      <c r="E915" s="1438"/>
      <c r="F915" s="1438"/>
      <c r="G915" s="1438"/>
      <c r="H915" s="1438"/>
    </row>
    <row r="916" spans="1:8" s="1404" customFormat="1">
      <c r="A916" s="1477"/>
      <c r="B916" s="1477"/>
      <c r="D916" s="1438"/>
      <c r="E916" s="1438"/>
      <c r="F916" s="1438"/>
      <c r="G916" s="1438"/>
      <c r="H916" s="1438"/>
    </row>
    <row r="917" spans="1:8" s="1404" customFormat="1">
      <c r="A917" s="1477"/>
      <c r="B917" s="1477"/>
      <c r="D917" s="1438"/>
      <c r="E917" s="1438"/>
      <c r="F917" s="1438"/>
      <c r="G917" s="1438"/>
      <c r="H917" s="1438"/>
    </row>
    <row r="918" spans="1:8" s="1404" customFormat="1">
      <c r="A918" s="1477"/>
      <c r="B918" s="1477"/>
      <c r="D918" s="1438"/>
      <c r="E918" s="1438"/>
      <c r="F918" s="1438"/>
      <c r="G918" s="1438"/>
      <c r="H918" s="1438"/>
    </row>
    <row r="919" spans="1:8" s="1404" customFormat="1">
      <c r="A919" s="1477"/>
      <c r="B919" s="1477"/>
      <c r="D919" s="1438"/>
      <c r="E919" s="1438"/>
      <c r="F919" s="1438"/>
      <c r="G919" s="1438"/>
      <c r="H919" s="1438"/>
    </row>
    <row r="920" spans="1:8" s="1404" customFormat="1">
      <c r="A920" s="1477"/>
      <c r="B920" s="1477"/>
      <c r="D920" s="1438"/>
      <c r="E920" s="1438"/>
      <c r="F920" s="1438"/>
      <c r="G920" s="1438"/>
      <c r="H920" s="1438"/>
    </row>
    <row r="921" spans="1:8" s="1404" customFormat="1">
      <c r="A921" s="1477"/>
      <c r="B921" s="1477"/>
      <c r="D921" s="1438"/>
      <c r="E921" s="1438"/>
      <c r="F921" s="1438"/>
      <c r="G921" s="1438"/>
      <c r="H921" s="1438"/>
    </row>
    <row r="922" spans="1:8" s="1404" customFormat="1">
      <c r="A922" s="1477"/>
      <c r="B922" s="1477"/>
      <c r="D922" s="1438"/>
      <c r="E922" s="1438"/>
      <c r="F922" s="1438"/>
      <c r="G922" s="1438"/>
      <c r="H922" s="1438"/>
    </row>
    <row r="923" spans="1:8" s="1404" customFormat="1">
      <c r="A923" s="1477"/>
      <c r="B923" s="1477"/>
      <c r="D923" s="1438"/>
      <c r="E923" s="1438"/>
      <c r="F923" s="1438"/>
      <c r="G923" s="1438"/>
      <c r="H923" s="1438"/>
    </row>
    <row r="924" spans="1:8" s="1404" customFormat="1">
      <c r="A924" s="1477"/>
      <c r="B924" s="1477"/>
      <c r="D924" s="1438"/>
      <c r="E924" s="1438"/>
      <c r="F924" s="1438"/>
      <c r="G924" s="1438"/>
      <c r="H924" s="1438"/>
    </row>
    <row r="925" spans="1:8" s="1404" customFormat="1">
      <c r="A925" s="1477"/>
      <c r="B925" s="1477"/>
      <c r="D925" s="1438"/>
      <c r="E925" s="1438"/>
      <c r="F925" s="1438"/>
      <c r="G925" s="1438"/>
      <c r="H925" s="1438"/>
    </row>
    <row r="926" spans="1:8" s="1404" customFormat="1">
      <c r="A926" s="1477"/>
      <c r="B926" s="1477"/>
      <c r="D926" s="1438"/>
      <c r="E926" s="1438"/>
      <c r="F926" s="1438"/>
      <c r="G926" s="1438"/>
      <c r="H926" s="1438"/>
    </row>
    <row r="927" spans="1:8" s="1404" customFormat="1">
      <c r="A927" s="1477"/>
      <c r="B927" s="1477"/>
      <c r="D927" s="1438"/>
      <c r="E927" s="1438"/>
      <c r="F927" s="1438"/>
      <c r="G927" s="1438"/>
      <c r="H927" s="1438"/>
    </row>
    <row r="928" spans="1:8" s="1404" customFormat="1">
      <c r="A928" s="1477"/>
      <c r="B928" s="1477"/>
      <c r="D928" s="1438"/>
      <c r="E928" s="1438"/>
      <c r="F928" s="1438"/>
      <c r="G928" s="1438"/>
      <c r="H928" s="1438"/>
    </row>
    <row r="929" spans="1:8" s="1404" customFormat="1">
      <c r="A929" s="1477"/>
      <c r="B929" s="1477"/>
      <c r="D929" s="1438"/>
      <c r="E929" s="1438"/>
      <c r="F929" s="1438"/>
      <c r="G929" s="1438"/>
      <c r="H929" s="1438"/>
    </row>
    <row r="930" spans="1:8" s="1404" customFormat="1">
      <c r="A930" s="1477"/>
      <c r="B930" s="1477"/>
      <c r="D930" s="1438"/>
      <c r="E930" s="1438"/>
      <c r="F930" s="1438"/>
      <c r="G930" s="1438"/>
      <c r="H930" s="1438"/>
    </row>
    <row r="931" spans="1:8" s="1404" customFormat="1">
      <c r="A931" s="1477"/>
      <c r="B931" s="1477"/>
      <c r="D931" s="1438"/>
      <c r="E931" s="1438"/>
      <c r="F931" s="1438"/>
      <c r="G931" s="1438"/>
      <c r="H931" s="1438"/>
    </row>
    <row r="932" spans="1:8" s="1404" customFormat="1">
      <c r="A932" s="1477"/>
      <c r="B932" s="1477"/>
      <c r="D932" s="1438"/>
      <c r="E932" s="1438"/>
      <c r="F932" s="1438"/>
      <c r="G932" s="1438"/>
      <c r="H932" s="1438"/>
    </row>
    <row r="933" spans="1:8" s="1404" customFormat="1">
      <c r="A933" s="1477"/>
      <c r="B933" s="1477"/>
      <c r="D933" s="1438"/>
      <c r="E933" s="1438"/>
      <c r="F933" s="1438"/>
      <c r="G933" s="1438"/>
      <c r="H933" s="1438"/>
    </row>
    <row r="934" spans="1:8" s="1404" customFormat="1">
      <c r="A934" s="1477"/>
      <c r="B934" s="1477"/>
      <c r="D934" s="1438"/>
      <c r="E934" s="1438"/>
      <c r="F934" s="1438"/>
      <c r="G934" s="1438"/>
      <c r="H934" s="1438"/>
    </row>
    <row r="935" spans="1:8" s="1404" customFormat="1">
      <c r="A935" s="1477"/>
      <c r="B935" s="1477"/>
      <c r="D935" s="1438"/>
      <c r="E935" s="1438"/>
      <c r="F935" s="1438"/>
      <c r="G935" s="1438"/>
      <c r="H935" s="1438"/>
    </row>
    <row r="936" spans="1:8" s="1404" customFormat="1">
      <c r="A936" s="1477"/>
      <c r="B936" s="1477"/>
      <c r="D936" s="1438"/>
      <c r="E936" s="1438"/>
      <c r="F936" s="1438"/>
      <c r="G936" s="1438"/>
      <c r="H936" s="1438"/>
    </row>
    <row r="937" spans="1:8" s="1404" customFormat="1">
      <c r="A937" s="1477"/>
      <c r="B937" s="1477"/>
      <c r="D937" s="1438"/>
      <c r="E937" s="1438"/>
      <c r="F937" s="1438"/>
      <c r="G937" s="1438"/>
      <c r="H937" s="1438"/>
    </row>
    <row r="938" spans="1:8" s="1404" customFormat="1">
      <c r="A938" s="1477"/>
      <c r="B938" s="1477"/>
      <c r="D938" s="1438"/>
      <c r="E938" s="1438"/>
      <c r="F938" s="1438"/>
      <c r="G938" s="1438"/>
      <c r="H938" s="1438"/>
    </row>
    <row r="939" spans="1:8" s="1404" customFormat="1">
      <c r="A939" s="1477"/>
      <c r="B939" s="1477"/>
      <c r="D939" s="1438"/>
      <c r="E939" s="1438"/>
      <c r="F939" s="1438"/>
      <c r="G939" s="1438"/>
      <c r="H939" s="1438"/>
    </row>
    <row r="940" spans="1:8" s="1404" customFormat="1">
      <c r="A940" s="1477"/>
      <c r="B940" s="1477"/>
      <c r="D940" s="1438"/>
      <c r="E940" s="1438"/>
      <c r="F940" s="1438"/>
      <c r="G940" s="1438"/>
      <c r="H940" s="1438"/>
    </row>
    <row r="941" spans="1:8" s="1404" customFormat="1">
      <c r="A941" s="1477"/>
      <c r="B941" s="1477"/>
      <c r="D941" s="1438"/>
      <c r="E941" s="1438"/>
      <c r="F941" s="1438"/>
      <c r="G941" s="1438"/>
      <c r="H941" s="1438"/>
    </row>
    <row r="942" spans="1:8" s="1404" customFormat="1">
      <c r="A942" s="1477"/>
      <c r="B942" s="1477"/>
      <c r="D942" s="1438"/>
      <c r="E942" s="1438"/>
      <c r="F942" s="1438"/>
      <c r="G942" s="1438"/>
      <c r="H942" s="1438"/>
    </row>
    <row r="943" spans="1:8" s="1404" customFormat="1">
      <c r="A943" s="1477"/>
      <c r="B943" s="1477"/>
      <c r="D943" s="1438"/>
      <c r="E943" s="1438"/>
      <c r="F943" s="1438"/>
      <c r="G943" s="1438"/>
      <c r="H943" s="1438"/>
    </row>
    <row r="944" spans="1:8" s="1404" customFormat="1">
      <c r="A944" s="1477"/>
      <c r="B944" s="1477"/>
      <c r="D944" s="1438"/>
      <c r="E944" s="1438"/>
      <c r="F944" s="1438"/>
      <c r="G944" s="1438"/>
      <c r="H944" s="1438"/>
    </row>
    <row r="945" spans="1:8" s="1404" customFormat="1">
      <c r="A945" s="1477"/>
      <c r="B945" s="1477"/>
      <c r="D945" s="1438"/>
      <c r="E945" s="1438"/>
      <c r="F945" s="1438"/>
      <c r="G945" s="1438"/>
      <c r="H945" s="1438"/>
    </row>
    <row r="946" spans="1:8" s="1404" customFormat="1">
      <c r="A946" s="1477"/>
      <c r="B946" s="1477"/>
      <c r="D946" s="1438"/>
      <c r="E946" s="1438"/>
      <c r="F946" s="1438"/>
      <c r="G946" s="1438"/>
      <c r="H946" s="1438"/>
    </row>
    <row r="947" spans="1:8" s="1404" customFormat="1">
      <c r="A947" s="1477"/>
      <c r="B947" s="1477"/>
      <c r="D947" s="1438"/>
      <c r="E947" s="1438"/>
      <c r="F947" s="1438"/>
      <c r="G947" s="1438"/>
      <c r="H947" s="1438"/>
    </row>
    <row r="948" spans="1:8" s="1404" customFormat="1">
      <c r="A948" s="1477"/>
      <c r="B948" s="1477"/>
      <c r="D948" s="1438"/>
      <c r="E948" s="1438"/>
      <c r="F948" s="1438"/>
      <c r="G948" s="1438"/>
      <c r="H948" s="1438"/>
    </row>
    <row r="949" spans="1:8" s="1404" customFormat="1">
      <c r="A949" s="1477"/>
      <c r="B949" s="1477"/>
      <c r="D949" s="1438"/>
      <c r="E949" s="1438"/>
      <c r="F949" s="1438"/>
      <c r="G949" s="1438"/>
      <c r="H949" s="1438"/>
    </row>
    <row r="950" spans="1:8" s="1404" customFormat="1">
      <c r="A950" s="1477"/>
      <c r="B950" s="1477"/>
      <c r="D950" s="1438"/>
      <c r="E950" s="1438"/>
      <c r="F950" s="1438"/>
      <c r="G950" s="1438"/>
      <c r="H950" s="1438"/>
    </row>
    <row r="951" spans="1:8" s="1404" customFormat="1">
      <c r="A951" s="1477"/>
      <c r="B951" s="1477"/>
      <c r="D951" s="1438"/>
      <c r="E951" s="1438"/>
      <c r="F951" s="1438"/>
      <c r="G951" s="1438"/>
      <c r="H951" s="1438"/>
    </row>
    <row r="952" spans="1:8" s="1404" customFormat="1">
      <c r="A952" s="1477"/>
      <c r="B952" s="1477"/>
      <c r="D952" s="1438"/>
      <c r="E952" s="1438"/>
      <c r="F952" s="1438"/>
      <c r="G952" s="1438"/>
      <c r="H952" s="1438"/>
    </row>
    <row r="953" spans="1:8" s="1404" customFormat="1">
      <c r="A953" s="1477"/>
      <c r="B953" s="1477"/>
      <c r="D953" s="1438"/>
      <c r="E953" s="1438"/>
      <c r="F953" s="1438"/>
      <c r="G953" s="1438"/>
      <c r="H953" s="1438"/>
    </row>
    <row r="954" spans="1:8" s="1404" customFormat="1">
      <c r="A954" s="1477"/>
      <c r="B954" s="1477"/>
      <c r="D954" s="1438"/>
      <c r="E954" s="1438"/>
      <c r="F954" s="1438"/>
      <c r="G954" s="1438"/>
      <c r="H954" s="1438"/>
    </row>
    <row r="955" spans="1:8" s="1404" customFormat="1">
      <c r="A955" s="1477"/>
      <c r="B955" s="1477"/>
      <c r="D955" s="1438"/>
      <c r="E955" s="1438"/>
      <c r="F955" s="1438"/>
      <c r="G955" s="1438"/>
      <c r="H955" s="1438"/>
    </row>
    <row r="956" spans="1:8" s="1404" customFormat="1">
      <c r="A956" s="1477"/>
      <c r="B956" s="1477"/>
      <c r="D956" s="1438"/>
      <c r="E956" s="1438"/>
      <c r="F956" s="1438"/>
      <c r="G956" s="1438"/>
      <c r="H956" s="1438"/>
    </row>
    <row r="957" spans="1:8" s="1404" customFormat="1">
      <c r="A957" s="1477"/>
      <c r="B957" s="1477"/>
      <c r="D957" s="1438"/>
      <c r="E957" s="1438"/>
      <c r="F957" s="1438"/>
      <c r="G957" s="1438"/>
      <c r="H957" s="1438"/>
    </row>
    <row r="958" spans="1:8" s="1404" customFormat="1">
      <c r="A958" s="1477"/>
      <c r="B958" s="1477"/>
      <c r="D958" s="1438"/>
      <c r="E958" s="1438"/>
      <c r="F958" s="1438"/>
      <c r="G958" s="1438"/>
      <c r="H958" s="1438"/>
    </row>
    <row r="959" spans="1:8" s="1404" customFormat="1">
      <c r="A959" s="1477"/>
      <c r="B959" s="1477"/>
      <c r="D959" s="1438"/>
      <c r="E959" s="1438"/>
      <c r="F959" s="1438"/>
      <c r="G959" s="1438"/>
      <c r="H959" s="1438"/>
    </row>
    <row r="960" spans="1:8" s="1404" customFormat="1">
      <c r="A960" s="1477"/>
      <c r="B960" s="1477"/>
      <c r="D960" s="1438"/>
      <c r="E960" s="1438"/>
      <c r="F960" s="1438"/>
      <c r="G960" s="1438"/>
      <c r="H960" s="1438"/>
    </row>
    <row r="961" spans="1:8" s="1404" customFormat="1">
      <c r="A961" s="1477"/>
      <c r="B961" s="1477"/>
      <c r="D961" s="1438"/>
      <c r="E961" s="1438"/>
      <c r="F961" s="1438"/>
      <c r="G961" s="1438"/>
      <c r="H961" s="1438"/>
    </row>
    <row r="962" spans="1:8" s="1404" customFormat="1">
      <c r="A962" s="1477"/>
      <c r="B962" s="1477"/>
      <c r="D962" s="1438"/>
      <c r="E962" s="1438"/>
      <c r="F962" s="1438"/>
      <c r="G962" s="1438"/>
      <c r="H962" s="1438"/>
    </row>
    <row r="963" spans="1:8" s="1404" customFormat="1">
      <c r="A963" s="1477"/>
      <c r="B963" s="1477"/>
      <c r="D963" s="1438"/>
      <c r="E963" s="1438"/>
      <c r="F963" s="1438"/>
      <c r="G963" s="1438"/>
      <c r="H963" s="1438"/>
    </row>
    <row r="964" spans="1:8" s="1404" customFormat="1">
      <c r="A964" s="1477"/>
      <c r="B964" s="1477"/>
      <c r="D964" s="1438"/>
      <c r="E964" s="1438"/>
      <c r="F964" s="1438"/>
      <c r="G964" s="1438"/>
      <c r="H964" s="1438"/>
    </row>
    <row r="965" spans="1:8" s="1404" customFormat="1">
      <c r="A965" s="1477"/>
      <c r="B965" s="1477"/>
      <c r="D965" s="1438"/>
      <c r="E965" s="1438"/>
      <c r="F965" s="1438"/>
      <c r="G965" s="1438"/>
      <c r="H965" s="1438"/>
    </row>
    <row r="966" spans="1:8" s="1404" customFormat="1">
      <c r="A966" s="1477"/>
      <c r="B966" s="1477"/>
      <c r="D966" s="1438"/>
      <c r="E966" s="1438"/>
      <c r="F966" s="1438"/>
      <c r="G966" s="1438"/>
      <c r="H966" s="1438"/>
    </row>
    <row r="967" spans="1:8" s="1404" customFormat="1">
      <c r="A967" s="1477"/>
      <c r="B967" s="1477"/>
      <c r="D967" s="1438"/>
      <c r="E967" s="1438"/>
      <c r="F967" s="1438"/>
      <c r="G967" s="1438"/>
      <c r="H967" s="1438"/>
    </row>
    <row r="968" spans="1:8" s="1404" customFormat="1">
      <c r="A968" s="1477"/>
      <c r="B968" s="1477"/>
      <c r="D968" s="1438"/>
      <c r="E968" s="1438"/>
      <c r="F968" s="1438"/>
      <c r="G968" s="1438"/>
      <c r="H968" s="1438"/>
    </row>
    <row r="969" spans="1:8" s="1404" customFormat="1">
      <c r="A969" s="1477"/>
      <c r="B969" s="1477"/>
      <c r="D969" s="1438"/>
      <c r="E969" s="1438"/>
      <c r="F969" s="1438"/>
      <c r="G969" s="1438"/>
      <c r="H969" s="1438"/>
    </row>
    <row r="970" spans="1:8" s="1404" customFormat="1">
      <c r="A970" s="1477"/>
      <c r="B970" s="1477"/>
      <c r="D970" s="1438"/>
      <c r="E970" s="1438"/>
      <c r="F970" s="1438"/>
      <c r="G970" s="1438"/>
      <c r="H970" s="1438"/>
    </row>
    <row r="971" spans="1:8" s="1404" customFormat="1">
      <c r="A971" s="1477"/>
      <c r="B971" s="1477"/>
      <c r="D971" s="1438"/>
      <c r="E971" s="1438"/>
      <c r="F971" s="1438"/>
      <c r="G971" s="1438"/>
      <c r="H971" s="1438"/>
    </row>
    <row r="972" spans="1:8" s="1404" customFormat="1">
      <c r="A972" s="1477"/>
      <c r="B972" s="1477"/>
      <c r="D972" s="1438"/>
      <c r="E972" s="1438"/>
      <c r="F972" s="1438"/>
      <c r="G972" s="1438"/>
      <c r="H972" s="1438"/>
    </row>
    <row r="973" spans="1:8" s="1404" customFormat="1">
      <c r="A973" s="1477"/>
      <c r="B973" s="1477"/>
      <c r="D973" s="1438"/>
      <c r="E973" s="1438"/>
      <c r="F973" s="1438"/>
      <c r="G973" s="1438"/>
      <c r="H973" s="1438"/>
    </row>
    <row r="974" spans="1:8" s="1404" customFormat="1">
      <c r="A974" s="1477"/>
      <c r="B974" s="1477"/>
      <c r="D974" s="1438"/>
      <c r="E974" s="1438"/>
      <c r="F974" s="1438"/>
      <c r="G974" s="1438"/>
      <c r="H974" s="1438"/>
    </row>
    <row r="975" spans="1:8" s="1404" customFormat="1">
      <c r="A975" s="1477"/>
      <c r="B975" s="1477"/>
      <c r="D975" s="1438"/>
      <c r="E975" s="1438"/>
      <c r="F975" s="1438"/>
      <c r="G975" s="1438"/>
      <c r="H975" s="1438"/>
    </row>
    <row r="976" spans="1:8" s="1404" customFormat="1">
      <c r="A976" s="1477"/>
      <c r="B976" s="1477"/>
      <c r="D976" s="1438"/>
      <c r="E976" s="1438"/>
      <c r="F976" s="1438"/>
      <c r="G976" s="1438"/>
      <c r="H976" s="1438"/>
    </row>
    <row r="977" spans="1:8" s="1404" customFormat="1">
      <c r="A977" s="1477"/>
      <c r="B977" s="1477"/>
      <c r="D977" s="1438"/>
      <c r="E977" s="1438"/>
      <c r="F977" s="1438"/>
      <c r="G977" s="1438"/>
      <c r="H977" s="1438"/>
    </row>
    <row r="978" spans="1:8" s="1404" customFormat="1">
      <c r="A978" s="1477"/>
      <c r="B978" s="1477"/>
      <c r="D978" s="1438"/>
      <c r="E978" s="1438"/>
      <c r="F978" s="1438"/>
      <c r="G978" s="1438"/>
      <c r="H978" s="1438"/>
    </row>
    <row r="979" spans="1:8" s="1404" customFormat="1">
      <c r="A979" s="1477"/>
      <c r="B979" s="1477"/>
      <c r="D979" s="1438"/>
      <c r="E979" s="1438"/>
      <c r="F979" s="1438"/>
      <c r="G979" s="1438"/>
      <c r="H979" s="1438"/>
    </row>
    <row r="980" spans="1:8" s="1404" customFormat="1">
      <c r="A980" s="1477"/>
      <c r="B980" s="1477"/>
      <c r="D980" s="1438"/>
      <c r="E980" s="1438"/>
      <c r="F980" s="1438"/>
      <c r="G980" s="1438"/>
      <c r="H980" s="1438"/>
    </row>
    <row r="981" spans="1:8" s="1404" customFormat="1">
      <c r="A981" s="1477"/>
      <c r="B981" s="1477"/>
      <c r="D981" s="1438"/>
      <c r="E981" s="1438"/>
      <c r="F981" s="1438"/>
      <c r="G981" s="1438"/>
      <c r="H981" s="1438"/>
    </row>
    <row r="982" spans="1:8" s="1404" customFormat="1">
      <c r="A982" s="1477"/>
      <c r="B982" s="1477"/>
      <c r="D982" s="1438"/>
      <c r="E982" s="1438"/>
      <c r="F982" s="1438"/>
      <c r="G982" s="1438"/>
      <c r="H982" s="1438"/>
    </row>
    <row r="983" spans="1:8" s="1404" customFormat="1">
      <c r="A983" s="1477"/>
      <c r="B983" s="1477"/>
      <c r="D983" s="1438"/>
      <c r="E983" s="1438"/>
      <c r="F983" s="1438"/>
      <c r="G983" s="1438"/>
      <c r="H983" s="1438"/>
    </row>
    <row r="984" spans="1:8" s="1404" customFormat="1">
      <c r="A984" s="1477"/>
      <c r="B984" s="1477"/>
      <c r="D984" s="1438"/>
      <c r="E984" s="1438"/>
      <c r="F984" s="1438"/>
      <c r="G984" s="1438"/>
      <c r="H984" s="1438"/>
    </row>
    <row r="985" spans="1:8" s="1404" customFormat="1">
      <c r="A985" s="1477"/>
      <c r="B985" s="1477"/>
      <c r="D985" s="1438"/>
      <c r="E985" s="1438"/>
      <c r="F985" s="1438"/>
      <c r="G985" s="1438"/>
      <c r="H985" s="1438"/>
    </row>
    <row r="986" spans="1:8" s="1404" customFormat="1">
      <c r="A986" s="1477"/>
      <c r="B986" s="1477"/>
      <c r="D986" s="1438"/>
      <c r="E986" s="1438"/>
      <c r="F986" s="1438"/>
      <c r="G986" s="1438"/>
      <c r="H986" s="1438"/>
    </row>
    <row r="987" spans="1:8" s="1404" customFormat="1">
      <c r="A987" s="1477"/>
      <c r="B987" s="1477"/>
      <c r="D987" s="1438"/>
      <c r="E987" s="1438"/>
      <c r="F987" s="1438"/>
      <c r="G987" s="1438"/>
      <c r="H987" s="1438"/>
    </row>
    <row r="988" spans="1:8" s="1404" customFormat="1">
      <c r="A988" s="1477"/>
      <c r="B988" s="1477"/>
      <c r="D988" s="1438"/>
      <c r="E988" s="1438"/>
      <c r="F988" s="1438"/>
      <c r="G988" s="1438"/>
      <c r="H988" s="1438"/>
    </row>
    <row r="989" spans="1:8" s="1404" customFormat="1">
      <c r="A989" s="1477"/>
      <c r="B989" s="1477"/>
      <c r="D989" s="1438"/>
      <c r="E989" s="1438"/>
      <c r="F989" s="1438"/>
      <c r="G989" s="1438"/>
      <c r="H989" s="1438"/>
    </row>
    <row r="990" spans="1:8" s="1404" customFormat="1">
      <c r="A990" s="1477"/>
      <c r="B990" s="1477"/>
      <c r="D990" s="1438"/>
      <c r="E990" s="1438"/>
      <c r="F990" s="1438"/>
      <c r="G990" s="1438"/>
      <c r="H990" s="1438"/>
    </row>
    <row r="991" spans="1:8" s="1404" customFormat="1">
      <c r="A991" s="1477"/>
      <c r="B991" s="1477"/>
      <c r="D991" s="1438"/>
      <c r="E991" s="1438"/>
      <c r="F991" s="1438"/>
      <c r="G991" s="1438"/>
      <c r="H991" s="1438"/>
    </row>
    <row r="992" spans="1:8" s="1404" customFormat="1">
      <c r="A992" s="1477"/>
      <c r="B992" s="1477"/>
      <c r="D992" s="1438"/>
      <c r="E992" s="1438"/>
      <c r="F992" s="1438"/>
      <c r="G992" s="1438"/>
      <c r="H992" s="1438"/>
    </row>
    <row r="993" spans="1:8" s="1404" customFormat="1">
      <c r="A993" s="1477"/>
      <c r="B993" s="1477"/>
      <c r="D993" s="1438"/>
      <c r="E993" s="1438"/>
      <c r="F993" s="1438"/>
      <c r="G993" s="1438"/>
      <c r="H993" s="1438"/>
    </row>
    <row r="994" spans="1:8" s="1404" customFormat="1">
      <c r="A994" s="1477"/>
      <c r="B994" s="1477"/>
      <c r="D994" s="1438"/>
      <c r="E994" s="1438"/>
      <c r="F994" s="1438"/>
      <c r="G994" s="1438"/>
      <c r="H994" s="1438"/>
    </row>
    <row r="995" spans="1:8" s="1404" customFormat="1">
      <c r="A995" s="1477"/>
      <c r="B995" s="1477"/>
      <c r="D995" s="1438"/>
      <c r="E995" s="1438"/>
      <c r="F995" s="1438"/>
      <c r="G995" s="1438"/>
      <c r="H995" s="1438"/>
    </row>
    <row r="996" spans="1:8" s="1404" customFormat="1">
      <c r="A996" s="1477"/>
      <c r="B996" s="1477"/>
      <c r="D996" s="1438"/>
      <c r="E996" s="1438"/>
      <c r="F996" s="1438"/>
      <c r="G996" s="1438"/>
      <c r="H996" s="1438"/>
    </row>
    <row r="997" spans="1:8" s="1404" customFormat="1">
      <c r="A997" s="1477"/>
      <c r="B997" s="1477"/>
      <c r="D997" s="1438"/>
      <c r="E997" s="1438"/>
      <c r="F997" s="1438"/>
      <c r="G997" s="1438"/>
      <c r="H997" s="1438"/>
    </row>
    <row r="998" spans="1:8" s="1404" customFormat="1">
      <c r="A998" s="1477"/>
      <c r="B998" s="1477"/>
      <c r="D998" s="1438"/>
      <c r="E998" s="1438"/>
      <c r="F998" s="1438"/>
      <c r="G998" s="1438"/>
      <c r="H998" s="1438"/>
    </row>
    <row r="999" spans="1:8" s="1404" customFormat="1">
      <c r="A999" s="1477"/>
      <c r="B999" s="1477"/>
      <c r="D999" s="1438"/>
      <c r="E999" s="1438"/>
      <c r="F999" s="1438"/>
      <c r="G999" s="1438"/>
      <c r="H999" s="1438"/>
    </row>
    <row r="1000" spans="1:8" s="1404" customFormat="1">
      <c r="A1000" s="1477"/>
      <c r="B1000" s="1477"/>
      <c r="D1000" s="1438"/>
      <c r="E1000" s="1438"/>
      <c r="F1000" s="1438"/>
      <c r="G1000" s="1438"/>
      <c r="H1000" s="1438"/>
    </row>
    <row r="1001" spans="1:8" s="1404" customFormat="1">
      <c r="A1001" s="1477"/>
      <c r="B1001" s="1477"/>
      <c r="D1001" s="1438"/>
      <c r="E1001" s="1438"/>
      <c r="F1001" s="1438"/>
      <c r="G1001" s="1438"/>
      <c r="H1001" s="1438"/>
    </row>
    <row r="1002" spans="1:8" s="1404" customFormat="1">
      <c r="A1002" s="1477"/>
      <c r="B1002" s="1477"/>
      <c r="D1002" s="1438"/>
      <c r="E1002" s="1438"/>
      <c r="F1002" s="1438"/>
      <c r="G1002" s="1438"/>
      <c r="H1002" s="1438"/>
    </row>
    <row r="1003" spans="1:8" s="1404" customFormat="1">
      <c r="A1003" s="1477"/>
      <c r="B1003" s="1477"/>
      <c r="D1003" s="1438"/>
      <c r="E1003" s="1438"/>
      <c r="F1003" s="1438"/>
      <c r="G1003" s="1438"/>
      <c r="H1003" s="1438"/>
    </row>
    <row r="1004" spans="1:8" s="1404" customFormat="1">
      <c r="A1004" s="1477"/>
      <c r="B1004" s="1477"/>
      <c r="D1004" s="1438"/>
      <c r="E1004" s="1438"/>
      <c r="F1004" s="1438"/>
      <c r="G1004" s="1438"/>
      <c r="H1004" s="1438"/>
    </row>
    <row r="1005" spans="1:8" s="1404" customFormat="1">
      <c r="A1005" s="1477"/>
      <c r="B1005" s="1477"/>
      <c r="D1005" s="1438"/>
      <c r="E1005" s="1438"/>
      <c r="F1005" s="1438"/>
      <c r="G1005" s="1438"/>
      <c r="H1005" s="1438"/>
    </row>
    <row r="1006" spans="1:8" s="1404" customFormat="1">
      <c r="A1006" s="1477"/>
      <c r="B1006" s="1477"/>
      <c r="D1006" s="1438"/>
      <c r="E1006" s="1438"/>
      <c r="F1006" s="1438"/>
      <c r="G1006" s="1438"/>
      <c r="H1006" s="1438"/>
    </row>
    <row r="1007" spans="1:8" s="1404" customFormat="1">
      <c r="A1007" s="1477"/>
      <c r="B1007" s="1477"/>
      <c r="D1007" s="1438"/>
      <c r="E1007" s="1438"/>
      <c r="F1007" s="1438"/>
      <c r="G1007" s="1438"/>
      <c r="H1007" s="1438"/>
    </row>
    <row r="1008" spans="1:8" s="1404" customFormat="1">
      <c r="A1008" s="1477"/>
      <c r="B1008" s="1477"/>
      <c r="D1008" s="1438"/>
      <c r="E1008" s="1438"/>
      <c r="F1008" s="1438"/>
      <c r="G1008" s="1438"/>
      <c r="H1008" s="1438"/>
    </row>
    <row r="1009" spans="1:8" s="1404" customFormat="1">
      <c r="A1009" s="1477"/>
      <c r="B1009" s="1477"/>
      <c r="D1009" s="1438"/>
      <c r="E1009" s="1438"/>
      <c r="F1009" s="1438"/>
      <c r="G1009" s="1438"/>
      <c r="H1009" s="1438"/>
    </row>
    <row r="1010" spans="1:8" s="1404" customFormat="1">
      <c r="A1010" s="1477"/>
      <c r="B1010" s="1477"/>
      <c r="D1010" s="1438"/>
      <c r="E1010" s="1438"/>
      <c r="F1010" s="1438"/>
      <c r="G1010" s="1438"/>
      <c r="H1010" s="1438"/>
    </row>
    <row r="1011" spans="1:8" s="1404" customFormat="1">
      <c r="A1011" s="1477"/>
      <c r="B1011" s="1477"/>
      <c r="D1011" s="1438"/>
      <c r="E1011" s="1438"/>
      <c r="F1011" s="1438"/>
      <c r="G1011" s="1438"/>
      <c r="H1011" s="1438"/>
    </row>
    <row r="1012" spans="1:8" s="1404" customFormat="1">
      <c r="A1012" s="1477"/>
      <c r="B1012" s="1477"/>
      <c r="D1012" s="1438"/>
      <c r="E1012" s="1438"/>
      <c r="F1012" s="1438"/>
      <c r="G1012" s="1438"/>
      <c r="H1012" s="1438"/>
    </row>
    <row r="1013" spans="1:8" s="1404" customFormat="1">
      <c r="A1013" s="1477"/>
      <c r="B1013" s="1477"/>
      <c r="D1013" s="1438"/>
      <c r="E1013" s="1438"/>
      <c r="F1013" s="1438"/>
      <c r="G1013" s="1438"/>
      <c r="H1013" s="1438"/>
    </row>
    <row r="1014" spans="1:8" s="1404" customFormat="1">
      <c r="A1014" s="1477"/>
      <c r="B1014" s="1477"/>
      <c r="D1014" s="1438"/>
      <c r="E1014" s="1438"/>
      <c r="F1014" s="1438"/>
      <c r="G1014" s="1438"/>
      <c r="H1014" s="1438"/>
    </row>
    <row r="1015" spans="1:8" s="1404" customFormat="1">
      <c r="A1015" s="1477"/>
      <c r="B1015" s="1477"/>
      <c r="D1015" s="1438"/>
      <c r="E1015" s="1438"/>
      <c r="F1015" s="1438"/>
      <c r="G1015" s="1438"/>
      <c r="H1015" s="1438"/>
    </row>
    <row r="1016" spans="1:8" s="1404" customFormat="1">
      <c r="A1016" s="1477"/>
      <c r="B1016" s="1477"/>
      <c r="D1016" s="1438"/>
      <c r="E1016" s="1438"/>
      <c r="F1016" s="1438"/>
      <c r="G1016" s="1438"/>
      <c r="H1016" s="1438"/>
    </row>
    <row r="1017" spans="1:8" s="1404" customFormat="1">
      <c r="A1017" s="1477"/>
      <c r="B1017" s="1477"/>
      <c r="D1017" s="1438"/>
      <c r="E1017" s="1438"/>
      <c r="F1017" s="1438"/>
      <c r="G1017" s="1438"/>
      <c r="H1017" s="1438"/>
    </row>
    <row r="1018" spans="1:8" s="1404" customFormat="1">
      <c r="A1018" s="1477"/>
      <c r="B1018" s="1477"/>
      <c r="D1018" s="1438"/>
      <c r="E1018" s="1438"/>
      <c r="F1018" s="1438"/>
      <c r="G1018" s="1438"/>
      <c r="H1018" s="1438"/>
    </row>
    <row r="1019" spans="1:8" s="1404" customFormat="1">
      <c r="A1019" s="1477"/>
      <c r="B1019" s="1477"/>
      <c r="D1019" s="1438"/>
      <c r="E1019" s="1438"/>
      <c r="F1019" s="1438"/>
      <c r="G1019" s="1438"/>
      <c r="H1019" s="1438"/>
    </row>
    <row r="1020" spans="1:8" s="1404" customFormat="1">
      <c r="A1020" s="1477"/>
      <c r="B1020" s="1477"/>
      <c r="D1020" s="1438"/>
      <c r="E1020" s="1438"/>
      <c r="F1020" s="1438"/>
      <c r="G1020" s="1438"/>
      <c r="H1020" s="1438"/>
    </row>
    <row r="1021" spans="1:8" s="1404" customFormat="1">
      <c r="A1021" s="1477"/>
      <c r="B1021" s="1477"/>
      <c r="D1021" s="1438"/>
      <c r="E1021" s="1438"/>
      <c r="F1021" s="1438"/>
      <c r="G1021" s="1438"/>
      <c r="H1021" s="1438"/>
    </row>
    <row r="1022" spans="1:8" s="1404" customFormat="1">
      <c r="A1022" s="1477"/>
      <c r="B1022" s="1477"/>
      <c r="D1022" s="1438"/>
      <c r="E1022" s="1438"/>
      <c r="F1022" s="1438"/>
      <c r="G1022" s="1438"/>
      <c r="H1022" s="1438"/>
    </row>
    <row r="1023" spans="1:8" s="1404" customFormat="1">
      <c r="A1023" s="1477"/>
      <c r="B1023" s="1477"/>
      <c r="D1023" s="1438"/>
      <c r="E1023" s="1438"/>
      <c r="F1023" s="1438"/>
      <c r="G1023" s="1438"/>
      <c r="H1023" s="1438"/>
    </row>
    <row r="1024" spans="1:8" s="1404" customFormat="1">
      <c r="A1024" s="1477"/>
      <c r="B1024" s="1477"/>
      <c r="D1024" s="1438"/>
      <c r="E1024" s="1438"/>
      <c r="F1024" s="1438"/>
      <c r="G1024" s="1438"/>
      <c r="H1024" s="1438"/>
    </row>
    <row r="1025" spans="1:8" s="1404" customFormat="1">
      <c r="A1025" s="1477"/>
      <c r="B1025" s="1477"/>
      <c r="D1025" s="1438"/>
      <c r="E1025" s="1438"/>
      <c r="F1025" s="1438"/>
      <c r="G1025" s="1438"/>
      <c r="H1025" s="1438"/>
    </row>
    <row r="1026" spans="1:8" s="1404" customFormat="1">
      <c r="A1026" s="1477"/>
      <c r="B1026" s="1477"/>
      <c r="D1026" s="1438"/>
      <c r="E1026" s="1438"/>
      <c r="F1026" s="1438"/>
      <c r="G1026" s="1438"/>
      <c r="H1026" s="1438"/>
    </row>
    <row r="1027" spans="1:8" s="1404" customFormat="1">
      <c r="A1027" s="1477"/>
      <c r="B1027" s="1477"/>
      <c r="D1027" s="1438"/>
      <c r="E1027" s="1438"/>
      <c r="F1027" s="1438"/>
      <c r="G1027" s="1438"/>
      <c r="H1027" s="1438"/>
    </row>
    <row r="1028" spans="1:8" s="1404" customFormat="1">
      <c r="A1028" s="1477"/>
      <c r="B1028" s="1477"/>
      <c r="D1028" s="1438"/>
      <c r="E1028" s="1438"/>
      <c r="F1028" s="1438"/>
      <c r="G1028" s="1438"/>
      <c r="H1028" s="1438"/>
    </row>
    <row r="1029" spans="1:8" s="1404" customFormat="1">
      <c r="A1029" s="1477"/>
      <c r="B1029" s="1477"/>
      <c r="D1029" s="1438"/>
      <c r="E1029" s="1438"/>
      <c r="F1029" s="1438"/>
      <c r="G1029" s="1438"/>
      <c r="H1029" s="1438"/>
    </row>
    <row r="1030" spans="1:8" s="1404" customFormat="1">
      <c r="A1030" s="1477"/>
      <c r="B1030" s="1477"/>
      <c r="D1030" s="1438"/>
      <c r="E1030" s="1438"/>
      <c r="F1030" s="1438"/>
      <c r="G1030" s="1438"/>
      <c r="H1030" s="1438"/>
    </row>
    <row r="1031" spans="1:8" s="1404" customFormat="1">
      <c r="A1031" s="1477"/>
      <c r="B1031" s="1477"/>
      <c r="D1031" s="1438"/>
      <c r="E1031" s="1438"/>
      <c r="F1031" s="1438"/>
      <c r="G1031" s="1438"/>
      <c r="H1031" s="1438"/>
    </row>
    <row r="1032" spans="1:8" s="1404" customFormat="1">
      <c r="A1032" s="1477"/>
      <c r="B1032" s="1477"/>
      <c r="D1032" s="1438"/>
      <c r="E1032" s="1438"/>
      <c r="F1032" s="1438"/>
      <c r="G1032" s="1438"/>
      <c r="H1032" s="1438"/>
    </row>
    <row r="1033" spans="1:8" s="1404" customFormat="1">
      <c r="A1033" s="1477"/>
      <c r="B1033" s="1477"/>
      <c r="D1033" s="1438"/>
      <c r="E1033" s="1438"/>
      <c r="F1033" s="1438"/>
      <c r="G1033" s="1438"/>
      <c r="H1033" s="1438"/>
    </row>
    <row r="1034" spans="1:8" s="1404" customFormat="1">
      <c r="A1034" s="1477"/>
      <c r="B1034" s="1477"/>
      <c r="D1034" s="1438"/>
      <c r="E1034" s="1438"/>
      <c r="F1034" s="1438"/>
      <c r="G1034" s="1438"/>
      <c r="H1034" s="1438"/>
    </row>
    <row r="1035" spans="1:8" s="1404" customFormat="1">
      <c r="A1035" s="1477"/>
      <c r="B1035" s="1477"/>
      <c r="D1035" s="1438"/>
      <c r="E1035" s="1438"/>
      <c r="F1035" s="1438"/>
      <c r="G1035" s="1438"/>
      <c r="H1035" s="1438"/>
    </row>
    <row r="1036" spans="1:8" s="1404" customFormat="1">
      <c r="A1036" s="1477"/>
      <c r="B1036" s="1477"/>
      <c r="D1036" s="1438"/>
      <c r="E1036" s="1438"/>
      <c r="F1036" s="1438"/>
      <c r="G1036" s="1438"/>
      <c r="H1036" s="1438"/>
    </row>
    <row r="1037" spans="1:8" s="1404" customFormat="1">
      <c r="A1037" s="1477"/>
      <c r="B1037" s="1477"/>
      <c r="D1037" s="1438"/>
      <c r="E1037" s="1438"/>
      <c r="F1037" s="1438"/>
      <c r="G1037" s="1438"/>
      <c r="H1037" s="1438"/>
    </row>
    <row r="1038" spans="1:8">
      <c r="A1038" s="1477"/>
      <c r="B1038" s="1477"/>
      <c r="C1038" s="1404"/>
      <c r="D1038" s="1438"/>
      <c r="E1038" s="1438"/>
      <c r="F1038" s="1438"/>
      <c r="G1038" s="1438"/>
    </row>
    <row r="1039" spans="1:8">
      <c r="A1039" s="1479"/>
      <c r="B1039" s="1479"/>
      <c r="D1039" s="1436"/>
      <c r="E1039" s="1436"/>
      <c r="F1039" s="1436"/>
      <c r="G1039" s="1436"/>
      <c r="H1039" s="1436"/>
    </row>
    <row r="1040" spans="1:8">
      <c r="A1040" s="1479"/>
      <c r="B1040" s="1479"/>
      <c r="D1040" s="1436"/>
      <c r="E1040" s="1436"/>
      <c r="F1040" s="1436"/>
      <c r="G1040" s="1436"/>
      <c r="H1040" s="1436"/>
    </row>
    <row r="1041" spans="1:8">
      <c r="A1041" s="1479"/>
      <c r="B1041" s="1479"/>
      <c r="D1041" s="1436"/>
      <c r="E1041" s="1436"/>
      <c r="F1041" s="1436"/>
      <c r="G1041" s="1436"/>
      <c r="H1041" s="1436"/>
    </row>
    <row r="1042" spans="1:8">
      <c r="A1042" s="1479"/>
      <c r="B1042" s="1479"/>
      <c r="D1042" s="1436"/>
      <c r="E1042" s="1436"/>
      <c r="F1042" s="1436"/>
      <c r="G1042" s="1436"/>
      <c r="H1042" s="1436"/>
    </row>
    <row r="1043" spans="1:8">
      <c r="A1043" s="1479"/>
      <c r="B1043" s="1479"/>
      <c r="D1043" s="1436"/>
      <c r="E1043" s="1436"/>
      <c r="F1043" s="1436"/>
      <c r="G1043" s="1436"/>
      <c r="H1043" s="1436"/>
    </row>
    <row r="1044" spans="1:8">
      <c r="A1044" s="1479"/>
      <c r="B1044" s="1479"/>
      <c r="D1044" s="1436"/>
      <c r="E1044" s="1436"/>
      <c r="F1044" s="1436"/>
      <c r="G1044" s="1436"/>
      <c r="H1044" s="1436"/>
    </row>
    <row r="1045" spans="1:8">
      <c r="A1045" s="1479"/>
      <c r="B1045" s="1479"/>
      <c r="D1045" s="1436"/>
      <c r="E1045" s="1436"/>
      <c r="F1045" s="1436"/>
      <c r="G1045" s="1436"/>
      <c r="H1045" s="1436"/>
    </row>
    <row r="1046" spans="1:8">
      <c r="A1046" s="1479"/>
      <c r="B1046" s="1479"/>
      <c r="D1046" s="1436"/>
      <c r="E1046" s="1436"/>
      <c r="F1046" s="1436"/>
      <c r="G1046" s="1436"/>
      <c r="H1046" s="1436"/>
    </row>
    <row r="1047" spans="1:8">
      <c r="A1047" s="1479"/>
      <c r="B1047" s="1479"/>
      <c r="D1047" s="1436"/>
      <c r="E1047" s="1436"/>
      <c r="F1047" s="1436"/>
      <c r="G1047" s="1436"/>
      <c r="H1047" s="1436"/>
    </row>
    <row r="1048" spans="1:8">
      <c r="A1048" s="1479"/>
      <c r="B1048" s="1479"/>
      <c r="D1048" s="1436"/>
      <c r="E1048" s="1436"/>
      <c r="F1048" s="1436"/>
      <c r="G1048" s="1436"/>
      <c r="H1048" s="1436"/>
    </row>
    <row r="1049" spans="1:8">
      <c r="A1049" s="1479"/>
      <c r="B1049" s="1479"/>
      <c r="D1049" s="1436"/>
      <c r="E1049" s="1436"/>
      <c r="F1049" s="1436"/>
      <c r="G1049" s="1436"/>
      <c r="H1049" s="1436"/>
    </row>
    <row r="1050" spans="1:8">
      <c r="A1050" s="1479"/>
      <c r="B1050" s="1479"/>
      <c r="D1050" s="1436"/>
      <c r="E1050" s="1436"/>
      <c r="F1050" s="1436"/>
      <c r="G1050" s="1436"/>
      <c r="H1050" s="1436"/>
    </row>
    <row r="1051" spans="1:8">
      <c r="A1051" s="1479"/>
      <c r="B1051" s="1479"/>
      <c r="D1051" s="1436"/>
      <c r="E1051" s="1436"/>
      <c r="F1051" s="1436"/>
      <c r="G1051" s="1436"/>
      <c r="H1051" s="1436"/>
    </row>
    <row r="1052" spans="1:8">
      <c r="A1052" s="1479"/>
      <c r="B1052" s="1479"/>
      <c r="D1052" s="1436"/>
      <c r="E1052" s="1436"/>
      <c r="F1052" s="1436"/>
      <c r="G1052" s="1436"/>
      <c r="H1052" s="1436"/>
    </row>
    <row r="1053" spans="1:8">
      <c r="A1053" s="1479"/>
      <c r="B1053" s="1479"/>
      <c r="D1053" s="1436"/>
      <c r="E1053" s="1436"/>
      <c r="F1053" s="1436"/>
      <c r="G1053" s="1436"/>
      <c r="H1053" s="1436"/>
    </row>
    <row r="1054" spans="1:8">
      <c r="A1054" s="1479"/>
      <c r="B1054" s="1479"/>
      <c r="D1054" s="1436"/>
      <c r="E1054" s="1436"/>
      <c r="F1054" s="1436"/>
      <c r="G1054" s="1436"/>
      <c r="H1054" s="1436"/>
    </row>
    <row r="1055" spans="1:8">
      <c r="A1055" s="1479"/>
      <c r="B1055" s="1479"/>
      <c r="D1055" s="1436"/>
      <c r="E1055" s="1436"/>
      <c r="F1055" s="1436"/>
      <c r="G1055" s="1436"/>
      <c r="H1055" s="1436"/>
    </row>
    <row r="1056" spans="1:8">
      <c r="A1056" s="1479"/>
      <c r="B1056" s="1479"/>
      <c r="D1056" s="1436"/>
      <c r="E1056" s="1436"/>
      <c r="F1056" s="1436"/>
      <c r="G1056" s="1436"/>
      <c r="H1056" s="1436"/>
    </row>
    <row r="1057" spans="1:8">
      <c r="A1057" s="1479"/>
      <c r="B1057" s="1479"/>
      <c r="D1057" s="1436"/>
      <c r="E1057" s="1436"/>
      <c r="F1057" s="1436"/>
      <c r="G1057" s="1436"/>
      <c r="H1057" s="1436"/>
    </row>
    <row r="1058" spans="1:8">
      <c r="A1058" s="1479"/>
      <c r="B1058" s="1479"/>
      <c r="D1058" s="1436"/>
      <c r="E1058" s="1436"/>
      <c r="F1058" s="1436"/>
      <c r="G1058" s="1436"/>
      <c r="H1058" s="1436"/>
    </row>
    <row r="1059" spans="1:8">
      <c r="A1059" s="1479"/>
      <c r="B1059" s="1479"/>
      <c r="D1059" s="1436"/>
      <c r="E1059" s="1436"/>
      <c r="F1059" s="1436"/>
      <c r="G1059" s="1436"/>
      <c r="H1059" s="1436"/>
    </row>
    <row r="1060" spans="1:8">
      <c r="A1060" s="1479"/>
      <c r="B1060" s="1479"/>
      <c r="D1060" s="1436"/>
      <c r="E1060" s="1436"/>
      <c r="F1060" s="1436"/>
      <c r="G1060" s="1436"/>
      <c r="H1060" s="1436"/>
    </row>
    <row r="1061" spans="1:8">
      <c r="A1061" s="1479"/>
      <c r="B1061" s="1479"/>
      <c r="D1061" s="1436"/>
      <c r="E1061" s="1436"/>
      <c r="F1061" s="1436"/>
      <c r="G1061" s="1436"/>
      <c r="H1061" s="1436"/>
    </row>
    <row r="1062" spans="1:8">
      <c r="A1062" s="1479"/>
      <c r="B1062" s="1479"/>
      <c r="D1062" s="1436"/>
      <c r="E1062" s="1436"/>
      <c r="F1062" s="1436"/>
      <c r="G1062" s="1436"/>
      <c r="H1062" s="1436"/>
    </row>
    <row r="1063" spans="1:8">
      <c r="A1063" s="1479"/>
      <c r="B1063" s="1479"/>
      <c r="D1063" s="1436"/>
      <c r="E1063" s="1436"/>
      <c r="F1063" s="1436"/>
      <c r="G1063" s="1436"/>
      <c r="H1063" s="1436"/>
    </row>
    <row r="1064" spans="1:8">
      <c r="A1064" s="1479"/>
      <c r="B1064" s="1479"/>
      <c r="D1064" s="1436"/>
      <c r="E1064" s="1436"/>
      <c r="F1064" s="1436"/>
      <c r="G1064" s="1436"/>
      <c r="H1064" s="1436"/>
    </row>
    <row r="1065" spans="1:8">
      <c r="A1065" s="1479"/>
      <c r="B1065" s="1479"/>
      <c r="D1065" s="1436"/>
      <c r="E1065" s="1436"/>
      <c r="F1065" s="1436"/>
      <c r="G1065" s="1436"/>
      <c r="H1065" s="1436"/>
    </row>
    <row r="1066" spans="1:8">
      <c r="A1066" s="1479"/>
      <c r="B1066" s="1479"/>
      <c r="D1066" s="1436"/>
      <c r="E1066" s="1436"/>
      <c r="F1066" s="1436"/>
      <c r="G1066" s="1436"/>
      <c r="H1066" s="1436"/>
    </row>
    <row r="1067" spans="1:8">
      <c r="A1067" s="1479"/>
      <c r="B1067" s="1479"/>
      <c r="D1067" s="1436"/>
      <c r="E1067" s="1436"/>
      <c r="F1067" s="1436"/>
      <c r="G1067" s="1436"/>
      <c r="H1067" s="1436"/>
    </row>
    <row r="1068" spans="1:8">
      <c r="A1068" s="1479"/>
      <c r="B1068" s="1479"/>
      <c r="D1068" s="1436"/>
      <c r="E1068" s="1436"/>
      <c r="F1068" s="1436"/>
      <c r="G1068" s="1436"/>
      <c r="H1068" s="1436"/>
    </row>
    <row r="1069" spans="1:8">
      <c r="A1069" s="1479"/>
      <c r="B1069" s="1479"/>
      <c r="D1069" s="1436"/>
      <c r="E1069" s="1436"/>
      <c r="F1069" s="1436"/>
      <c r="G1069" s="1436"/>
      <c r="H1069" s="1436"/>
    </row>
    <row r="1070" spans="1:8">
      <c r="A1070" s="1479"/>
      <c r="B1070" s="1479"/>
      <c r="D1070" s="1436"/>
      <c r="E1070" s="1436"/>
      <c r="F1070" s="1436"/>
      <c r="G1070" s="1436"/>
      <c r="H1070" s="1436"/>
    </row>
    <row r="1071" spans="1:8">
      <c r="A1071" s="1479"/>
      <c r="B1071" s="1479"/>
      <c r="D1071" s="1436"/>
      <c r="E1071" s="1436"/>
      <c r="F1071" s="1436"/>
      <c r="G1071" s="1436"/>
      <c r="H1071" s="1436"/>
    </row>
    <row r="1072" spans="1:8">
      <c r="A1072" s="1479"/>
      <c r="B1072" s="1479"/>
      <c r="D1072" s="1436"/>
      <c r="E1072" s="1436"/>
      <c r="F1072" s="1436"/>
      <c r="G1072" s="1436"/>
      <c r="H1072" s="1436"/>
    </row>
    <row r="1073" spans="1:8">
      <c r="A1073" s="1479"/>
      <c r="B1073" s="1479"/>
      <c r="D1073" s="1436"/>
      <c r="E1073" s="1436"/>
      <c r="F1073" s="1436"/>
      <c r="G1073" s="1436"/>
      <c r="H1073" s="1436"/>
    </row>
    <row r="1074" spans="1:8">
      <c r="A1074" s="1479"/>
      <c r="B1074" s="1479"/>
      <c r="D1074" s="1436"/>
      <c r="E1074" s="1436"/>
      <c r="F1074" s="1436"/>
      <c r="G1074" s="1436"/>
      <c r="H1074" s="1436"/>
    </row>
    <row r="1075" spans="1:8">
      <c r="A1075" s="1479"/>
      <c r="B1075" s="1479"/>
      <c r="D1075" s="1436"/>
      <c r="E1075" s="1436"/>
      <c r="F1075" s="1436"/>
      <c r="G1075" s="1436"/>
      <c r="H1075" s="1436"/>
    </row>
    <row r="1076" spans="1:8">
      <c r="A1076" s="1479"/>
      <c r="B1076" s="1479"/>
      <c r="D1076" s="1436"/>
      <c r="E1076" s="1436"/>
      <c r="F1076" s="1436"/>
      <c r="G1076" s="1436"/>
      <c r="H1076" s="1436"/>
    </row>
    <row r="1077" spans="1:8">
      <c r="A1077" s="1479"/>
      <c r="B1077" s="1479"/>
      <c r="D1077" s="1436"/>
      <c r="E1077" s="1436"/>
      <c r="F1077" s="1436"/>
      <c r="G1077" s="1436"/>
      <c r="H1077" s="1436"/>
    </row>
    <row r="1078" spans="1:8">
      <c r="A1078" s="1479"/>
      <c r="B1078" s="1479"/>
      <c r="D1078" s="1436"/>
      <c r="E1078" s="1436"/>
      <c r="F1078" s="1436"/>
      <c r="G1078" s="1436"/>
      <c r="H1078" s="1436"/>
    </row>
    <row r="1079" spans="1:8">
      <c r="A1079" s="1479"/>
      <c r="B1079" s="1479"/>
      <c r="D1079" s="1436"/>
      <c r="E1079" s="1436"/>
      <c r="F1079" s="1436"/>
      <c r="G1079" s="1436"/>
      <c r="H1079" s="1436"/>
    </row>
    <row r="1080" spans="1:8">
      <c r="A1080" s="1479"/>
      <c r="B1080" s="1479"/>
      <c r="D1080" s="1436"/>
      <c r="E1080" s="1436"/>
      <c r="F1080" s="1436"/>
      <c r="G1080" s="1436"/>
      <c r="H1080" s="1436"/>
    </row>
    <row r="1081" spans="1:8">
      <c r="A1081" s="1479"/>
      <c r="B1081" s="1479"/>
      <c r="D1081" s="1436"/>
      <c r="E1081" s="1436"/>
      <c r="F1081" s="1436"/>
      <c r="G1081" s="1436"/>
      <c r="H1081" s="1436"/>
    </row>
    <row r="1082" spans="1:8">
      <c r="A1082" s="1479"/>
      <c r="B1082" s="1479"/>
      <c r="D1082" s="1436"/>
      <c r="E1082" s="1436"/>
      <c r="F1082" s="1436"/>
      <c r="G1082" s="1436"/>
      <c r="H1082" s="1436"/>
    </row>
    <row r="1083" spans="1:8">
      <c r="A1083" s="1479"/>
      <c r="B1083" s="1479"/>
      <c r="D1083" s="1436"/>
      <c r="E1083" s="1436"/>
      <c r="F1083" s="1436"/>
      <c r="G1083" s="1436"/>
      <c r="H1083" s="1436"/>
    </row>
    <row r="1084" spans="1:8">
      <c r="A1084" s="1479"/>
      <c r="B1084" s="1479"/>
      <c r="D1084" s="1436"/>
      <c r="E1084" s="1436"/>
      <c r="F1084" s="1436"/>
      <c r="G1084" s="1436"/>
      <c r="H1084" s="1436"/>
    </row>
    <row r="1085" spans="1:8">
      <c r="A1085" s="1479"/>
      <c r="B1085" s="1479"/>
      <c r="D1085" s="1436"/>
      <c r="E1085" s="1436"/>
      <c r="F1085" s="1436"/>
      <c r="G1085" s="1436"/>
      <c r="H1085" s="1436"/>
    </row>
    <row r="1086" spans="1:8">
      <c r="A1086" s="1479"/>
      <c r="B1086" s="1479"/>
      <c r="D1086" s="1436"/>
      <c r="E1086" s="1436"/>
      <c r="F1086" s="1436"/>
      <c r="G1086" s="1436"/>
      <c r="H1086" s="1436"/>
    </row>
    <row r="1087" spans="1:8">
      <c r="A1087" s="1479"/>
      <c r="B1087" s="1479"/>
      <c r="D1087" s="1436"/>
      <c r="E1087" s="1436"/>
      <c r="F1087" s="1436"/>
      <c r="G1087" s="1436"/>
      <c r="H1087" s="1436"/>
    </row>
    <row r="1088" spans="1:8">
      <c r="A1088" s="1479"/>
      <c r="B1088" s="1479"/>
      <c r="D1088" s="1436"/>
      <c r="E1088" s="1436"/>
      <c r="F1088" s="1436"/>
      <c r="G1088" s="1436"/>
      <c r="H1088" s="1436"/>
    </row>
    <row r="1089" spans="1:8">
      <c r="A1089" s="1479"/>
      <c r="B1089" s="1479"/>
      <c r="D1089" s="1436"/>
      <c r="E1089" s="1436"/>
      <c r="F1089" s="1436"/>
      <c r="G1089" s="1436"/>
      <c r="H1089" s="1436"/>
    </row>
    <row r="1090" spans="1:8">
      <c r="A1090" s="1479"/>
      <c r="B1090" s="1479"/>
      <c r="D1090" s="1436"/>
      <c r="E1090" s="1436"/>
      <c r="F1090" s="1436"/>
      <c r="G1090" s="1436"/>
      <c r="H1090" s="1436"/>
    </row>
    <row r="1091" spans="1:8">
      <c r="A1091" s="1479"/>
      <c r="B1091" s="1479"/>
      <c r="D1091" s="1436"/>
      <c r="E1091" s="1436"/>
      <c r="F1091" s="1436"/>
      <c r="G1091" s="1436"/>
      <c r="H1091" s="1436"/>
    </row>
    <row r="1092" spans="1:8">
      <c r="A1092" s="1479"/>
      <c r="B1092" s="1479"/>
      <c r="D1092" s="1436"/>
      <c r="E1092" s="1436"/>
      <c r="F1092" s="1436"/>
      <c r="G1092" s="1436"/>
      <c r="H1092" s="1436"/>
    </row>
    <row r="1093" spans="1:8">
      <c r="A1093" s="1479"/>
      <c r="B1093" s="1479"/>
      <c r="D1093" s="1436"/>
      <c r="E1093" s="1436"/>
      <c r="F1093" s="1436"/>
      <c r="G1093" s="1436"/>
      <c r="H1093" s="1436"/>
    </row>
    <row r="1094" spans="1:8">
      <c r="A1094" s="1479"/>
      <c r="B1094" s="1479"/>
      <c r="D1094" s="1436"/>
      <c r="E1094" s="1436"/>
      <c r="F1094" s="1436"/>
      <c r="G1094" s="1436"/>
      <c r="H1094" s="1436"/>
    </row>
    <row r="1095" spans="1:8">
      <c r="A1095" s="1479"/>
      <c r="B1095" s="1479"/>
      <c r="D1095" s="1436"/>
      <c r="E1095" s="1436"/>
      <c r="F1095" s="1436"/>
      <c r="G1095" s="1436"/>
      <c r="H1095" s="1436"/>
    </row>
    <row r="1096" spans="1:8">
      <c r="A1096" s="1479"/>
      <c r="B1096" s="1479"/>
      <c r="D1096" s="1436"/>
      <c r="E1096" s="1436"/>
      <c r="F1096" s="1436"/>
      <c r="G1096" s="1436"/>
      <c r="H1096" s="1436"/>
    </row>
    <row r="1097" spans="1:8">
      <c r="A1097" s="1479"/>
      <c r="B1097" s="1479"/>
      <c r="D1097" s="1436"/>
      <c r="E1097" s="1436"/>
      <c r="F1097" s="1436"/>
      <c r="G1097" s="1436"/>
      <c r="H1097" s="1436"/>
    </row>
    <row r="1098" spans="1:8">
      <c r="A1098" s="1479"/>
      <c r="B1098" s="1479"/>
      <c r="D1098" s="1436"/>
      <c r="E1098" s="1436"/>
      <c r="F1098" s="1436"/>
      <c r="G1098" s="1436"/>
      <c r="H1098" s="1436"/>
    </row>
    <row r="1099" spans="1:8">
      <c r="A1099" s="1479"/>
      <c r="B1099" s="1479"/>
      <c r="D1099" s="1436"/>
      <c r="E1099" s="1436"/>
      <c r="F1099" s="1436"/>
      <c r="G1099" s="1436"/>
      <c r="H1099" s="1436"/>
    </row>
    <row r="1100" spans="1:8">
      <c r="A1100" s="1479"/>
      <c r="B1100" s="1479"/>
      <c r="D1100" s="1436"/>
      <c r="E1100" s="1436"/>
      <c r="F1100" s="1436"/>
      <c r="G1100" s="1436"/>
      <c r="H1100" s="1436"/>
    </row>
    <row r="1101" spans="1:8">
      <c r="A1101" s="1479"/>
      <c r="B1101" s="1479"/>
      <c r="D1101" s="1436"/>
      <c r="E1101" s="1436"/>
      <c r="F1101" s="1436"/>
      <c r="G1101" s="1436"/>
      <c r="H1101" s="1436"/>
    </row>
    <row r="1102" spans="1:8">
      <c r="A1102" s="1479"/>
      <c r="B1102" s="1479"/>
      <c r="D1102" s="1436"/>
      <c r="E1102" s="1436"/>
      <c r="F1102" s="1436"/>
      <c r="G1102" s="1436"/>
      <c r="H1102" s="1436"/>
    </row>
    <row r="1103" spans="1:8">
      <c r="A1103" s="1479"/>
      <c r="B1103" s="1479"/>
      <c r="D1103" s="1436"/>
      <c r="E1103" s="1436"/>
      <c r="F1103" s="1436"/>
      <c r="G1103" s="1436"/>
      <c r="H1103" s="1436"/>
    </row>
    <row r="1104" spans="1:8">
      <c r="A1104" s="1479"/>
      <c r="B1104" s="1479"/>
      <c r="D1104" s="1436"/>
      <c r="E1104" s="1436"/>
      <c r="F1104" s="1436"/>
      <c r="G1104" s="1436"/>
      <c r="H1104" s="1436"/>
    </row>
    <row r="1105" spans="1:8">
      <c r="A1105" s="1479"/>
      <c r="B1105" s="1479"/>
      <c r="D1105" s="1436"/>
      <c r="E1105" s="1436"/>
      <c r="F1105" s="1436"/>
      <c r="G1105" s="1436"/>
      <c r="H1105" s="1436"/>
    </row>
    <row r="1106" spans="1:8">
      <c r="A1106" s="1479"/>
      <c r="B1106" s="1479"/>
      <c r="D1106" s="1436"/>
      <c r="E1106" s="1436"/>
      <c r="F1106" s="1436"/>
      <c r="G1106" s="1436"/>
      <c r="H1106" s="1436"/>
    </row>
    <row r="1107" spans="1:8">
      <c r="A1107" s="1479"/>
      <c r="B1107" s="1479"/>
      <c r="D1107" s="1436"/>
      <c r="E1107" s="1436"/>
      <c r="F1107" s="1436"/>
      <c r="G1107" s="1436"/>
      <c r="H1107" s="1436"/>
    </row>
    <row r="1108" spans="1:8">
      <c r="A1108" s="1479"/>
      <c r="B1108" s="1479"/>
      <c r="D1108" s="1436"/>
      <c r="E1108" s="1436"/>
      <c r="F1108" s="1436"/>
      <c r="G1108" s="1436"/>
      <c r="H1108" s="1436"/>
    </row>
    <row r="1109" spans="1:8">
      <c r="A1109" s="1479"/>
      <c r="B1109" s="1479"/>
      <c r="D1109" s="1436"/>
      <c r="E1109" s="1436"/>
      <c r="F1109" s="1436"/>
      <c r="G1109" s="1436"/>
      <c r="H1109" s="1436"/>
    </row>
    <row r="1110" spans="1:8">
      <c r="A1110" s="1479"/>
      <c r="B1110" s="1479"/>
      <c r="D1110" s="1436"/>
      <c r="E1110" s="1436"/>
      <c r="F1110" s="1436"/>
      <c r="G1110" s="1436"/>
      <c r="H1110" s="1436"/>
    </row>
    <row r="1111" spans="1:8">
      <c r="A1111" s="1479"/>
      <c r="B1111" s="1479"/>
      <c r="D1111" s="1436"/>
      <c r="E1111" s="1436"/>
      <c r="F1111" s="1436"/>
      <c r="G1111" s="1436"/>
      <c r="H1111" s="1436"/>
    </row>
    <row r="1112" spans="1:8">
      <c r="A1112" s="1479"/>
      <c r="B1112" s="1479"/>
      <c r="D1112" s="1436"/>
      <c r="E1112" s="1436"/>
      <c r="F1112" s="1436"/>
      <c r="G1112" s="1436"/>
      <c r="H1112" s="1436"/>
    </row>
    <row r="1113" spans="1:8">
      <c r="A1113" s="1479"/>
      <c r="B1113" s="1479"/>
      <c r="D1113" s="1436"/>
      <c r="E1113" s="1436"/>
      <c r="F1113" s="1436"/>
      <c r="G1113" s="1436"/>
      <c r="H1113" s="1436"/>
    </row>
    <row r="1114" spans="1:8">
      <c r="A1114" s="1479"/>
      <c r="B1114" s="1479"/>
      <c r="D1114" s="1436"/>
      <c r="E1114" s="1436"/>
      <c r="F1114" s="1436"/>
      <c r="G1114" s="1436"/>
      <c r="H1114" s="1436"/>
    </row>
    <row r="1115" spans="1:8">
      <c r="A1115" s="1479"/>
      <c r="B1115" s="1479"/>
      <c r="D1115" s="1436"/>
      <c r="E1115" s="1436"/>
      <c r="F1115" s="1436"/>
      <c r="G1115" s="1436"/>
      <c r="H1115" s="1436"/>
    </row>
    <row r="1116" spans="1:8">
      <c r="A1116" s="1479"/>
      <c r="B1116" s="1479"/>
      <c r="D1116" s="1436"/>
      <c r="E1116" s="1436"/>
      <c r="F1116" s="1436"/>
      <c r="G1116" s="1436"/>
      <c r="H1116" s="1436"/>
    </row>
    <row r="1117" spans="1:8">
      <c r="A1117" s="1479"/>
      <c r="B1117" s="1479"/>
      <c r="D1117" s="1436"/>
      <c r="E1117" s="1436"/>
      <c r="F1117" s="1436"/>
      <c r="G1117" s="1436"/>
      <c r="H1117" s="1436"/>
    </row>
    <row r="1118" spans="1:8">
      <c r="A1118" s="1479"/>
      <c r="B1118" s="1479"/>
      <c r="D1118" s="1436"/>
      <c r="E1118" s="1436"/>
      <c r="F1118" s="1436"/>
      <c r="G1118" s="1436"/>
      <c r="H1118" s="1436"/>
    </row>
    <row r="1119" spans="1:8">
      <c r="A1119" s="1479"/>
      <c r="B1119" s="1479"/>
      <c r="D1119" s="1436"/>
      <c r="E1119" s="1436"/>
      <c r="F1119" s="1436"/>
      <c r="G1119" s="1436"/>
      <c r="H1119" s="1436"/>
    </row>
    <row r="1120" spans="1:8">
      <c r="A1120" s="1479"/>
      <c r="B1120" s="1479"/>
      <c r="D1120" s="1436"/>
      <c r="E1120" s="1436"/>
      <c r="F1120" s="1436"/>
      <c r="G1120" s="1436"/>
      <c r="H1120" s="1436"/>
    </row>
    <row r="1121" spans="1:8">
      <c r="A1121" s="1479"/>
      <c r="B1121" s="1479"/>
      <c r="D1121" s="1436"/>
      <c r="E1121" s="1436"/>
      <c r="F1121" s="1436"/>
      <c r="G1121" s="1436"/>
      <c r="H1121" s="1436"/>
    </row>
    <row r="1122" spans="1:8">
      <c r="A1122" s="1479"/>
      <c r="B1122" s="1479"/>
      <c r="D1122" s="1436"/>
      <c r="E1122" s="1436"/>
      <c r="F1122" s="1436"/>
      <c r="G1122" s="1436"/>
      <c r="H1122" s="1436"/>
    </row>
    <row r="1123" spans="1:8">
      <c r="A1123" s="1479"/>
      <c r="B1123" s="1479"/>
      <c r="D1123" s="1436"/>
      <c r="E1123" s="1436"/>
      <c r="F1123" s="1436"/>
      <c r="G1123" s="1436"/>
      <c r="H1123" s="1436"/>
    </row>
    <row r="1124" spans="1:8">
      <c r="A1124" s="1479"/>
      <c r="B1124" s="1479"/>
      <c r="D1124" s="1436"/>
      <c r="E1124" s="1436"/>
      <c r="F1124" s="1436"/>
      <c r="G1124" s="1436"/>
      <c r="H1124" s="1436"/>
    </row>
    <row r="1125" spans="1:8">
      <c r="A1125" s="1479"/>
      <c r="B1125" s="1479"/>
      <c r="D1125" s="1436"/>
      <c r="E1125" s="1436"/>
      <c r="F1125" s="1436"/>
      <c r="G1125" s="1436"/>
      <c r="H1125" s="1436"/>
    </row>
    <row r="1126" spans="1:8">
      <c r="A1126" s="1479"/>
      <c r="B1126" s="1479"/>
      <c r="D1126" s="1436"/>
      <c r="E1126" s="1436"/>
      <c r="F1126" s="1436"/>
      <c r="G1126" s="1436"/>
      <c r="H1126" s="1436"/>
    </row>
    <row r="1127" spans="1:8">
      <c r="A1127" s="1479"/>
      <c r="B1127" s="1479"/>
      <c r="D1127" s="1436"/>
      <c r="E1127" s="1436"/>
      <c r="F1127" s="1436"/>
      <c r="G1127" s="1436"/>
      <c r="H1127" s="1436"/>
    </row>
    <row r="1128" spans="1:8">
      <c r="A1128" s="1479"/>
      <c r="B1128" s="1479"/>
      <c r="D1128" s="1436"/>
      <c r="E1128" s="1436"/>
      <c r="F1128" s="1436"/>
      <c r="G1128" s="1436"/>
      <c r="H1128" s="1436"/>
    </row>
    <row r="1129" spans="1:8">
      <c r="A1129" s="1479"/>
      <c r="B1129" s="1479"/>
      <c r="D1129" s="1436"/>
      <c r="E1129" s="1436"/>
      <c r="F1129" s="1436"/>
      <c r="G1129" s="1436"/>
      <c r="H1129" s="1436"/>
    </row>
    <row r="1130" spans="1:8">
      <c r="A1130" s="1479"/>
      <c r="B1130" s="1479"/>
      <c r="D1130" s="1436"/>
      <c r="E1130" s="1436"/>
      <c r="F1130" s="1436"/>
      <c r="G1130" s="1436"/>
      <c r="H1130" s="1436"/>
    </row>
    <row r="1131" spans="1:8">
      <c r="A1131" s="1479"/>
      <c r="B1131" s="1479"/>
      <c r="D1131" s="1436"/>
      <c r="E1131" s="1436"/>
      <c r="F1131" s="1436"/>
      <c r="G1131" s="1436"/>
      <c r="H1131" s="1436"/>
    </row>
    <row r="1132" spans="1:8">
      <c r="A1132" s="1479"/>
      <c r="B1132" s="1479"/>
      <c r="D1132" s="1436"/>
      <c r="E1132" s="1436"/>
      <c r="F1132" s="1436"/>
      <c r="G1132" s="1436"/>
      <c r="H1132" s="1436"/>
    </row>
    <row r="1133" spans="1:8">
      <c r="A1133" s="1479"/>
      <c r="B1133" s="1479"/>
      <c r="D1133" s="1436"/>
      <c r="E1133" s="1436"/>
      <c r="F1133" s="1436"/>
      <c r="G1133" s="1436"/>
      <c r="H1133" s="1436"/>
    </row>
    <row r="1134" spans="1:8">
      <c r="A1134" s="1479"/>
      <c r="B1134" s="1479"/>
      <c r="D1134" s="1436"/>
      <c r="E1134" s="1436"/>
      <c r="F1134" s="1436"/>
      <c r="G1134" s="1436"/>
      <c r="H1134" s="1436"/>
    </row>
    <row r="1135" spans="1:8">
      <c r="A1135" s="1479"/>
      <c r="B1135" s="1479"/>
      <c r="D1135" s="1436"/>
      <c r="E1135" s="1436"/>
      <c r="F1135" s="1436"/>
      <c r="G1135" s="1436"/>
      <c r="H1135" s="1436"/>
    </row>
    <row r="1136" spans="1:8">
      <c r="A1136" s="1479"/>
      <c r="B1136" s="1479"/>
      <c r="D1136" s="1436"/>
      <c r="E1136" s="1436"/>
      <c r="F1136" s="1436"/>
      <c r="G1136" s="1436"/>
      <c r="H1136" s="1436"/>
    </row>
    <row r="1137" spans="1:8">
      <c r="A1137" s="1479"/>
      <c r="B1137" s="1479"/>
      <c r="D1137" s="1436"/>
      <c r="E1137" s="1436"/>
      <c r="F1137" s="1436"/>
      <c r="G1137" s="1436"/>
      <c r="H1137" s="1436"/>
    </row>
    <row r="1138" spans="1:8">
      <c r="A1138" s="1479"/>
      <c r="B1138" s="1479"/>
      <c r="D1138" s="1436"/>
      <c r="E1138" s="1436"/>
      <c r="F1138" s="1436"/>
      <c r="G1138" s="1436"/>
      <c r="H1138" s="1436"/>
    </row>
    <row r="1139" spans="1:8">
      <c r="A1139" s="1479"/>
      <c r="B1139" s="1479"/>
      <c r="D1139" s="1436"/>
      <c r="E1139" s="1436"/>
      <c r="F1139" s="1436"/>
      <c r="G1139" s="1436"/>
      <c r="H1139" s="1436"/>
    </row>
    <row r="1140" spans="1:8">
      <c r="A1140" s="1479"/>
      <c r="B1140" s="1479"/>
      <c r="D1140" s="1436"/>
      <c r="E1140" s="1436"/>
      <c r="F1140" s="1436"/>
      <c r="G1140" s="1436"/>
      <c r="H1140" s="1436"/>
    </row>
    <row r="1141" spans="1:8">
      <c r="A1141" s="1479"/>
      <c r="B1141" s="1479"/>
      <c r="D1141" s="1436"/>
      <c r="E1141" s="1436"/>
      <c r="F1141" s="1436"/>
      <c r="G1141" s="1436"/>
      <c r="H1141" s="1436"/>
    </row>
    <row r="1142" spans="1:8">
      <c r="A1142" s="1479"/>
      <c r="B1142" s="1479"/>
      <c r="D1142" s="1436"/>
      <c r="E1142" s="1436"/>
      <c r="F1142" s="1436"/>
      <c r="G1142" s="1436"/>
      <c r="H1142" s="1436"/>
    </row>
    <row r="1143" spans="1:8">
      <c r="A1143" s="1479"/>
      <c r="B1143" s="1479"/>
      <c r="D1143" s="1436"/>
      <c r="E1143" s="1436"/>
      <c r="F1143" s="1436"/>
      <c r="G1143" s="1436"/>
      <c r="H1143" s="1436"/>
    </row>
    <row r="1144" spans="1:8">
      <c r="A1144" s="1479"/>
      <c r="B1144" s="1479"/>
      <c r="D1144" s="1436"/>
      <c r="E1144" s="1436"/>
      <c r="F1144" s="1436"/>
      <c r="G1144" s="1436"/>
      <c r="H1144" s="1436"/>
    </row>
    <row r="1145" spans="1:8">
      <c r="A1145" s="1479"/>
      <c r="B1145" s="1479"/>
      <c r="D1145" s="1436"/>
      <c r="E1145" s="1436"/>
      <c r="F1145" s="1436"/>
      <c r="G1145" s="1436"/>
      <c r="H1145" s="1436"/>
    </row>
    <row r="1146" spans="1:8">
      <c r="A1146" s="1479"/>
      <c r="B1146" s="1479"/>
      <c r="D1146" s="1436"/>
      <c r="E1146" s="1436"/>
      <c r="F1146" s="1436"/>
      <c r="G1146" s="1436"/>
      <c r="H1146" s="1436"/>
    </row>
    <row r="1147" spans="1:8">
      <c r="A1147" s="1479"/>
      <c r="B1147" s="1479"/>
      <c r="D1147" s="1436"/>
      <c r="E1147" s="1436"/>
      <c r="F1147" s="1436"/>
      <c r="G1147" s="1436"/>
      <c r="H1147" s="1436"/>
    </row>
    <row r="1148" spans="1:8">
      <c r="A1148" s="1479"/>
      <c r="B1148" s="1479"/>
      <c r="D1148" s="1436"/>
      <c r="E1148" s="1436"/>
      <c r="F1148" s="1436"/>
      <c r="G1148" s="1436"/>
      <c r="H1148" s="1436"/>
    </row>
    <row r="1149" spans="1:8">
      <c r="A1149" s="1479"/>
      <c r="B1149" s="1479"/>
      <c r="D1149" s="1436"/>
      <c r="E1149" s="1436"/>
      <c r="F1149" s="1436"/>
      <c r="G1149" s="1436"/>
      <c r="H1149" s="1436"/>
    </row>
    <row r="1150" spans="1:8">
      <c r="A1150" s="1479"/>
      <c r="B1150" s="1479"/>
      <c r="D1150" s="1436"/>
      <c r="E1150" s="1436"/>
      <c r="F1150" s="1436"/>
      <c r="G1150" s="1436"/>
      <c r="H1150" s="1436"/>
    </row>
    <row r="1151" spans="1:8">
      <c r="A1151" s="1479"/>
      <c r="B1151" s="1479"/>
      <c r="D1151" s="1436"/>
      <c r="E1151" s="1436"/>
      <c r="F1151" s="1436"/>
      <c r="G1151" s="1436"/>
      <c r="H1151" s="1436"/>
    </row>
    <row r="1152" spans="1:8">
      <c r="A1152" s="1479"/>
      <c r="B1152" s="1479"/>
      <c r="D1152" s="1436"/>
      <c r="E1152" s="1436"/>
      <c r="F1152" s="1436"/>
      <c r="G1152" s="1436"/>
      <c r="H1152" s="1436"/>
    </row>
    <row r="1153" spans="1:8">
      <c r="A1153" s="1479"/>
      <c r="B1153" s="1479"/>
      <c r="D1153" s="1436"/>
      <c r="E1153" s="1436"/>
      <c r="F1153" s="1436"/>
      <c r="G1153" s="1436"/>
      <c r="H1153" s="1436"/>
    </row>
    <row r="1154" spans="1:8">
      <c r="A1154" s="1479"/>
      <c r="B1154" s="1479"/>
      <c r="D1154" s="1436"/>
      <c r="E1154" s="1436"/>
      <c r="F1154" s="1436"/>
      <c r="G1154" s="1436"/>
      <c r="H1154" s="1436"/>
    </row>
    <row r="1155" spans="1:8">
      <c r="A1155" s="1479"/>
      <c r="B1155" s="1479"/>
      <c r="D1155" s="1436"/>
      <c r="E1155" s="1436"/>
      <c r="F1155" s="1436"/>
      <c r="G1155" s="1436"/>
      <c r="H1155" s="1436"/>
    </row>
    <row r="1156" spans="1:8">
      <c r="A1156" s="1479"/>
      <c r="B1156" s="1479"/>
      <c r="D1156" s="1436"/>
      <c r="E1156" s="1436"/>
      <c r="F1156" s="1436"/>
      <c r="G1156" s="1436"/>
      <c r="H1156" s="1436"/>
    </row>
    <row r="1157" spans="1:8">
      <c r="A1157" s="1479"/>
      <c r="B1157" s="1479"/>
      <c r="D1157" s="1436"/>
      <c r="E1157" s="1436"/>
      <c r="F1157" s="1436"/>
      <c r="G1157" s="1436"/>
      <c r="H1157" s="1436"/>
    </row>
    <row r="1158" spans="1:8">
      <c r="A1158" s="1479"/>
      <c r="B1158" s="1479"/>
      <c r="D1158" s="1436"/>
      <c r="E1158" s="1436"/>
      <c r="F1158" s="1436"/>
      <c r="G1158" s="1436"/>
      <c r="H1158" s="1436"/>
    </row>
    <row r="1159" spans="1:8">
      <c r="A1159" s="1479"/>
      <c r="B1159" s="1479"/>
      <c r="D1159" s="1436"/>
      <c r="E1159" s="1436"/>
      <c r="F1159" s="1436"/>
      <c r="G1159" s="1436"/>
      <c r="H1159" s="1436"/>
    </row>
    <row r="1160" spans="1:8">
      <c r="A1160" s="1479"/>
      <c r="B1160" s="1479"/>
      <c r="D1160" s="1436"/>
      <c r="E1160" s="1436"/>
      <c r="F1160" s="1436"/>
      <c r="G1160" s="1436"/>
      <c r="H1160" s="1436"/>
    </row>
    <row r="1161" spans="1:8">
      <c r="A1161" s="1479"/>
      <c r="B1161" s="1479"/>
      <c r="D1161" s="1436"/>
      <c r="E1161" s="1436"/>
      <c r="F1161" s="1436"/>
      <c r="G1161" s="1436"/>
      <c r="H1161" s="1436"/>
    </row>
    <row r="1162" spans="1:8">
      <c r="A1162" s="1479"/>
      <c r="B1162" s="1479"/>
      <c r="D1162" s="1436"/>
      <c r="E1162" s="1436"/>
      <c r="F1162" s="1436"/>
      <c r="G1162" s="1436"/>
      <c r="H1162" s="1436"/>
    </row>
    <row r="1163" spans="1:8">
      <c r="A1163" s="1479"/>
      <c r="B1163" s="1479"/>
      <c r="D1163" s="1436"/>
      <c r="E1163" s="1436"/>
      <c r="F1163" s="1436"/>
      <c r="G1163" s="1436"/>
      <c r="H1163" s="1436"/>
    </row>
    <row r="1164" spans="1:8">
      <c r="A1164" s="1479"/>
      <c r="B1164" s="1479"/>
      <c r="D1164" s="1436"/>
      <c r="E1164" s="1436"/>
      <c r="F1164" s="1436"/>
      <c r="G1164" s="1436"/>
      <c r="H1164" s="1436"/>
    </row>
    <row r="1165" spans="1:8">
      <c r="A1165" s="1479"/>
      <c r="B1165" s="1479"/>
      <c r="D1165" s="1436"/>
      <c r="E1165" s="1436"/>
      <c r="F1165" s="1436"/>
      <c r="G1165" s="1436"/>
      <c r="H1165" s="1436"/>
    </row>
    <row r="1166" spans="1:8">
      <c r="A1166" s="1479"/>
      <c r="B1166" s="1479"/>
      <c r="D1166" s="1436"/>
      <c r="E1166" s="1436"/>
      <c r="F1166" s="1436"/>
      <c r="G1166" s="1436"/>
      <c r="H1166" s="1436"/>
    </row>
    <row r="1167" spans="1:8">
      <c r="A1167" s="1479"/>
      <c r="B1167" s="1479"/>
      <c r="D1167" s="1436"/>
      <c r="E1167" s="1436"/>
      <c r="F1167" s="1436"/>
      <c r="G1167" s="1436"/>
      <c r="H1167" s="1436"/>
    </row>
    <row r="1168" spans="1:8">
      <c r="A1168" s="1479"/>
      <c r="B1168" s="1479"/>
      <c r="D1168" s="1436"/>
      <c r="E1168" s="1436"/>
      <c r="F1168" s="1436"/>
      <c r="G1168" s="1436"/>
      <c r="H1168" s="1436"/>
    </row>
    <row r="1169" spans="1:8">
      <c r="A1169" s="1479"/>
      <c r="B1169" s="1479"/>
      <c r="D1169" s="1436"/>
      <c r="E1169" s="1436"/>
      <c r="F1169" s="1436"/>
      <c r="G1169" s="1436"/>
      <c r="H1169" s="1436"/>
    </row>
    <row r="1170" spans="1:8">
      <c r="A1170" s="1479"/>
      <c r="B1170" s="1479"/>
      <c r="D1170" s="1436"/>
      <c r="E1170" s="1436"/>
      <c r="F1170" s="1436"/>
      <c r="G1170" s="1436"/>
      <c r="H1170" s="1436"/>
    </row>
    <row r="1171" spans="1:8">
      <c r="A1171" s="1479"/>
      <c r="B1171" s="1479"/>
      <c r="D1171" s="1436"/>
      <c r="E1171" s="1436"/>
      <c r="F1171" s="1436"/>
      <c r="G1171" s="1436"/>
      <c r="H1171" s="1436"/>
    </row>
    <row r="1172" spans="1:8">
      <c r="A1172" s="1479"/>
      <c r="B1172" s="1479"/>
      <c r="D1172" s="1436"/>
      <c r="E1172" s="1436"/>
      <c r="F1172" s="1436"/>
      <c r="G1172" s="1436"/>
      <c r="H1172" s="1436"/>
    </row>
    <row r="1173" spans="1:8">
      <c r="A1173" s="1479"/>
      <c r="B1173" s="1479"/>
      <c r="D1173" s="1436"/>
      <c r="E1173" s="1436"/>
      <c r="F1173" s="1436"/>
      <c r="G1173" s="1436"/>
      <c r="H1173" s="1436"/>
    </row>
    <row r="1174" spans="1:8">
      <c r="A1174" s="1479"/>
      <c r="B1174" s="1479"/>
      <c r="D1174" s="1436"/>
      <c r="E1174" s="1436"/>
      <c r="F1174" s="1436"/>
      <c r="G1174" s="1436"/>
      <c r="H1174" s="1436"/>
    </row>
    <row r="1175" spans="1:8">
      <c r="A1175" s="1479"/>
      <c r="B1175" s="1479"/>
      <c r="D1175" s="1436"/>
      <c r="E1175" s="1436"/>
      <c r="F1175" s="1436"/>
      <c r="G1175" s="1436"/>
      <c r="H1175" s="1436"/>
    </row>
    <row r="1176" spans="1:8">
      <c r="A1176" s="1479"/>
      <c r="B1176" s="1479"/>
      <c r="D1176" s="1436"/>
      <c r="E1176" s="1436"/>
      <c r="F1176" s="1436"/>
      <c r="G1176" s="1436"/>
      <c r="H1176" s="1436"/>
    </row>
    <row r="1177" spans="1:8">
      <c r="A1177" s="1479"/>
      <c r="B1177" s="1479"/>
      <c r="D1177" s="1436"/>
      <c r="E1177" s="1436"/>
      <c r="F1177" s="1436"/>
      <c r="G1177" s="1436"/>
      <c r="H1177" s="1436"/>
    </row>
    <row r="1178" spans="1:8">
      <c r="A1178" s="1479"/>
      <c r="B1178" s="1479"/>
      <c r="D1178" s="1436"/>
      <c r="E1178" s="1436"/>
      <c r="F1178" s="1436"/>
      <c r="G1178" s="1436"/>
      <c r="H1178" s="1436"/>
    </row>
    <row r="1179" spans="1:8">
      <c r="A1179" s="1479"/>
      <c r="B1179" s="1479"/>
      <c r="D1179" s="1436"/>
      <c r="E1179" s="1436"/>
      <c r="F1179" s="1436"/>
      <c r="G1179" s="1436"/>
      <c r="H1179" s="1436"/>
    </row>
    <row r="1180" spans="1:8">
      <c r="A1180" s="1479"/>
      <c r="B1180" s="1479"/>
      <c r="D1180" s="1436"/>
      <c r="E1180" s="1436"/>
      <c r="F1180" s="1436"/>
      <c r="G1180" s="1436"/>
      <c r="H1180" s="1436"/>
    </row>
    <row r="1181" spans="1:8">
      <c r="A1181" s="1479"/>
      <c r="B1181" s="1479"/>
      <c r="D1181" s="1436"/>
      <c r="E1181" s="1436"/>
      <c r="F1181" s="1436"/>
      <c r="G1181" s="1436"/>
      <c r="H1181" s="1436"/>
    </row>
    <row r="1182" spans="1:8">
      <c r="A1182" s="1479"/>
      <c r="B1182" s="1479"/>
      <c r="D1182" s="1436"/>
      <c r="E1182" s="1436"/>
      <c r="F1182" s="1436"/>
      <c r="G1182" s="1436"/>
      <c r="H1182" s="1436"/>
    </row>
    <row r="1183" spans="1:8">
      <c r="A1183" s="1479"/>
      <c r="B1183" s="1479"/>
      <c r="D1183" s="1436"/>
      <c r="E1183" s="1436"/>
      <c r="F1183" s="1436"/>
      <c r="G1183" s="1436"/>
      <c r="H1183" s="1436"/>
    </row>
    <row r="1184" spans="1:8">
      <c r="A1184" s="1479"/>
      <c r="B1184" s="1479"/>
      <c r="D1184" s="1436"/>
      <c r="E1184" s="1436"/>
      <c r="F1184" s="1436"/>
      <c r="G1184" s="1436"/>
      <c r="H1184" s="1436"/>
    </row>
    <row r="1185" spans="1:8">
      <c r="A1185" s="1479"/>
      <c r="B1185" s="1479"/>
      <c r="D1185" s="1436"/>
      <c r="E1185" s="1436"/>
      <c r="F1185" s="1436"/>
      <c r="G1185" s="1436"/>
      <c r="H1185" s="1436"/>
    </row>
    <row r="1186" spans="1:8">
      <c r="A1186" s="1479"/>
      <c r="B1186" s="1479"/>
      <c r="D1186" s="1436"/>
      <c r="E1186" s="1436"/>
      <c r="F1186" s="1436"/>
      <c r="G1186" s="1436"/>
      <c r="H1186" s="1436"/>
    </row>
    <row r="1187" spans="1:8">
      <c r="A1187" s="1479"/>
      <c r="B1187" s="1479"/>
      <c r="D1187" s="1436"/>
      <c r="E1187" s="1436"/>
      <c r="F1187" s="1436"/>
      <c r="G1187" s="1436"/>
      <c r="H1187" s="1436"/>
    </row>
    <row r="1188" spans="1:8">
      <c r="A1188" s="1479"/>
      <c r="B1188" s="1479"/>
      <c r="D1188" s="1436"/>
      <c r="E1188" s="1436"/>
      <c r="F1188" s="1436"/>
      <c r="G1188" s="1436"/>
      <c r="H1188" s="1436"/>
    </row>
    <row r="1189" spans="1:8">
      <c r="A1189" s="1479"/>
      <c r="B1189" s="1479"/>
      <c r="D1189" s="1436"/>
      <c r="E1189" s="1436"/>
      <c r="F1189" s="1436"/>
      <c r="G1189" s="1436"/>
      <c r="H1189" s="1436"/>
    </row>
    <row r="1190" spans="1:8">
      <c r="A1190" s="1479"/>
      <c r="B1190" s="1479"/>
      <c r="D1190" s="1436"/>
      <c r="E1190" s="1436"/>
      <c r="F1190" s="1436"/>
      <c r="G1190" s="1436"/>
      <c r="H1190" s="1436"/>
    </row>
    <row r="1191" spans="1:8">
      <c r="A1191" s="1479"/>
      <c r="B1191" s="1479"/>
      <c r="D1191" s="1436"/>
      <c r="E1191" s="1436"/>
      <c r="F1191" s="1436"/>
      <c r="G1191" s="1436"/>
      <c r="H1191" s="1436"/>
    </row>
    <row r="1192" spans="1:8">
      <c r="A1192" s="1479"/>
      <c r="B1192" s="1479"/>
      <c r="D1192" s="1436"/>
      <c r="E1192" s="1436"/>
      <c r="F1192" s="1436"/>
      <c r="G1192" s="1436"/>
      <c r="H1192" s="1436"/>
    </row>
    <row r="1193" spans="1:8">
      <c r="A1193" s="1479"/>
      <c r="B1193" s="1479"/>
      <c r="D1193" s="1436"/>
      <c r="E1193" s="1436"/>
      <c r="F1193" s="1436"/>
      <c r="G1193" s="1436"/>
      <c r="H1193" s="1436"/>
    </row>
    <row r="1194" spans="1:8">
      <c r="A1194" s="1479"/>
      <c r="B1194" s="1479"/>
      <c r="D1194" s="1436"/>
      <c r="E1194" s="1436"/>
      <c r="F1194" s="1436"/>
      <c r="G1194" s="1436"/>
      <c r="H1194" s="1436"/>
    </row>
    <row r="1195" spans="1:8">
      <c r="A1195" s="1479"/>
      <c r="B1195" s="1479"/>
      <c r="D1195" s="1436"/>
      <c r="E1195" s="1436"/>
      <c r="F1195" s="1436"/>
      <c r="G1195" s="1436"/>
      <c r="H1195" s="1436"/>
    </row>
    <row r="1196" spans="1:8">
      <c r="A1196" s="1479"/>
      <c r="B1196" s="1479"/>
      <c r="D1196" s="1436"/>
      <c r="E1196" s="1436"/>
      <c r="F1196" s="1436"/>
      <c r="G1196" s="1436"/>
      <c r="H1196" s="1436"/>
    </row>
    <row r="1197" spans="1:8">
      <c r="A1197" s="1479"/>
      <c r="B1197" s="1479"/>
      <c r="D1197" s="1436"/>
      <c r="E1197" s="1436"/>
      <c r="F1197" s="1436"/>
      <c r="G1197" s="1436"/>
      <c r="H1197" s="1436"/>
    </row>
    <row r="1198" spans="1:8">
      <c r="A1198" s="1479"/>
      <c r="B1198" s="1479"/>
      <c r="D1198" s="1436"/>
      <c r="E1198" s="1436"/>
      <c r="F1198" s="1436"/>
      <c r="G1198" s="1436"/>
      <c r="H1198" s="1436"/>
    </row>
    <row r="1199" spans="1:8">
      <c r="A1199" s="1479"/>
      <c r="B1199" s="1479"/>
      <c r="D1199" s="1436"/>
      <c r="E1199" s="1436"/>
      <c r="F1199" s="1436"/>
      <c r="G1199" s="1436"/>
      <c r="H1199" s="1436"/>
    </row>
    <row r="1200" spans="1:8">
      <c r="A1200" s="1479"/>
      <c r="B1200" s="1479"/>
      <c r="D1200" s="1436"/>
      <c r="E1200" s="1436"/>
      <c r="F1200" s="1436"/>
      <c r="G1200" s="1436"/>
      <c r="H1200" s="1436"/>
    </row>
    <row r="1201" spans="1:8">
      <c r="A1201" s="1479"/>
      <c r="B1201" s="1479"/>
      <c r="D1201" s="1436"/>
      <c r="E1201" s="1436"/>
      <c r="F1201" s="1436"/>
      <c r="G1201" s="1436"/>
      <c r="H1201" s="1436"/>
    </row>
    <row r="1202" spans="1:8">
      <c r="A1202" s="1479"/>
      <c r="B1202" s="1479"/>
      <c r="D1202" s="1436"/>
      <c r="E1202" s="1436"/>
      <c r="F1202" s="1436"/>
      <c r="G1202" s="1436"/>
      <c r="H1202" s="1436"/>
    </row>
    <row r="1203" spans="1:8">
      <c r="A1203" s="1479"/>
      <c r="B1203" s="1479"/>
      <c r="D1203" s="1436"/>
      <c r="E1203" s="1436"/>
      <c r="F1203" s="1436"/>
      <c r="G1203" s="1436"/>
      <c r="H1203" s="1436"/>
    </row>
    <row r="1204" spans="1:8">
      <c r="A1204" s="1479"/>
      <c r="B1204" s="1479"/>
      <c r="D1204" s="1436"/>
      <c r="E1204" s="1436"/>
      <c r="F1204" s="1436"/>
      <c r="G1204" s="1436"/>
      <c r="H1204" s="1436"/>
    </row>
    <row r="1205" spans="1:8">
      <c r="A1205" s="1479"/>
      <c r="B1205" s="1479"/>
      <c r="D1205" s="1436"/>
      <c r="E1205" s="1436"/>
      <c r="F1205" s="1436"/>
      <c r="G1205" s="1436"/>
      <c r="H1205" s="1436"/>
    </row>
    <row r="1206" spans="1:8">
      <c r="A1206" s="1479"/>
      <c r="B1206" s="1479"/>
      <c r="D1206" s="1436"/>
      <c r="E1206" s="1436"/>
      <c r="F1206" s="1436"/>
      <c r="G1206" s="1436"/>
      <c r="H1206" s="1436"/>
    </row>
    <row r="1207" spans="1:8">
      <c r="A1207" s="1479"/>
      <c r="B1207" s="1479"/>
      <c r="D1207" s="1436"/>
      <c r="E1207" s="1436"/>
      <c r="F1207" s="1436"/>
      <c r="G1207" s="1436"/>
      <c r="H1207" s="1436"/>
    </row>
    <row r="1208" spans="1:8">
      <c r="A1208" s="1479"/>
      <c r="B1208" s="1479"/>
      <c r="D1208" s="1436"/>
      <c r="E1208" s="1436"/>
      <c r="F1208" s="1436"/>
      <c r="G1208" s="1436"/>
      <c r="H1208" s="1436"/>
    </row>
    <row r="1209" spans="1:8">
      <c r="A1209" s="1479"/>
      <c r="B1209" s="1479"/>
      <c r="D1209" s="1436"/>
      <c r="E1209" s="1436"/>
      <c r="F1209" s="1436"/>
      <c r="G1209" s="1436"/>
      <c r="H1209" s="1436"/>
    </row>
    <row r="1210" spans="1:8">
      <c r="A1210" s="1479"/>
      <c r="B1210" s="1479"/>
      <c r="D1210" s="1436"/>
      <c r="E1210" s="1436"/>
      <c r="F1210" s="1436"/>
      <c r="G1210" s="1436"/>
      <c r="H1210" s="1436"/>
    </row>
    <row r="1211" spans="1:8">
      <c r="A1211" s="1479"/>
      <c r="B1211" s="1479"/>
      <c r="D1211" s="1436"/>
      <c r="E1211" s="1436"/>
      <c r="F1211" s="1436"/>
      <c r="G1211" s="1436"/>
      <c r="H1211" s="1436"/>
    </row>
    <row r="1212" spans="1:8">
      <c r="A1212" s="1479"/>
      <c r="B1212" s="1479"/>
      <c r="D1212" s="1436"/>
      <c r="E1212" s="1436"/>
      <c r="F1212" s="1436"/>
      <c r="G1212" s="1436"/>
      <c r="H1212" s="1436"/>
    </row>
    <row r="1213" spans="1:8">
      <c r="A1213" s="1479"/>
      <c r="B1213" s="1479"/>
      <c r="D1213" s="1436"/>
      <c r="E1213" s="1436"/>
      <c r="F1213" s="1436"/>
      <c r="G1213" s="1436"/>
      <c r="H1213" s="1436"/>
    </row>
    <row r="1214" spans="1:8">
      <c r="A1214" s="1479"/>
      <c r="B1214" s="1479"/>
      <c r="D1214" s="1436"/>
      <c r="E1214" s="1436"/>
      <c r="F1214" s="1436"/>
      <c r="G1214" s="1436"/>
      <c r="H1214" s="1436"/>
    </row>
    <row r="1215" spans="1:8">
      <c r="A1215" s="1479"/>
      <c r="B1215" s="1479"/>
      <c r="D1215" s="1436"/>
      <c r="E1215" s="1436"/>
      <c r="F1215" s="1436"/>
      <c r="G1215" s="1436"/>
      <c r="H1215" s="1436"/>
    </row>
    <row r="1216" spans="1:8">
      <c r="A1216" s="1479"/>
      <c r="B1216" s="1479"/>
      <c r="D1216" s="1436"/>
      <c r="E1216" s="1436"/>
      <c r="F1216" s="1436"/>
      <c r="G1216" s="1436"/>
      <c r="H1216" s="1436"/>
    </row>
    <row r="1217" spans="1:8">
      <c r="A1217" s="1479"/>
      <c r="B1217" s="1479"/>
      <c r="D1217" s="1436"/>
      <c r="E1217" s="1436"/>
      <c r="F1217" s="1436"/>
      <c r="G1217" s="1436"/>
      <c r="H1217" s="1436"/>
    </row>
    <row r="1218" spans="1:8">
      <c r="A1218" s="1479"/>
      <c r="B1218" s="1479"/>
      <c r="D1218" s="1436"/>
      <c r="E1218" s="1436"/>
      <c r="F1218" s="1436"/>
      <c r="G1218" s="1436"/>
      <c r="H1218" s="1436"/>
    </row>
    <row r="1219" spans="1:8">
      <c r="A1219" s="1479"/>
      <c r="B1219" s="1479"/>
      <c r="D1219" s="1436"/>
      <c r="E1219" s="1436"/>
      <c r="F1219" s="1436"/>
      <c r="G1219" s="1436"/>
      <c r="H1219" s="1436"/>
    </row>
    <row r="1220" spans="1:8">
      <c r="A1220" s="1479"/>
      <c r="B1220" s="1479"/>
      <c r="D1220" s="1436"/>
      <c r="E1220" s="1436"/>
      <c r="F1220" s="1436"/>
      <c r="G1220" s="1436"/>
      <c r="H1220" s="1436"/>
    </row>
    <row r="1221" spans="1:8">
      <c r="A1221" s="1479"/>
      <c r="B1221" s="1479"/>
      <c r="D1221" s="1436"/>
      <c r="E1221" s="1436"/>
      <c r="F1221" s="1436"/>
      <c r="G1221" s="1436"/>
      <c r="H1221" s="1436"/>
    </row>
    <row r="1222" spans="1:8">
      <c r="A1222" s="1479"/>
      <c r="B1222" s="1479"/>
      <c r="D1222" s="1436"/>
      <c r="E1222" s="1436"/>
      <c r="F1222" s="1436"/>
      <c r="G1222" s="1436"/>
      <c r="H1222" s="1436"/>
    </row>
    <row r="1223" spans="1:8">
      <c r="A1223" s="1479"/>
      <c r="B1223" s="1479"/>
      <c r="D1223" s="1436"/>
      <c r="E1223" s="1436"/>
      <c r="F1223" s="1436"/>
      <c r="G1223" s="1436"/>
      <c r="H1223" s="1436"/>
    </row>
    <row r="1224" spans="1:8">
      <c r="A1224" s="1479"/>
      <c r="B1224" s="1479"/>
      <c r="D1224" s="1436"/>
      <c r="E1224" s="1436"/>
      <c r="F1224" s="1436"/>
      <c r="G1224" s="1436"/>
      <c r="H1224" s="1436"/>
    </row>
    <row r="1225" spans="1:8">
      <c r="A1225" s="1479"/>
      <c r="B1225" s="1479"/>
      <c r="D1225" s="1436"/>
      <c r="E1225" s="1436"/>
      <c r="F1225" s="1436"/>
      <c r="G1225" s="1436"/>
      <c r="H1225" s="1436"/>
    </row>
    <row r="1226" spans="1:8">
      <c r="A1226" s="1479"/>
      <c r="B1226" s="1479"/>
      <c r="D1226" s="1436"/>
      <c r="E1226" s="1436"/>
      <c r="F1226" s="1436"/>
      <c r="G1226" s="1436"/>
      <c r="H1226" s="1436"/>
    </row>
    <row r="1227" spans="1:8">
      <c r="A1227" s="1479"/>
      <c r="B1227" s="1479"/>
      <c r="D1227" s="1436"/>
      <c r="E1227" s="1436"/>
      <c r="F1227" s="1436"/>
      <c r="G1227" s="1436"/>
      <c r="H1227" s="1436"/>
    </row>
    <row r="1228" spans="1:8">
      <c r="A1228" s="1479"/>
      <c r="B1228" s="1479"/>
      <c r="D1228" s="1436"/>
      <c r="E1228" s="1436"/>
      <c r="F1228" s="1436"/>
      <c r="G1228" s="1436"/>
      <c r="H1228" s="1436"/>
    </row>
    <row r="1229" spans="1:8">
      <c r="A1229" s="1479"/>
      <c r="B1229" s="1479"/>
      <c r="D1229" s="1436"/>
      <c r="E1229" s="1436"/>
      <c r="F1229" s="1436"/>
      <c r="G1229" s="1436"/>
      <c r="H1229" s="1436"/>
    </row>
    <row r="1230" spans="1:8">
      <c r="A1230" s="1479"/>
      <c r="B1230" s="1479"/>
      <c r="D1230" s="1436"/>
      <c r="E1230" s="1436"/>
      <c r="F1230" s="1436"/>
      <c r="G1230" s="1436"/>
      <c r="H1230" s="1436"/>
    </row>
    <row r="1231" spans="1:8">
      <c r="A1231" s="1479"/>
      <c r="B1231" s="1479"/>
      <c r="D1231" s="1436"/>
      <c r="E1231" s="1436"/>
      <c r="F1231" s="1436"/>
      <c r="G1231" s="1436"/>
      <c r="H1231" s="1436"/>
    </row>
    <row r="1232" spans="1:8">
      <c r="A1232" s="1479"/>
      <c r="B1232" s="1479"/>
      <c r="D1232" s="1436"/>
      <c r="E1232" s="1436"/>
      <c r="F1232" s="1436"/>
      <c r="G1232" s="1436"/>
      <c r="H1232" s="1436"/>
    </row>
    <row r="1233" spans="1:8">
      <c r="A1233" s="1479"/>
      <c r="B1233" s="1479"/>
      <c r="D1233" s="1436"/>
      <c r="E1233" s="1436"/>
      <c r="F1233" s="1436"/>
      <c r="G1233" s="1436"/>
      <c r="H1233" s="1436"/>
    </row>
    <row r="1234" spans="1:8">
      <c r="A1234" s="1479"/>
      <c r="B1234" s="1479"/>
      <c r="D1234" s="1436"/>
      <c r="E1234" s="1436"/>
      <c r="F1234" s="1436"/>
      <c r="G1234" s="1436"/>
      <c r="H1234" s="1436"/>
    </row>
    <row r="1235" spans="1:8">
      <c r="A1235" s="1479"/>
      <c r="B1235" s="1479"/>
      <c r="D1235" s="1436"/>
      <c r="E1235" s="1436"/>
      <c r="F1235" s="1436"/>
      <c r="G1235" s="1436"/>
      <c r="H1235" s="1436"/>
    </row>
    <row r="1236" spans="1:8">
      <c r="A1236" s="1479"/>
      <c r="B1236" s="1479"/>
      <c r="D1236" s="1436"/>
      <c r="E1236" s="1436"/>
      <c r="F1236" s="1436"/>
      <c r="G1236" s="1436"/>
      <c r="H1236" s="1436"/>
    </row>
    <row r="1237" spans="1:8">
      <c r="A1237" s="1479"/>
      <c r="B1237" s="1479"/>
      <c r="D1237" s="1436"/>
      <c r="E1237" s="1436"/>
      <c r="F1237" s="1436"/>
      <c r="G1237" s="1436"/>
      <c r="H1237" s="1436"/>
    </row>
    <row r="1238" spans="1:8">
      <c r="A1238" s="1479"/>
      <c r="B1238" s="1479"/>
      <c r="D1238" s="1436"/>
      <c r="E1238" s="1436"/>
      <c r="F1238" s="1436"/>
      <c r="G1238" s="1436"/>
      <c r="H1238" s="1436"/>
    </row>
    <row r="1239" spans="1:8">
      <c r="A1239" s="1479"/>
      <c r="B1239" s="1479"/>
      <c r="D1239" s="1436"/>
      <c r="E1239" s="1436"/>
      <c r="F1239" s="1436"/>
      <c r="G1239" s="1436"/>
      <c r="H1239" s="1436"/>
    </row>
    <row r="1240" spans="1:8">
      <c r="A1240" s="1479"/>
      <c r="B1240" s="1479"/>
      <c r="D1240" s="1436"/>
      <c r="E1240" s="1436"/>
      <c r="F1240" s="1436"/>
      <c r="G1240" s="1436"/>
      <c r="H1240" s="1436"/>
    </row>
    <row r="1241" spans="1:8">
      <c r="A1241" s="1479"/>
      <c r="B1241" s="1479"/>
      <c r="D1241" s="1436"/>
      <c r="E1241" s="1436"/>
      <c r="F1241" s="1436"/>
      <c r="G1241" s="1436"/>
      <c r="H1241" s="1436"/>
    </row>
    <row r="1242" spans="1:8">
      <c r="A1242" s="1479"/>
      <c r="B1242" s="1479"/>
      <c r="D1242" s="1436"/>
      <c r="E1242" s="1436"/>
      <c r="F1242" s="1436"/>
      <c r="G1242" s="1436"/>
      <c r="H1242" s="1436"/>
    </row>
    <row r="1243" spans="1:8">
      <c r="A1243" s="1479"/>
      <c r="B1243" s="1479"/>
      <c r="D1243" s="1436"/>
      <c r="E1243" s="1436"/>
      <c r="F1243" s="1436"/>
      <c r="G1243" s="1436"/>
      <c r="H1243" s="1436"/>
    </row>
    <row r="1244" spans="1:8">
      <c r="A1244" s="1479"/>
      <c r="B1244" s="1479"/>
      <c r="D1244" s="1436"/>
      <c r="E1244" s="1436"/>
      <c r="F1244" s="1436"/>
      <c r="G1244" s="1436"/>
      <c r="H1244" s="1436"/>
    </row>
    <row r="1245" spans="1:8">
      <c r="A1245" s="1479"/>
      <c r="B1245" s="1479"/>
      <c r="D1245" s="1436"/>
      <c r="E1245" s="1436"/>
      <c r="F1245" s="1436"/>
      <c r="G1245" s="1436"/>
      <c r="H1245" s="1436"/>
    </row>
    <row r="1246" spans="1:8">
      <c r="A1246" s="1479"/>
      <c r="B1246" s="1479"/>
      <c r="D1246" s="1436"/>
      <c r="E1246" s="1436"/>
      <c r="F1246" s="1436"/>
      <c r="G1246" s="1436"/>
      <c r="H1246" s="1436"/>
    </row>
    <row r="1247" spans="1:8">
      <c r="A1247" s="1479"/>
      <c r="B1247" s="1479"/>
      <c r="D1247" s="1436"/>
      <c r="E1247" s="1436"/>
      <c r="F1247" s="1436"/>
      <c r="G1247" s="1436"/>
      <c r="H1247" s="1436"/>
    </row>
    <row r="1248" spans="1:8">
      <c r="A1248" s="1479"/>
      <c r="B1248" s="1479"/>
      <c r="D1248" s="1436"/>
      <c r="E1248" s="1436"/>
      <c r="F1248" s="1436"/>
      <c r="G1248" s="1436"/>
      <c r="H1248" s="1436"/>
    </row>
    <row r="1249" spans="1:8">
      <c r="A1249" s="1479"/>
      <c r="B1249" s="1479"/>
      <c r="D1249" s="1436"/>
      <c r="E1249" s="1436"/>
      <c r="F1249" s="1436"/>
      <c r="G1249" s="1436"/>
      <c r="H1249" s="1436"/>
    </row>
    <row r="1250" spans="1:8">
      <c r="A1250" s="1479"/>
      <c r="B1250" s="1479"/>
      <c r="D1250" s="1436"/>
      <c r="E1250" s="1436"/>
      <c r="F1250" s="1436"/>
      <c r="G1250" s="1436"/>
      <c r="H1250" s="1436"/>
    </row>
    <row r="1251" spans="1:8">
      <c r="A1251" s="1479"/>
      <c r="B1251" s="1479"/>
      <c r="D1251" s="1436"/>
      <c r="E1251" s="1436"/>
      <c r="F1251" s="1436"/>
      <c r="G1251" s="1436"/>
      <c r="H1251" s="1436"/>
    </row>
    <row r="1252" spans="1:8">
      <c r="A1252" s="1479"/>
      <c r="B1252" s="1479"/>
      <c r="D1252" s="1436"/>
      <c r="E1252" s="1436"/>
      <c r="F1252" s="1436"/>
      <c r="G1252" s="1436"/>
      <c r="H1252" s="1436"/>
    </row>
    <row r="1253" spans="1:8">
      <c r="A1253" s="1479"/>
      <c r="B1253" s="1479"/>
      <c r="D1253" s="1436"/>
      <c r="E1253" s="1436"/>
      <c r="F1253" s="1436"/>
      <c r="G1253" s="1436"/>
      <c r="H1253" s="1436"/>
    </row>
    <row r="1254" spans="1:8">
      <c r="A1254" s="1479"/>
      <c r="B1254" s="1479"/>
      <c r="D1254" s="1436"/>
      <c r="E1254" s="1436"/>
      <c r="F1254" s="1436"/>
      <c r="G1254" s="1436"/>
      <c r="H1254" s="1436"/>
    </row>
    <row r="1255" spans="1:8">
      <c r="A1255" s="1479"/>
      <c r="B1255" s="1479"/>
      <c r="D1255" s="1436"/>
      <c r="E1255" s="1436"/>
      <c r="F1255" s="1436"/>
      <c r="G1255" s="1436"/>
      <c r="H1255" s="1436"/>
    </row>
    <row r="1256" spans="1:8">
      <c r="A1256" s="1479"/>
      <c r="B1256" s="1479"/>
      <c r="D1256" s="1436"/>
      <c r="E1256" s="1436"/>
      <c r="F1256" s="1436"/>
      <c r="G1256" s="1436"/>
      <c r="H1256" s="1436"/>
    </row>
    <row r="1257" spans="1:8">
      <c r="A1257" s="1479"/>
      <c r="B1257" s="1479"/>
      <c r="D1257" s="1436"/>
      <c r="E1257" s="1436"/>
      <c r="F1257" s="1436"/>
      <c r="G1257" s="1436"/>
      <c r="H1257" s="1436"/>
    </row>
    <row r="1258" spans="1:8">
      <c r="A1258" s="1479"/>
      <c r="B1258" s="1479"/>
      <c r="D1258" s="1436"/>
      <c r="E1258" s="1436"/>
      <c r="F1258" s="1436"/>
      <c r="G1258" s="1436"/>
      <c r="H1258" s="1436"/>
    </row>
    <row r="1259" spans="1:8">
      <c r="A1259" s="1479"/>
      <c r="B1259" s="1479"/>
      <c r="D1259" s="1436"/>
      <c r="E1259" s="1436"/>
      <c r="F1259" s="1436"/>
      <c r="G1259" s="1436"/>
      <c r="H1259" s="1436"/>
    </row>
    <row r="1260" spans="1:8">
      <c r="A1260" s="1479"/>
      <c r="B1260" s="1479"/>
      <c r="D1260" s="1436"/>
      <c r="E1260" s="1436"/>
      <c r="F1260" s="1436"/>
      <c r="G1260" s="1436"/>
      <c r="H1260" s="1436"/>
    </row>
    <row r="1261" spans="1:8">
      <c r="A1261" s="1479"/>
      <c r="B1261" s="1479"/>
      <c r="D1261" s="1436"/>
      <c r="E1261" s="1436"/>
      <c r="F1261" s="1436"/>
      <c r="G1261" s="1436"/>
      <c r="H1261" s="1436"/>
    </row>
    <row r="1262" spans="1:8">
      <c r="A1262" s="1479"/>
      <c r="B1262" s="1479"/>
      <c r="D1262" s="1436"/>
      <c r="E1262" s="1436"/>
      <c r="F1262" s="1436"/>
      <c r="G1262" s="1436"/>
      <c r="H1262" s="1436"/>
    </row>
    <row r="1263" spans="1:8">
      <c r="A1263" s="1479"/>
      <c r="B1263" s="1479"/>
      <c r="D1263" s="1436"/>
      <c r="E1263" s="1436"/>
      <c r="F1263" s="1436"/>
      <c r="G1263" s="1436"/>
      <c r="H1263" s="1436"/>
    </row>
    <row r="1264" spans="1:8">
      <c r="A1264" s="1479"/>
      <c r="B1264" s="1479"/>
      <c r="D1264" s="1436"/>
      <c r="E1264" s="1436"/>
      <c r="F1264" s="1436"/>
      <c r="G1264" s="1436"/>
      <c r="H1264" s="1436"/>
    </row>
    <row r="1265" spans="1:8">
      <c r="A1265" s="1479"/>
      <c r="B1265" s="1479"/>
      <c r="D1265" s="1436"/>
      <c r="E1265" s="1436"/>
      <c r="F1265" s="1436"/>
      <c r="G1265" s="1436"/>
      <c r="H1265" s="1436"/>
    </row>
    <row r="1266" spans="1:8">
      <c r="A1266" s="1479"/>
      <c r="B1266" s="1479"/>
      <c r="D1266" s="1436"/>
      <c r="E1266" s="1436"/>
      <c r="F1266" s="1436"/>
      <c r="G1266" s="1436"/>
      <c r="H1266" s="1436"/>
    </row>
    <row r="1267" spans="1:8">
      <c r="A1267" s="1479"/>
      <c r="B1267" s="1479"/>
      <c r="D1267" s="1436"/>
      <c r="E1267" s="1436"/>
      <c r="F1267" s="1436"/>
      <c r="G1267" s="1436"/>
      <c r="H1267" s="1436"/>
    </row>
    <row r="1268" spans="1:8">
      <c r="A1268" s="1479"/>
      <c r="B1268" s="1479"/>
      <c r="D1268" s="1436"/>
      <c r="E1268" s="1436"/>
      <c r="F1268" s="1436"/>
      <c r="G1268" s="1436"/>
      <c r="H1268" s="1436"/>
    </row>
    <row r="1269" spans="1:8">
      <c r="A1269" s="1479"/>
      <c r="B1269" s="1479"/>
      <c r="D1269" s="1436"/>
      <c r="E1269" s="1436"/>
      <c r="F1269" s="1436"/>
      <c r="G1269" s="1436"/>
      <c r="H1269" s="1436"/>
    </row>
    <row r="1270" spans="1:8">
      <c r="A1270" s="1479"/>
      <c r="B1270" s="1479"/>
      <c r="D1270" s="1436"/>
      <c r="E1270" s="1436"/>
      <c r="F1270" s="1436"/>
      <c r="G1270" s="1436"/>
      <c r="H1270" s="1436"/>
    </row>
    <row r="1271" spans="1:8">
      <c r="A1271" s="1479"/>
      <c r="B1271" s="1479"/>
      <c r="D1271" s="1436"/>
      <c r="E1271" s="1436"/>
      <c r="F1271" s="1436"/>
      <c r="G1271" s="1436"/>
      <c r="H1271" s="1436"/>
    </row>
    <row r="1272" spans="1:8">
      <c r="A1272" s="1479"/>
      <c r="B1272" s="1479"/>
      <c r="D1272" s="1436"/>
      <c r="E1272" s="1436"/>
      <c r="F1272" s="1436"/>
      <c r="G1272" s="1436"/>
      <c r="H1272" s="1436"/>
    </row>
    <row r="1273" spans="1:8">
      <c r="A1273" s="1479"/>
      <c r="B1273" s="1479"/>
      <c r="D1273" s="1436"/>
      <c r="E1273" s="1436"/>
      <c r="F1273" s="1436"/>
      <c r="G1273" s="1436"/>
      <c r="H1273" s="1436"/>
    </row>
    <row r="1274" spans="1:8">
      <c r="A1274" s="1479"/>
      <c r="B1274" s="1479"/>
      <c r="D1274" s="1436"/>
      <c r="E1274" s="1436"/>
      <c r="F1274" s="1436"/>
      <c r="G1274" s="1436"/>
      <c r="H1274" s="1436"/>
    </row>
    <row r="1275" spans="1:8">
      <c r="A1275" s="1479"/>
      <c r="B1275" s="1479"/>
      <c r="D1275" s="1436"/>
      <c r="E1275" s="1436"/>
      <c r="F1275" s="1436"/>
      <c r="G1275" s="1436"/>
      <c r="H1275" s="1436"/>
    </row>
    <row r="1276" spans="1:8">
      <c r="A1276" s="1479"/>
      <c r="B1276" s="1479"/>
      <c r="D1276" s="1436"/>
      <c r="E1276" s="1436"/>
      <c r="F1276" s="1436"/>
      <c r="G1276" s="1436"/>
      <c r="H1276" s="1436"/>
    </row>
    <row r="1277" spans="1:8">
      <c r="A1277" s="1479"/>
      <c r="B1277" s="1479"/>
      <c r="D1277" s="1436"/>
      <c r="E1277" s="1436"/>
      <c r="F1277" s="1436"/>
      <c r="G1277" s="1436"/>
      <c r="H1277" s="1436"/>
    </row>
    <row r="1278" spans="1:8">
      <c r="A1278" s="1479"/>
      <c r="B1278" s="1479"/>
      <c r="D1278" s="1436"/>
      <c r="E1278" s="1436"/>
      <c r="F1278" s="1436"/>
      <c r="G1278" s="1436"/>
      <c r="H1278" s="1436"/>
    </row>
    <row r="1279" spans="1:8">
      <c r="A1279" s="1479"/>
      <c r="B1279" s="1479"/>
      <c r="D1279" s="1436"/>
      <c r="E1279" s="1436"/>
      <c r="F1279" s="1436"/>
      <c r="G1279" s="1436"/>
      <c r="H1279" s="1436"/>
    </row>
    <row r="1280" spans="1:8">
      <c r="A1280" s="1479"/>
      <c r="B1280" s="1479"/>
      <c r="D1280" s="1436"/>
      <c r="E1280" s="1436"/>
      <c r="F1280" s="1436"/>
      <c r="G1280" s="1436"/>
      <c r="H1280" s="1436"/>
    </row>
    <row r="1281" spans="1:8">
      <c r="A1281" s="1479"/>
      <c r="B1281" s="1479"/>
      <c r="D1281" s="1436"/>
      <c r="E1281" s="1436"/>
      <c r="F1281" s="1436"/>
      <c r="G1281" s="1436"/>
      <c r="H1281" s="1436"/>
    </row>
    <row r="1282" spans="1:8">
      <c r="A1282" s="1479"/>
      <c r="B1282" s="1479"/>
      <c r="D1282" s="1436"/>
      <c r="E1282" s="1436"/>
      <c r="F1282" s="1436"/>
      <c r="G1282" s="1436"/>
      <c r="H1282" s="1436"/>
    </row>
    <row r="1283" spans="1:8">
      <c r="A1283" s="1479"/>
      <c r="B1283" s="1479"/>
      <c r="D1283" s="1436"/>
      <c r="E1283" s="1436"/>
      <c r="F1283" s="1436"/>
      <c r="G1283" s="1436"/>
      <c r="H1283" s="1436"/>
    </row>
    <row r="1284" spans="1:8">
      <c r="A1284" s="1479"/>
      <c r="B1284" s="1479"/>
      <c r="D1284" s="1436"/>
      <c r="E1284" s="1436"/>
      <c r="F1284" s="1436"/>
      <c r="G1284" s="1436"/>
      <c r="H1284" s="1436"/>
    </row>
    <row r="1285" spans="1:8">
      <c r="A1285" s="1479"/>
      <c r="B1285" s="1479"/>
      <c r="D1285" s="1436"/>
      <c r="E1285" s="1436"/>
      <c r="F1285" s="1436"/>
      <c r="G1285" s="1436"/>
      <c r="H1285" s="1436"/>
    </row>
    <row r="1286" spans="1:8">
      <c r="A1286" s="1479"/>
      <c r="B1286" s="1479"/>
      <c r="D1286" s="1436"/>
      <c r="E1286" s="1436"/>
      <c r="F1286" s="1436"/>
      <c r="G1286" s="1436"/>
      <c r="H1286" s="1436"/>
    </row>
    <row r="1287" spans="1:8">
      <c r="A1287" s="1479"/>
      <c r="B1287" s="1479"/>
      <c r="D1287" s="1436"/>
      <c r="E1287" s="1436"/>
      <c r="F1287" s="1436"/>
      <c r="G1287" s="1436"/>
      <c r="H1287" s="1436"/>
    </row>
    <row r="1288" spans="1:8">
      <c r="A1288" s="1479"/>
      <c r="B1288" s="1479"/>
      <c r="D1288" s="1436"/>
      <c r="E1288" s="1436"/>
      <c r="F1288" s="1436"/>
      <c r="G1288" s="1436"/>
      <c r="H1288" s="1436"/>
    </row>
    <row r="1289" spans="1:8">
      <c r="A1289" s="1479"/>
      <c r="B1289" s="1479"/>
      <c r="D1289" s="1436"/>
      <c r="E1289" s="1436"/>
      <c r="F1289" s="1436"/>
      <c r="G1289" s="1436"/>
      <c r="H1289" s="1436"/>
    </row>
    <row r="1290" spans="1:8">
      <c r="A1290" s="1479"/>
      <c r="B1290" s="1479"/>
      <c r="D1290" s="1436"/>
      <c r="E1290" s="1436"/>
      <c r="F1290" s="1436"/>
      <c r="G1290" s="1436"/>
      <c r="H1290" s="1436"/>
    </row>
    <row r="1291" spans="1:8">
      <c r="A1291" s="1479"/>
      <c r="B1291" s="1479"/>
      <c r="D1291" s="1436"/>
      <c r="E1291" s="1436"/>
      <c r="F1291" s="1436"/>
      <c r="G1291" s="1436"/>
      <c r="H1291" s="1436"/>
    </row>
    <row r="1292" spans="1:8">
      <c r="A1292" s="1479"/>
      <c r="B1292" s="1479"/>
      <c r="D1292" s="1436"/>
      <c r="E1292" s="1436"/>
      <c r="F1292" s="1436"/>
      <c r="G1292" s="1436"/>
      <c r="H1292" s="1436"/>
    </row>
    <row r="1293" spans="1:8">
      <c r="A1293" s="1479"/>
      <c r="B1293" s="1479"/>
      <c r="D1293" s="1436"/>
      <c r="E1293" s="1436"/>
      <c r="F1293" s="1436"/>
      <c r="G1293" s="1436"/>
      <c r="H1293" s="1436"/>
    </row>
    <row r="1294" spans="1:8">
      <c r="A1294" s="1479"/>
      <c r="B1294" s="1479"/>
      <c r="D1294" s="1436"/>
      <c r="E1294" s="1436"/>
      <c r="F1294" s="1436"/>
      <c r="G1294" s="1436"/>
      <c r="H1294" s="1436"/>
    </row>
    <row r="1295" spans="1:8">
      <c r="A1295" s="1479"/>
      <c r="B1295" s="1479"/>
      <c r="D1295" s="1436"/>
      <c r="E1295" s="1436"/>
      <c r="F1295" s="1436"/>
      <c r="G1295" s="1436"/>
      <c r="H1295" s="1436"/>
    </row>
    <row r="1296" spans="1:8">
      <c r="A1296" s="1479"/>
      <c r="B1296" s="1479"/>
      <c r="D1296" s="1436"/>
      <c r="E1296" s="1436"/>
      <c r="F1296" s="1436"/>
      <c r="G1296" s="1436"/>
      <c r="H1296" s="1436"/>
    </row>
    <row r="1297" spans="1:8">
      <c r="A1297" s="1479"/>
      <c r="B1297" s="1479"/>
      <c r="D1297" s="1436"/>
      <c r="E1297" s="1436"/>
      <c r="F1297" s="1436"/>
      <c r="G1297" s="1436"/>
      <c r="H1297" s="1436"/>
    </row>
    <row r="1298" spans="1:8">
      <c r="A1298" s="1479"/>
      <c r="B1298" s="1479"/>
      <c r="D1298" s="1436"/>
      <c r="E1298" s="1436"/>
      <c r="F1298" s="1436"/>
      <c r="G1298" s="1436"/>
      <c r="H1298" s="1436"/>
    </row>
    <row r="1299" spans="1:8">
      <c r="A1299" s="1479"/>
      <c r="B1299" s="1479"/>
      <c r="D1299" s="1436"/>
      <c r="E1299" s="1436"/>
      <c r="F1299" s="1436"/>
      <c r="G1299" s="1436"/>
      <c r="H1299" s="1436"/>
    </row>
    <row r="1300" spans="1:8">
      <c r="A1300" s="1479"/>
      <c r="B1300" s="1479"/>
      <c r="D1300" s="1436"/>
      <c r="E1300" s="1436"/>
      <c r="F1300" s="1436"/>
      <c r="G1300" s="1436"/>
      <c r="H1300" s="1436"/>
    </row>
    <row r="1301" spans="1:8">
      <c r="A1301" s="1479"/>
      <c r="B1301" s="1479"/>
      <c r="D1301" s="1436"/>
      <c r="E1301" s="1436"/>
      <c r="F1301" s="1436"/>
      <c r="G1301" s="1436"/>
      <c r="H1301" s="1436"/>
    </row>
    <row r="1302" spans="1:8">
      <c r="A1302" s="1479"/>
      <c r="B1302" s="1479"/>
      <c r="D1302" s="1436"/>
      <c r="E1302" s="1436"/>
      <c r="F1302" s="1436"/>
      <c r="G1302" s="1436"/>
      <c r="H1302" s="1436"/>
    </row>
    <row r="1303" spans="1:8">
      <c r="A1303" s="1479"/>
      <c r="B1303" s="1479"/>
      <c r="D1303" s="1436"/>
      <c r="E1303" s="1436"/>
      <c r="F1303" s="1436"/>
      <c r="G1303" s="1436"/>
      <c r="H1303" s="1436"/>
    </row>
    <row r="1304" spans="1:8">
      <c r="A1304" s="1479"/>
      <c r="B1304" s="1479"/>
      <c r="D1304" s="1436"/>
      <c r="E1304" s="1436"/>
      <c r="F1304" s="1436"/>
      <c r="G1304" s="1436"/>
      <c r="H1304" s="1436"/>
    </row>
    <row r="1305" spans="1:8">
      <c r="A1305" s="1479"/>
      <c r="B1305" s="1479"/>
      <c r="D1305" s="1436"/>
      <c r="E1305" s="1436"/>
      <c r="F1305" s="1436"/>
      <c r="G1305" s="1436"/>
      <c r="H1305" s="1436"/>
    </row>
    <row r="1306" spans="1:8">
      <c r="A1306" s="1479"/>
      <c r="B1306" s="1479"/>
      <c r="D1306" s="1436"/>
      <c r="E1306" s="1436"/>
      <c r="F1306" s="1436"/>
      <c r="G1306" s="1436"/>
      <c r="H1306" s="1436"/>
    </row>
    <row r="1307" spans="1:8">
      <c r="A1307" s="1479"/>
      <c r="B1307" s="1479"/>
      <c r="D1307" s="1436"/>
      <c r="E1307" s="1436"/>
      <c r="F1307" s="1436"/>
      <c r="G1307" s="1436"/>
      <c r="H1307" s="1436"/>
    </row>
    <row r="1308" spans="1:8">
      <c r="A1308" s="1479"/>
      <c r="B1308" s="1479"/>
      <c r="D1308" s="1436"/>
      <c r="E1308" s="1436"/>
      <c r="F1308" s="1436"/>
      <c r="G1308" s="1436"/>
      <c r="H1308" s="1436"/>
    </row>
    <row r="1309" spans="1:8">
      <c r="A1309" s="1479"/>
      <c r="B1309" s="1479"/>
      <c r="D1309" s="1436"/>
      <c r="E1309" s="1436"/>
      <c r="F1309" s="1436"/>
      <c r="G1309" s="1436"/>
      <c r="H1309" s="1436"/>
    </row>
    <row r="1310" spans="1:8">
      <c r="A1310" s="1479"/>
      <c r="B1310" s="1479"/>
      <c r="D1310" s="1436"/>
      <c r="E1310" s="1436"/>
      <c r="F1310" s="1436"/>
      <c r="G1310" s="1436"/>
      <c r="H1310" s="1436"/>
    </row>
    <row r="1311" spans="1:8">
      <c r="A1311" s="1479"/>
      <c r="B1311" s="1479"/>
    </row>
    <row r="1312" spans="1:8">
      <c r="A1312" s="1479"/>
      <c r="B1312" s="1479"/>
    </row>
    <row r="1313" spans="1:2">
      <c r="A1313" s="1479"/>
      <c r="B1313" s="1479"/>
    </row>
    <row r="1314" spans="1:2">
      <c r="A1314" s="1479"/>
      <c r="B1314" s="1479"/>
    </row>
    <row r="1315" spans="1:2">
      <c r="A1315" s="1479"/>
      <c r="B1315" s="1479"/>
    </row>
    <row r="1316" spans="1:2">
      <c r="A1316" s="1479"/>
      <c r="B1316" s="1479"/>
    </row>
    <row r="1317" spans="1:2">
      <c r="A1317" s="1479"/>
      <c r="B1317" s="1479"/>
    </row>
    <row r="1318" spans="1:2">
      <c r="A1318" s="1479"/>
      <c r="B1318" s="1479"/>
    </row>
    <row r="1319" spans="1:2">
      <c r="A1319" s="1479"/>
      <c r="B1319" s="1479"/>
    </row>
    <row r="1320" spans="1:2">
      <c r="A1320" s="1479"/>
      <c r="B1320" s="1479"/>
    </row>
    <row r="1321" spans="1:2">
      <c r="A1321" s="1479"/>
      <c r="B1321" s="1479"/>
    </row>
    <row r="1322" spans="1:2">
      <c r="A1322" s="1479"/>
      <c r="B1322" s="1479"/>
    </row>
    <row r="1323" spans="1:2">
      <c r="A1323" s="1479"/>
      <c r="B1323" s="1479"/>
    </row>
    <row r="1324" spans="1:2">
      <c r="A1324" s="1479"/>
      <c r="B1324" s="1479"/>
    </row>
    <row r="1325" spans="1:2">
      <c r="A1325" s="1479"/>
      <c r="B1325" s="1479"/>
    </row>
  </sheetData>
  <pageMargins left="0.70866141732283472" right="0.70866141732283472" top="0.78740157480314965" bottom="0.78740157480314965" header="0.31496062992125984" footer="0.31496062992125984"/>
  <pageSetup paperSize="9" scale="59" orientation="portrait" r:id="rId1"/>
  <rowBreaks count="2" manualBreakCount="2">
    <brk id="124" max="16383" man="1"/>
    <brk id="184" max="7" man="1"/>
  </rowBreaks>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92D050"/>
    <pageSetUpPr fitToPage="1"/>
  </sheetPr>
  <dimension ref="A1:AI78"/>
  <sheetViews>
    <sheetView zoomScaleNormal="100" zoomScaleSheetLayoutView="130" workbookViewId="0"/>
  </sheetViews>
  <sheetFormatPr baseColWidth="10" defaultColWidth="11.42578125" defaultRowHeight="16.5"/>
  <cols>
    <col min="1" max="1" width="20.85546875" style="1391" customWidth="1"/>
    <col min="2" max="2" width="11.140625" style="1391" customWidth="1"/>
    <col min="3" max="3" width="7.42578125" style="1391" customWidth="1"/>
    <col min="4" max="4" width="6.5703125" style="1391" customWidth="1"/>
    <col min="5" max="5" width="17.42578125" style="1391" customWidth="1"/>
    <col min="6" max="6" width="13.5703125" style="1391" customWidth="1"/>
    <col min="7" max="7" width="13.140625" style="1391" customWidth="1"/>
    <col min="8" max="8" width="14.42578125" style="1391" customWidth="1"/>
    <col min="9" max="9" width="13" style="1391" customWidth="1"/>
    <col min="10" max="10" width="13.5703125" style="1391" customWidth="1"/>
    <col min="11" max="11" width="12.42578125" style="1391" customWidth="1"/>
    <col min="12" max="12" width="13.5703125" style="1391" customWidth="1"/>
    <col min="13" max="13" width="16.5703125" style="1391" customWidth="1"/>
    <col min="14" max="16384" width="11.42578125" style="1391"/>
  </cols>
  <sheetData>
    <row r="1" spans="1:35" ht="24.75" customHeight="1">
      <c r="A1" s="1694" t="s">
        <v>585</v>
      </c>
      <c r="B1" s="1695"/>
      <c r="C1" s="1695"/>
      <c r="D1" s="1695"/>
      <c r="E1" s="1695"/>
      <c r="F1" s="1695"/>
      <c r="G1" s="1695"/>
      <c r="H1" s="1695"/>
      <c r="I1" s="1695"/>
      <c r="J1" s="1695"/>
      <c r="K1" s="1695"/>
      <c r="L1" s="1695"/>
      <c r="M1" s="1695"/>
    </row>
    <row r="2" spans="1:35" ht="17.25">
      <c r="A2" s="1874" t="s">
        <v>560</v>
      </c>
      <c r="B2" s="1868"/>
      <c r="C2" s="1868"/>
      <c r="D2" s="1869"/>
      <c r="E2" s="1870" t="s">
        <v>535</v>
      </c>
      <c r="F2" s="1871"/>
      <c r="G2" s="1871"/>
      <c r="H2" s="1871"/>
      <c r="I2" s="1871"/>
      <c r="J2" s="1871"/>
      <c r="K2" s="1871"/>
      <c r="L2" s="1871"/>
      <c r="M2" s="1872"/>
      <c r="N2" s="1875"/>
    </row>
    <row r="3" spans="1:35" ht="114" customHeight="1">
      <c r="A3" s="1887" t="s">
        <v>43</v>
      </c>
      <c r="B3" s="1888" t="s">
        <v>14</v>
      </c>
      <c r="C3" s="1889" t="s">
        <v>506</v>
      </c>
      <c r="D3" s="1889" t="s">
        <v>457</v>
      </c>
      <c r="E3" s="1748" t="s">
        <v>507</v>
      </c>
      <c r="F3" s="1749" t="s">
        <v>499</v>
      </c>
      <c r="G3" s="1749" t="s">
        <v>500</v>
      </c>
      <c r="H3" s="1748" t="s">
        <v>508</v>
      </c>
      <c r="I3" s="1748" t="s">
        <v>501</v>
      </c>
      <c r="J3" s="1749" t="s">
        <v>502</v>
      </c>
      <c r="K3" s="1748" t="s">
        <v>503</v>
      </c>
      <c r="L3" s="1750" t="s">
        <v>504</v>
      </c>
      <c r="M3" s="1878" t="s">
        <v>505</v>
      </c>
      <c r="N3" s="1493"/>
      <c r="O3" s="1494"/>
      <c r="P3" s="1494"/>
      <c r="Q3" s="1494"/>
      <c r="R3" s="1494"/>
      <c r="S3" s="1494"/>
      <c r="T3" s="1494"/>
      <c r="U3" s="1495"/>
      <c r="V3" s="1495"/>
      <c r="W3" s="1496"/>
      <c r="X3" s="1494"/>
      <c r="Y3" s="1494"/>
      <c r="Z3" s="1494"/>
      <c r="AA3" s="1494"/>
      <c r="AB3" s="1494"/>
      <c r="AC3" s="1494"/>
      <c r="AD3" s="1494"/>
      <c r="AE3" s="1494"/>
      <c r="AF3" s="1495"/>
      <c r="AG3" s="1494"/>
      <c r="AH3" s="1494"/>
      <c r="AI3" s="1497" t="s">
        <v>111</v>
      </c>
    </row>
    <row r="4" spans="1:35" ht="17.25">
      <c r="A4" s="1564" t="s">
        <v>437</v>
      </c>
      <c r="B4" s="1772">
        <v>687</v>
      </c>
      <c r="C4" s="1395">
        <v>474</v>
      </c>
      <c r="D4" s="1396">
        <v>219</v>
      </c>
      <c r="E4" s="1394">
        <v>51</v>
      </c>
      <c r="F4" s="1395">
        <v>216</v>
      </c>
      <c r="G4" s="1396">
        <v>234</v>
      </c>
      <c r="H4" s="1396">
        <v>183</v>
      </c>
      <c r="I4" s="1928">
        <v>0</v>
      </c>
      <c r="J4" s="1928">
        <v>0</v>
      </c>
      <c r="K4" s="1929">
        <v>0</v>
      </c>
      <c r="L4" s="1930">
        <v>3</v>
      </c>
      <c r="M4" s="1931">
        <v>0</v>
      </c>
      <c r="N4" s="1875"/>
    </row>
    <row r="5" spans="1:35" ht="17.25">
      <c r="A5" s="1564" t="s">
        <v>438</v>
      </c>
      <c r="B5" s="1772">
        <v>114</v>
      </c>
      <c r="C5" s="1395">
        <v>84</v>
      </c>
      <c r="D5" s="1396">
        <v>33</v>
      </c>
      <c r="E5" s="1394">
        <v>9</v>
      </c>
      <c r="F5" s="1395">
        <v>36</v>
      </c>
      <c r="G5" s="1396">
        <v>36</v>
      </c>
      <c r="H5" s="1396">
        <v>30</v>
      </c>
      <c r="I5" s="1928">
        <v>0</v>
      </c>
      <c r="J5" s="1928">
        <v>0</v>
      </c>
      <c r="K5" s="1929">
        <v>0</v>
      </c>
      <c r="L5" s="1929">
        <v>0</v>
      </c>
      <c r="M5" s="1932">
        <v>0</v>
      </c>
      <c r="N5" s="1875"/>
    </row>
    <row r="6" spans="1:35" ht="17.25">
      <c r="A6" s="1564" t="s">
        <v>439</v>
      </c>
      <c r="B6" s="1772">
        <v>2625</v>
      </c>
      <c r="C6" s="1395">
        <v>1920</v>
      </c>
      <c r="D6" s="1396">
        <v>702</v>
      </c>
      <c r="E6" s="1394">
        <v>120</v>
      </c>
      <c r="F6" s="1395">
        <v>576</v>
      </c>
      <c r="G6" s="1396">
        <v>1224</v>
      </c>
      <c r="H6" s="1396">
        <v>663</v>
      </c>
      <c r="I6" s="1928">
        <v>0</v>
      </c>
      <c r="J6" s="1928">
        <v>0</v>
      </c>
      <c r="K6" s="1929">
        <v>0</v>
      </c>
      <c r="L6" s="1929">
        <v>36</v>
      </c>
      <c r="M6" s="1932">
        <v>0</v>
      </c>
      <c r="N6" s="1875"/>
    </row>
    <row r="7" spans="1:35" ht="17.25">
      <c r="A7" s="1564" t="s">
        <v>440</v>
      </c>
      <c r="B7" s="1772">
        <v>75</v>
      </c>
      <c r="C7" s="1395">
        <v>57</v>
      </c>
      <c r="D7" s="1396">
        <v>15</v>
      </c>
      <c r="E7" s="1394">
        <v>15</v>
      </c>
      <c r="F7" s="1395">
        <v>24</v>
      </c>
      <c r="G7" s="1396">
        <v>12</v>
      </c>
      <c r="H7" s="1396">
        <v>15</v>
      </c>
      <c r="I7" s="1928">
        <v>0</v>
      </c>
      <c r="J7" s="1928">
        <v>0</v>
      </c>
      <c r="K7" s="1929">
        <v>0</v>
      </c>
      <c r="L7" s="1929">
        <v>0</v>
      </c>
      <c r="M7" s="1932">
        <v>0</v>
      </c>
      <c r="N7" s="1875"/>
    </row>
    <row r="8" spans="1:35" s="1499" customFormat="1">
      <c r="A8" s="1564" t="s">
        <v>441</v>
      </c>
      <c r="B8" s="1772">
        <v>2223</v>
      </c>
      <c r="C8" s="1395">
        <v>1686</v>
      </c>
      <c r="D8" s="1396">
        <v>540</v>
      </c>
      <c r="E8" s="1394">
        <v>126</v>
      </c>
      <c r="F8" s="1395">
        <v>519</v>
      </c>
      <c r="G8" s="1396">
        <v>834</v>
      </c>
      <c r="H8" s="1396">
        <v>708</v>
      </c>
      <c r="I8" s="1928">
        <v>0</v>
      </c>
      <c r="J8" s="1928">
        <v>0</v>
      </c>
      <c r="K8" s="1929">
        <v>0</v>
      </c>
      <c r="L8" s="1929">
        <v>24</v>
      </c>
      <c r="M8" s="1932">
        <v>0</v>
      </c>
      <c r="N8" s="1876"/>
    </row>
    <row r="9" spans="1:35" ht="17.25">
      <c r="A9" s="1564" t="s">
        <v>442</v>
      </c>
      <c r="B9" s="1772">
        <v>648</v>
      </c>
      <c r="C9" s="1395">
        <v>465</v>
      </c>
      <c r="D9" s="1396">
        <v>180</v>
      </c>
      <c r="E9" s="1394">
        <v>81</v>
      </c>
      <c r="F9" s="1395">
        <v>144</v>
      </c>
      <c r="G9" s="1396">
        <v>234</v>
      </c>
      <c r="H9" s="1396">
        <v>174</v>
      </c>
      <c r="I9" s="1928">
        <v>0</v>
      </c>
      <c r="J9" s="1928">
        <v>0</v>
      </c>
      <c r="K9" s="1929">
        <v>0</v>
      </c>
      <c r="L9" s="1929">
        <v>3</v>
      </c>
      <c r="M9" s="1932">
        <v>0</v>
      </c>
      <c r="N9" s="1875"/>
    </row>
    <row r="10" spans="1:35" ht="17.25">
      <c r="A10" s="1564" t="s">
        <v>443</v>
      </c>
      <c r="B10" s="1772">
        <v>594</v>
      </c>
      <c r="C10" s="1395">
        <v>447</v>
      </c>
      <c r="D10" s="1396">
        <v>141</v>
      </c>
      <c r="E10" s="1394">
        <v>21</v>
      </c>
      <c r="F10" s="1395">
        <v>174</v>
      </c>
      <c r="G10" s="1396">
        <v>222</v>
      </c>
      <c r="H10" s="1396">
        <v>159</v>
      </c>
      <c r="I10" s="1928">
        <v>0</v>
      </c>
      <c r="J10" s="1928">
        <v>0</v>
      </c>
      <c r="K10" s="1929">
        <v>0</v>
      </c>
      <c r="L10" s="1929">
        <v>3</v>
      </c>
      <c r="M10" s="1932">
        <v>0</v>
      </c>
      <c r="N10" s="1875"/>
    </row>
    <row r="11" spans="1:35" ht="17.25">
      <c r="A11" s="1564" t="s">
        <v>444</v>
      </c>
      <c r="B11" s="1772">
        <v>1479</v>
      </c>
      <c r="C11" s="1395">
        <v>1056</v>
      </c>
      <c r="D11" s="1396">
        <v>417</v>
      </c>
      <c r="E11" s="1394">
        <v>72</v>
      </c>
      <c r="F11" s="1395">
        <v>375</v>
      </c>
      <c r="G11" s="1396">
        <v>600</v>
      </c>
      <c r="H11" s="1396">
        <v>393</v>
      </c>
      <c r="I11" s="1928">
        <v>0</v>
      </c>
      <c r="J11" s="1928">
        <v>0</v>
      </c>
      <c r="K11" s="1929">
        <v>0</v>
      </c>
      <c r="L11" s="1929">
        <v>27</v>
      </c>
      <c r="M11" s="1932">
        <v>0</v>
      </c>
      <c r="N11" s="1875"/>
    </row>
    <row r="12" spans="1:35" ht="17.25">
      <c r="A12" s="1564" t="s">
        <v>445</v>
      </c>
      <c r="B12" s="1772">
        <v>2007</v>
      </c>
      <c r="C12" s="1395">
        <v>1413</v>
      </c>
      <c r="D12" s="1396">
        <v>582</v>
      </c>
      <c r="E12" s="1394">
        <v>66</v>
      </c>
      <c r="F12" s="1395">
        <v>630</v>
      </c>
      <c r="G12" s="1396">
        <v>957</v>
      </c>
      <c r="H12" s="1396">
        <v>330</v>
      </c>
      <c r="I12" s="1928">
        <v>0</v>
      </c>
      <c r="J12" s="1928">
        <v>0</v>
      </c>
      <c r="K12" s="1929">
        <v>0</v>
      </c>
      <c r="L12" s="1929">
        <v>30</v>
      </c>
      <c r="M12" s="1932">
        <v>0</v>
      </c>
      <c r="N12" s="1875"/>
    </row>
    <row r="13" spans="1:35" s="1499" customFormat="1">
      <c r="A13" s="1564" t="s">
        <v>446</v>
      </c>
      <c r="B13" s="1772">
        <v>93</v>
      </c>
      <c r="C13" s="1395">
        <v>72</v>
      </c>
      <c r="D13" s="1396">
        <v>21</v>
      </c>
      <c r="E13" s="1394">
        <v>6</v>
      </c>
      <c r="F13" s="1395">
        <v>42</v>
      </c>
      <c r="G13" s="1396">
        <v>24</v>
      </c>
      <c r="H13" s="1396">
        <v>15</v>
      </c>
      <c r="I13" s="1928">
        <v>0</v>
      </c>
      <c r="J13" s="1928">
        <v>0</v>
      </c>
      <c r="K13" s="1929">
        <v>0</v>
      </c>
      <c r="L13" s="1929">
        <v>0</v>
      </c>
      <c r="M13" s="1932">
        <v>0</v>
      </c>
      <c r="N13" s="1876"/>
    </row>
    <row r="14" spans="1:35" ht="17.25">
      <c r="A14" s="1564" t="s">
        <v>447</v>
      </c>
      <c r="B14" s="1873">
        <v>231</v>
      </c>
      <c r="C14" s="1502">
        <v>162</v>
      </c>
      <c r="D14" s="1500">
        <v>72</v>
      </c>
      <c r="E14" s="1501">
        <v>18</v>
      </c>
      <c r="F14" s="1502">
        <v>51</v>
      </c>
      <c r="G14" s="1500">
        <v>75</v>
      </c>
      <c r="H14" s="1500">
        <v>84</v>
      </c>
      <c r="I14" s="1928">
        <v>0</v>
      </c>
      <c r="J14" s="1928">
        <v>0</v>
      </c>
      <c r="K14" s="1929">
        <v>0</v>
      </c>
      <c r="L14" s="1933">
        <v>0</v>
      </c>
      <c r="M14" s="1932">
        <v>0</v>
      </c>
      <c r="N14" s="1875"/>
    </row>
    <row r="15" spans="1:35" ht="17.25">
      <c r="A15" s="1564" t="s">
        <v>448</v>
      </c>
      <c r="B15" s="1772">
        <v>444</v>
      </c>
      <c r="C15" s="1395">
        <v>324</v>
      </c>
      <c r="D15" s="1396">
        <v>126</v>
      </c>
      <c r="E15" s="1394">
        <v>42</v>
      </c>
      <c r="F15" s="1395">
        <v>84</v>
      </c>
      <c r="G15" s="1396">
        <v>225</v>
      </c>
      <c r="H15" s="1396">
        <v>81</v>
      </c>
      <c r="I15" s="1928">
        <v>0</v>
      </c>
      <c r="J15" s="1928">
        <v>0</v>
      </c>
      <c r="K15" s="1929">
        <v>0</v>
      </c>
      <c r="L15" s="1929">
        <v>9</v>
      </c>
      <c r="M15" s="1932">
        <v>0</v>
      </c>
      <c r="N15" s="1875"/>
    </row>
    <row r="16" spans="1:35" ht="17.25">
      <c r="A16" s="1564" t="s">
        <v>449</v>
      </c>
      <c r="B16" s="1772">
        <v>468</v>
      </c>
      <c r="C16" s="1395">
        <v>372</v>
      </c>
      <c r="D16" s="1396">
        <v>90</v>
      </c>
      <c r="E16" s="1394">
        <v>36</v>
      </c>
      <c r="F16" s="1395">
        <v>117</v>
      </c>
      <c r="G16" s="1396">
        <v>195</v>
      </c>
      <c r="H16" s="1396">
        <v>99</v>
      </c>
      <c r="I16" s="1928">
        <v>0</v>
      </c>
      <c r="J16" s="1928">
        <v>0</v>
      </c>
      <c r="K16" s="1929">
        <v>0</v>
      </c>
      <c r="L16" s="1929">
        <v>3</v>
      </c>
      <c r="M16" s="1932">
        <v>0</v>
      </c>
      <c r="N16" s="1875"/>
    </row>
    <row r="17" spans="1:14" ht="17.25">
      <c r="A17" s="1564" t="s">
        <v>450</v>
      </c>
      <c r="B17" s="1772">
        <v>777</v>
      </c>
      <c r="C17" s="1395">
        <v>552</v>
      </c>
      <c r="D17" s="1396">
        <v>228</v>
      </c>
      <c r="E17" s="1394">
        <v>45</v>
      </c>
      <c r="F17" s="1395">
        <v>207</v>
      </c>
      <c r="G17" s="1396">
        <v>381</v>
      </c>
      <c r="H17" s="1396">
        <v>129</v>
      </c>
      <c r="I17" s="1928">
        <v>0</v>
      </c>
      <c r="J17" s="1928">
        <v>0</v>
      </c>
      <c r="K17" s="1929">
        <v>0</v>
      </c>
      <c r="L17" s="1929">
        <v>0</v>
      </c>
      <c r="M17" s="1932">
        <v>0</v>
      </c>
      <c r="N17" s="1875"/>
    </row>
    <row r="18" spans="1:14" ht="17.25">
      <c r="A18" s="1564" t="s">
        <v>451</v>
      </c>
      <c r="B18" s="1772">
        <v>444</v>
      </c>
      <c r="C18" s="1395">
        <v>339</v>
      </c>
      <c r="D18" s="1396">
        <v>108</v>
      </c>
      <c r="E18" s="1394">
        <v>39</v>
      </c>
      <c r="F18" s="1395">
        <v>117</v>
      </c>
      <c r="G18" s="1396">
        <v>228</v>
      </c>
      <c r="H18" s="1396">
        <v>57</v>
      </c>
      <c r="I18" s="1928">
        <v>0</v>
      </c>
      <c r="J18" s="1928">
        <v>0</v>
      </c>
      <c r="K18" s="1929">
        <v>0</v>
      </c>
      <c r="L18" s="1929">
        <v>0</v>
      </c>
      <c r="M18" s="1932">
        <v>0</v>
      </c>
      <c r="N18" s="1875"/>
    </row>
    <row r="19" spans="1:14" s="1503" customFormat="1">
      <c r="A19" s="1564" t="s">
        <v>452</v>
      </c>
      <c r="B19" s="1772">
        <v>423</v>
      </c>
      <c r="C19" s="1395">
        <v>300</v>
      </c>
      <c r="D19" s="1396">
        <v>120</v>
      </c>
      <c r="E19" s="1394">
        <v>24</v>
      </c>
      <c r="F19" s="1395">
        <v>162</v>
      </c>
      <c r="G19" s="1396">
        <v>195</v>
      </c>
      <c r="H19" s="1396">
        <v>30</v>
      </c>
      <c r="I19" s="1928">
        <v>0</v>
      </c>
      <c r="J19" s="1928">
        <v>0</v>
      </c>
      <c r="K19" s="1929">
        <v>0</v>
      </c>
      <c r="L19" s="1929">
        <v>6</v>
      </c>
      <c r="M19" s="1932">
        <v>0</v>
      </c>
      <c r="N19" s="1877"/>
    </row>
    <row r="20" spans="1:14" s="1503" customFormat="1">
      <c r="A20" s="1890" t="s">
        <v>418</v>
      </c>
      <c r="B20" s="1935">
        <f t="shared" ref="B20:H20" si="0">SUM(B4:B19)</f>
        <v>13332</v>
      </c>
      <c r="C20" s="1936">
        <f t="shared" si="0"/>
        <v>9723</v>
      </c>
      <c r="D20" s="1937">
        <f t="shared" si="0"/>
        <v>3594</v>
      </c>
      <c r="E20" s="1935">
        <f t="shared" si="0"/>
        <v>771</v>
      </c>
      <c r="F20" s="1936">
        <f t="shared" si="0"/>
        <v>3474</v>
      </c>
      <c r="G20" s="1937">
        <f t="shared" si="0"/>
        <v>5676</v>
      </c>
      <c r="H20" s="1934">
        <f t="shared" si="0"/>
        <v>3150</v>
      </c>
      <c r="I20" s="1934">
        <f t="shared" ref="I20:L20" si="1">SUM(I4:I19)</f>
        <v>0</v>
      </c>
      <c r="J20" s="1935">
        <f t="shared" si="1"/>
        <v>0</v>
      </c>
      <c r="K20" s="1936">
        <f t="shared" si="1"/>
        <v>0</v>
      </c>
      <c r="L20" s="1936">
        <f t="shared" si="1"/>
        <v>144</v>
      </c>
      <c r="M20" s="1937">
        <f>SUM(M4:M19)</f>
        <v>0</v>
      </c>
      <c r="N20" s="1877"/>
    </row>
    <row r="21" spans="1:14" s="1503" customFormat="1">
      <c r="A21" s="1408" t="s">
        <v>498</v>
      </c>
      <c r="B21" s="1504"/>
      <c r="C21" s="1504"/>
      <c r="D21" s="1504"/>
      <c r="E21" s="1504"/>
      <c r="F21" s="1504"/>
      <c r="G21" s="1504"/>
      <c r="H21" s="1504"/>
      <c r="I21" s="1504"/>
      <c r="J21" s="1504"/>
      <c r="K21" s="1504"/>
      <c r="L21" s="1504"/>
      <c r="M21" s="1504"/>
    </row>
    <row r="22" spans="1:14" ht="17.25">
      <c r="A22" s="1402" t="s">
        <v>542</v>
      </c>
      <c r="B22" s="1505"/>
      <c r="C22" s="1505"/>
      <c r="D22" s="1505"/>
      <c r="E22" s="1505"/>
      <c r="F22" s="1505"/>
      <c r="G22" s="1505"/>
      <c r="H22" s="1505"/>
      <c r="I22" s="1505"/>
      <c r="J22" s="1505"/>
      <c r="K22" s="1505"/>
      <c r="L22" s="1505"/>
    </row>
    <row r="23" spans="1:14">
      <c r="B23" s="1505"/>
      <c r="C23" s="1506"/>
      <c r="D23" s="1505"/>
      <c r="E23" s="1505"/>
      <c r="F23" s="1505"/>
      <c r="G23" s="1505" t="s">
        <v>40</v>
      </c>
      <c r="H23" s="1505"/>
      <c r="I23" s="1505"/>
      <c r="J23" s="1505"/>
    </row>
    <row r="24" spans="1:14">
      <c r="B24" s="1505"/>
      <c r="C24" s="1506"/>
      <c r="D24" s="1505"/>
      <c r="E24" s="1505"/>
      <c r="F24" s="1505"/>
      <c r="G24" s="1505"/>
      <c r="H24" s="1505"/>
      <c r="I24" s="1505"/>
      <c r="J24" s="1505"/>
    </row>
    <row r="25" spans="1:14" ht="17.25">
      <c r="B25" s="1505"/>
      <c r="C25" s="1506"/>
      <c r="D25" s="1506"/>
      <c r="E25" s="1507"/>
      <c r="F25" s="1507"/>
      <c r="G25" s="1507"/>
      <c r="H25" s="1507"/>
      <c r="I25" s="1507"/>
      <c r="J25" s="1506"/>
    </row>
    <row r="26" spans="1:14">
      <c r="B26" s="1505"/>
      <c r="C26" s="1506"/>
      <c r="D26" s="1505"/>
      <c r="E26" s="1505"/>
      <c r="F26" s="1505"/>
      <c r="G26" s="1505"/>
      <c r="H26" s="1505"/>
      <c r="I26" s="1505"/>
      <c r="J26" s="1505"/>
    </row>
    <row r="27" spans="1:14">
      <c r="B27" s="1505"/>
      <c r="C27" s="1506"/>
      <c r="D27" s="1505"/>
      <c r="E27" s="1505"/>
      <c r="F27" s="1505"/>
      <c r="G27" s="1505"/>
      <c r="H27" s="1505"/>
      <c r="I27" s="1505"/>
      <c r="J27" s="1505"/>
    </row>
    <row r="28" spans="1:14">
      <c r="B28" s="1505"/>
      <c r="C28" s="1506"/>
      <c r="D28" s="1505"/>
      <c r="E28" s="1505"/>
      <c r="F28" s="1505"/>
      <c r="G28" s="1505"/>
      <c r="H28" s="1505"/>
      <c r="I28" s="1505"/>
      <c r="J28" s="1505"/>
    </row>
    <row r="29" spans="1:14">
      <c r="B29" s="1505"/>
      <c r="C29" s="1506"/>
      <c r="D29" s="1505"/>
      <c r="E29" s="1505"/>
      <c r="F29" s="1505"/>
      <c r="G29" s="1505"/>
      <c r="H29" s="1505"/>
      <c r="I29" s="1505"/>
      <c r="J29" s="1505"/>
    </row>
    <row r="30" spans="1:14">
      <c r="B30" s="1505"/>
      <c r="C30" s="1506"/>
      <c r="D30" s="1505"/>
      <c r="E30" s="1505"/>
      <c r="F30" s="1505"/>
      <c r="G30" s="1505"/>
      <c r="H30" s="1505"/>
      <c r="I30" s="1505"/>
      <c r="J30" s="1505"/>
    </row>
    <row r="31" spans="1:14">
      <c r="B31" s="1505"/>
      <c r="C31" s="1506"/>
      <c r="D31" s="1505"/>
      <c r="E31" s="1505"/>
      <c r="F31" s="1505"/>
      <c r="G31" s="1505"/>
      <c r="H31" s="1505"/>
      <c r="I31" s="1505"/>
      <c r="J31" s="1505"/>
    </row>
    <row r="32" spans="1:14">
      <c r="B32" s="1505"/>
      <c r="C32" s="1506"/>
      <c r="D32" s="1505"/>
      <c r="E32" s="1505"/>
      <c r="F32" s="1505"/>
      <c r="G32" s="1505"/>
      <c r="H32" s="1505"/>
      <c r="I32" s="1505"/>
      <c r="J32" s="1505"/>
    </row>
    <row r="33" spans="2:10" ht="17.25">
      <c r="B33" s="1505"/>
      <c r="C33" s="1506"/>
      <c r="D33" s="1505"/>
      <c r="E33" s="1507"/>
      <c r="F33" s="1507"/>
      <c r="G33" s="1506"/>
      <c r="H33" s="1505"/>
      <c r="I33" s="1505"/>
      <c r="J33" s="1505"/>
    </row>
    <row r="34" spans="2:10">
      <c r="B34" s="1505"/>
      <c r="C34" s="1506"/>
      <c r="D34" s="1505"/>
      <c r="E34" s="1505"/>
      <c r="F34" s="1505"/>
      <c r="G34" s="1505"/>
      <c r="H34" s="1505"/>
      <c r="I34" s="1505"/>
      <c r="J34" s="1505"/>
    </row>
    <row r="35" spans="2:10">
      <c r="B35" s="1505"/>
      <c r="C35" s="1506"/>
      <c r="D35" s="1505"/>
      <c r="E35" s="1505"/>
      <c r="F35" s="1505"/>
      <c r="G35" s="1505"/>
      <c r="H35" s="1505"/>
      <c r="I35" s="1505"/>
      <c r="J35" s="1505"/>
    </row>
    <row r="36" spans="2:10">
      <c r="B36" s="1505"/>
      <c r="C36" s="1506"/>
      <c r="D36" s="1505"/>
      <c r="E36" s="1505"/>
      <c r="F36" s="1505"/>
      <c r="G36" s="1505"/>
      <c r="H36" s="1505"/>
      <c r="I36" s="1505"/>
      <c r="J36" s="1505"/>
    </row>
    <row r="37" spans="2:10">
      <c r="B37" s="1505"/>
      <c r="C37" s="1506"/>
      <c r="D37" s="1505"/>
      <c r="E37" s="1505"/>
      <c r="F37" s="1505"/>
      <c r="G37" s="1505"/>
      <c r="H37" s="1505"/>
      <c r="I37" s="1505"/>
      <c r="J37" s="1505"/>
    </row>
    <row r="38" spans="2:10">
      <c r="B38" s="1505"/>
      <c r="C38" s="1506"/>
      <c r="D38" s="1505"/>
      <c r="E38" s="1505"/>
      <c r="F38" s="1505"/>
      <c r="G38" s="1505"/>
      <c r="H38" s="1505"/>
      <c r="I38" s="1505"/>
      <c r="J38" s="1505"/>
    </row>
    <row r="39" spans="2:10">
      <c r="B39" s="1505"/>
      <c r="C39" s="1506"/>
      <c r="D39" s="1505"/>
      <c r="E39" s="1505"/>
      <c r="F39" s="1505"/>
      <c r="G39" s="1505"/>
      <c r="H39" s="1505"/>
      <c r="I39" s="1505"/>
      <c r="J39" s="1505"/>
    </row>
    <row r="40" spans="2:10">
      <c r="B40" s="1505"/>
      <c r="C40" s="1506"/>
      <c r="D40" s="1505"/>
      <c r="E40" s="1505"/>
      <c r="F40" s="1505"/>
      <c r="G40" s="1505"/>
      <c r="H40" s="1505"/>
      <c r="I40" s="1505"/>
      <c r="J40" s="1505"/>
    </row>
    <row r="41" spans="2:10">
      <c r="B41" s="1505"/>
      <c r="C41" s="1506"/>
      <c r="D41" s="1505"/>
      <c r="E41" s="1505"/>
      <c r="F41" s="1505"/>
      <c r="G41" s="1505"/>
      <c r="H41" s="1505"/>
      <c r="I41" s="1505"/>
      <c r="J41" s="1505"/>
    </row>
    <row r="42" spans="2:10">
      <c r="B42" s="1505"/>
      <c r="C42" s="1506"/>
      <c r="D42" s="1505"/>
      <c r="E42" s="1505"/>
      <c r="F42" s="1505"/>
      <c r="G42" s="1505"/>
      <c r="H42" s="1505"/>
      <c r="I42" s="1505"/>
      <c r="J42" s="1505"/>
    </row>
    <row r="43" spans="2:10">
      <c r="B43" s="1505"/>
      <c r="C43" s="1506"/>
      <c r="D43" s="1505"/>
      <c r="E43" s="1505"/>
      <c r="F43" s="1505"/>
      <c r="G43" s="1505"/>
      <c r="H43" s="1505"/>
      <c r="I43" s="1505"/>
      <c r="J43" s="1505"/>
    </row>
    <row r="44" spans="2:10">
      <c r="B44" s="1505"/>
      <c r="C44" s="1506"/>
      <c r="D44" s="1505"/>
      <c r="E44" s="1505"/>
      <c r="F44" s="1505"/>
      <c r="G44" s="1505"/>
      <c r="H44" s="1505"/>
      <c r="I44" s="1505"/>
      <c r="J44" s="1505"/>
    </row>
    <row r="45" spans="2:10">
      <c r="B45" s="1505"/>
      <c r="C45" s="1506"/>
      <c r="D45" s="1505"/>
      <c r="E45" s="1505"/>
      <c r="F45" s="1505"/>
      <c r="G45" s="1505"/>
      <c r="H45" s="1505"/>
      <c r="I45" s="1505"/>
      <c r="J45" s="1505"/>
    </row>
    <row r="46" spans="2:10">
      <c r="B46" s="1505"/>
      <c r="C46" s="1506"/>
      <c r="D46" s="1505"/>
      <c r="E46" s="1505"/>
      <c r="F46" s="1505"/>
      <c r="G46" s="1505"/>
      <c r="H46" s="1505"/>
      <c r="I46" s="1505"/>
      <c r="J46" s="1505"/>
    </row>
    <row r="47" spans="2:10">
      <c r="B47" s="1505"/>
      <c r="C47" s="1506"/>
      <c r="D47" s="1505"/>
      <c r="E47" s="1505"/>
      <c r="F47" s="1505"/>
      <c r="G47" s="1505"/>
      <c r="H47" s="1505"/>
      <c r="I47" s="1505"/>
      <c r="J47" s="1505"/>
    </row>
    <row r="48" spans="2:10">
      <c r="B48" s="1505"/>
      <c r="C48" s="1506"/>
      <c r="D48" s="1505"/>
      <c r="E48" s="1505"/>
      <c r="F48" s="1505"/>
      <c r="G48" s="1505"/>
      <c r="H48" s="1505"/>
      <c r="I48" s="1505"/>
      <c r="J48" s="1505"/>
    </row>
    <row r="49" spans="2:10">
      <c r="B49" s="1505"/>
      <c r="C49" s="1506"/>
      <c r="D49" s="1505"/>
      <c r="E49" s="1505"/>
      <c r="F49" s="1505"/>
      <c r="G49" s="1505"/>
      <c r="H49" s="1505"/>
      <c r="I49" s="1505"/>
      <c r="J49" s="1505"/>
    </row>
    <row r="50" spans="2:10">
      <c r="B50" s="1505"/>
      <c r="C50" s="1506"/>
      <c r="D50" s="1505"/>
      <c r="E50" s="1505"/>
      <c r="F50" s="1505"/>
      <c r="G50" s="1505"/>
      <c r="H50" s="1505"/>
      <c r="I50" s="1505"/>
      <c r="J50" s="1505"/>
    </row>
    <row r="51" spans="2:10">
      <c r="B51" s="1508"/>
      <c r="C51" s="1506"/>
      <c r="D51" s="1505"/>
      <c r="E51" s="1505"/>
      <c r="F51" s="1505"/>
      <c r="G51" s="1505"/>
      <c r="H51" s="1505"/>
      <c r="I51" s="1505"/>
      <c r="J51" s="1505"/>
    </row>
    <row r="52" spans="2:10">
      <c r="B52" s="1505"/>
      <c r="C52" s="1506"/>
      <c r="D52" s="1505"/>
      <c r="E52" s="1505"/>
      <c r="F52" s="1505"/>
      <c r="G52" s="1505"/>
      <c r="H52" s="1505"/>
      <c r="I52" s="1505"/>
      <c r="J52" s="1505"/>
    </row>
    <row r="53" spans="2:10">
      <c r="B53" s="1505"/>
      <c r="C53" s="1506"/>
      <c r="D53" s="1505"/>
      <c r="E53" s="1505"/>
      <c r="F53" s="1505"/>
      <c r="G53" s="1505"/>
      <c r="H53" s="1505"/>
      <c r="I53" s="1505"/>
      <c r="J53" s="1505"/>
    </row>
    <row r="54" spans="2:10">
      <c r="B54" s="1505"/>
      <c r="C54" s="1506"/>
      <c r="D54" s="1505"/>
      <c r="E54" s="1505"/>
      <c r="F54" s="1505"/>
      <c r="G54" s="1505"/>
      <c r="H54" s="1505"/>
      <c r="I54" s="1505"/>
      <c r="J54" s="1505"/>
    </row>
    <row r="55" spans="2:10">
      <c r="B55" s="1505"/>
      <c r="C55" s="1506"/>
      <c r="D55" s="1505"/>
      <c r="E55" s="1505"/>
      <c r="F55" s="1505"/>
      <c r="G55" s="1505"/>
      <c r="H55" s="1505"/>
      <c r="I55" s="1505"/>
      <c r="J55" s="1505"/>
    </row>
    <row r="56" spans="2:10">
      <c r="B56" s="1505"/>
      <c r="C56" s="1506"/>
      <c r="D56" s="1505"/>
      <c r="E56" s="1505"/>
      <c r="F56" s="1505"/>
      <c r="G56" s="1505"/>
      <c r="H56" s="1505"/>
      <c r="I56" s="1505"/>
      <c r="J56" s="1505"/>
    </row>
    <row r="57" spans="2:10">
      <c r="B57" s="1505"/>
      <c r="C57" s="1506"/>
      <c r="D57" s="1505"/>
      <c r="E57" s="1505"/>
      <c r="F57" s="1505"/>
      <c r="G57" s="1505"/>
      <c r="H57" s="1505"/>
      <c r="I57" s="1505"/>
      <c r="J57" s="1505"/>
    </row>
    <row r="58" spans="2:10">
      <c r="B58" s="1505"/>
      <c r="C58" s="1506"/>
      <c r="D58" s="1505"/>
      <c r="E58" s="1505"/>
      <c r="F58" s="1505"/>
      <c r="G58" s="1505"/>
      <c r="H58" s="1505"/>
      <c r="I58" s="1505"/>
      <c r="J58" s="1505"/>
    </row>
    <row r="59" spans="2:10">
      <c r="B59" s="1505"/>
      <c r="C59" s="1506"/>
      <c r="D59" s="1505"/>
      <c r="E59" s="1505"/>
      <c r="F59" s="1505"/>
      <c r="G59" s="1505"/>
      <c r="H59" s="1505"/>
      <c r="I59" s="1505"/>
      <c r="J59" s="1505"/>
    </row>
    <row r="60" spans="2:10">
      <c r="B60" s="1505"/>
      <c r="C60" s="1506"/>
      <c r="D60" s="1505"/>
      <c r="E60" s="1505"/>
      <c r="F60" s="1505"/>
      <c r="G60" s="1505"/>
      <c r="H60" s="1505"/>
      <c r="I60" s="1505"/>
      <c r="J60" s="1505"/>
    </row>
    <row r="61" spans="2:10">
      <c r="B61" s="1505"/>
      <c r="C61" s="1506"/>
      <c r="D61" s="1505"/>
      <c r="E61" s="1505"/>
      <c r="F61" s="1505"/>
      <c r="G61" s="1505"/>
      <c r="H61" s="1505"/>
      <c r="I61" s="1505"/>
      <c r="J61" s="1505"/>
    </row>
    <row r="62" spans="2:10">
      <c r="B62" s="1505"/>
      <c r="C62" s="1506"/>
      <c r="D62" s="1505"/>
      <c r="E62" s="1505"/>
      <c r="F62" s="1505"/>
      <c r="G62" s="1505"/>
      <c r="H62" s="1505"/>
      <c r="I62" s="1505"/>
      <c r="J62" s="1505"/>
    </row>
    <row r="63" spans="2:10">
      <c r="B63" s="1505"/>
      <c r="C63" s="1506"/>
      <c r="D63" s="1505"/>
      <c r="E63" s="1505"/>
      <c r="F63" s="1505"/>
      <c r="G63" s="1505"/>
      <c r="H63" s="1505"/>
      <c r="I63" s="1505"/>
      <c r="J63" s="1505"/>
    </row>
    <row r="64" spans="2:10">
      <c r="B64" s="1505"/>
      <c r="C64" s="1506"/>
      <c r="D64" s="1505"/>
      <c r="E64" s="1505"/>
      <c r="F64" s="1505"/>
      <c r="G64" s="1505"/>
      <c r="H64" s="1505"/>
      <c r="I64" s="1505"/>
      <c r="J64" s="1505"/>
    </row>
    <row r="65" spans="2:10">
      <c r="B65" s="1505"/>
      <c r="C65" s="1506"/>
      <c r="D65" s="1505"/>
      <c r="E65" s="1505"/>
      <c r="F65" s="1505"/>
      <c r="G65" s="1505"/>
      <c r="H65" s="1505"/>
      <c r="I65" s="1505"/>
      <c r="J65" s="1505"/>
    </row>
    <row r="66" spans="2:10">
      <c r="B66" s="1505"/>
      <c r="C66" s="1506"/>
      <c r="D66" s="1505"/>
      <c r="E66" s="1505"/>
      <c r="F66" s="1505"/>
      <c r="G66" s="1505"/>
      <c r="H66" s="1505"/>
      <c r="I66" s="1505"/>
      <c r="J66" s="1505"/>
    </row>
    <row r="67" spans="2:10">
      <c r="B67" s="1505"/>
      <c r="C67" s="1506"/>
      <c r="D67" s="1505"/>
      <c r="E67" s="1505"/>
      <c r="F67" s="1505"/>
      <c r="G67" s="1505"/>
      <c r="H67" s="1505"/>
      <c r="I67" s="1505"/>
      <c r="J67" s="1505"/>
    </row>
    <row r="68" spans="2:10">
      <c r="B68" s="1505"/>
      <c r="C68" s="1506"/>
      <c r="D68" s="1505"/>
      <c r="E68" s="1505"/>
      <c r="F68" s="1505"/>
      <c r="G68" s="1505"/>
      <c r="H68" s="1505"/>
      <c r="I68" s="1505"/>
      <c r="J68" s="1505"/>
    </row>
    <row r="69" spans="2:10">
      <c r="B69" s="1505"/>
      <c r="C69" s="1506"/>
      <c r="D69" s="1505"/>
      <c r="E69" s="1505"/>
      <c r="F69" s="1505"/>
      <c r="G69" s="1505"/>
      <c r="H69" s="1505"/>
      <c r="I69" s="1505"/>
      <c r="J69" s="1505"/>
    </row>
    <row r="70" spans="2:10">
      <c r="B70" s="1505"/>
      <c r="C70" s="1505"/>
      <c r="D70" s="1505"/>
      <c r="E70" s="1505"/>
      <c r="F70" s="1505"/>
      <c r="G70" s="1505"/>
      <c r="H70" s="1505"/>
      <c r="I70" s="1505"/>
      <c r="J70" s="1505"/>
    </row>
    <row r="71" spans="2:10">
      <c r="B71" s="1505"/>
      <c r="C71" s="1505"/>
      <c r="D71" s="1505"/>
      <c r="E71" s="1505"/>
      <c r="F71" s="1505"/>
      <c r="G71" s="1505"/>
      <c r="H71" s="1505"/>
      <c r="I71" s="1505"/>
      <c r="J71" s="1505"/>
    </row>
    <row r="72" spans="2:10">
      <c r="B72" s="1505"/>
      <c r="C72" s="1505"/>
      <c r="D72" s="1505"/>
      <c r="E72" s="1505"/>
      <c r="F72" s="1505"/>
      <c r="G72" s="1505"/>
      <c r="H72" s="1505"/>
      <c r="I72" s="1505"/>
      <c r="J72" s="1505"/>
    </row>
    <row r="73" spans="2:10">
      <c r="B73" s="1505"/>
      <c r="C73" s="1505"/>
      <c r="D73" s="1505"/>
      <c r="E73" s="1505"/>
      <c r="F73" s="1505"/>
      <c r="G73" s="1505"/>
      <c r="H73" s="1505"/>
      <c r="I73" s="1505"/>
      <c r="J73" s="1505"/>
    </row>
    <row r="74" spans="2:10">
      <c r="B74" s="1505"/>
      <c r="C74" s="1505"/>
      <c r="D74" s="1505"/>
      <c r="E74" s="1505"/>
      <c r="F74" s="1505"/>
      <c r="G74" s="1505"/>
      <c r="H74" s="1505"/>
      <c r="I74" s="1505"/>
      <c r="J74" s="1505"/>
    </row>
    <row r="75" spans="2:10">
      <c r="B75" s="1505"/>
      <c r="C75" s="1505"/>
      <c r="D75" s="1505"/>
      <c r="E75" s="1505"/>
      <c r="F75" s="1505"/>
      <c r="G75" s="1505"/>
      <c r="H75" s="1505"/>
      <c r="I75" s="1505"/>
      <c r="J75" s="1505"/>
    </row>
    <row r="76" spans="2:10">
      <c r="B76" s="1505"/>
      <c r="C76" s="1505"/>
      <c r="D76" s="1505"/>
      <c r="E76" s="1505"/>
      <c r="F76" s="1505"/>
      <c r="G76" s="1505"/>
      <c r="H76" s="1505"/>
      <c r="I76" s="1505"/>
      <c r="J76" s="1505"/>
    </row>
    <row r="77" spans="2:10">
      <c r="B77" s="1505"/>
      <c r="C77" s="1505"/>
      <c r="D77" s="1505"/>
      <c r="E77" s="1505"/>
      <c r="F77" s="1505"/>
      <c r="G77" s="1505"/>
      <c r="H77" s="1505"/>
      <c r="I77" s="1505"/>
      <c r="J77" s="1505"/>
    </row>
    <row r="78" spans="2:10">
      <c r="B78" s="1505"/>
      <c r="C78" s="1505"/>
      <c r="D78" s="1505"/>
      <c r="E78" s="1505"/>
      <c r="F78" s="1505"/>
      <c r="G78" s="1505"/>
      <c r="H78" s="1505"/>
      <c r="I78" s="1505"/>
      <c r="J78" s="1505"/>
    </row>
  </sheetData>
  <printOptions horizontalCentered="1"/>
  <pageMargins left="7.874015748031496E-2" right="0" top="0.78740157480314965" bottom="0.74803149606299213" header="0.43307086614173229" footer="0.51181102362204722"/>
  <pageSetup paperSize="9" scale="85" orientation="landscape" r:id="rId1"/>
  <headerFooter alignWithMargins="0">
    <oddFooter xml:space="preserve">&amp;R
</oddFooter>
  </headerFooter>
  <tableParts count="1">
    <tablePart r:id="rId2"/>
  </tablePart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tint="-0.499984740745262"/>
  </sheetPr>
  <dimension ref="A1:AQ92"/>
  <sheetViews>
    <sheetView zoomScaleNormal="100" zoomScaleSheetLayoutView="100" workbookViewId="0">
      <selection activeCell="G15" sqref="G15"/>
    </sheetView>
  </sheetViews>
  <sheetFormatPr baseColWidth="10" defaultColWidth="11.42578125" defaultRowHeight="12.75"/>
  <cols>
    <col min="1" max="1" width="6.42578125" style="137" customWidth="1"/>
    <col min="2" max="2" width="0.85546875" style="137" customWidth="1"/>
    <col min="3" max="14" width="11.5703125" style="137" customWidth="1"/>
    <col min="15" max="15" width="3.42578125" style="137" customWidth="1"/>
    <col min="16" max="16384" width="11.42578125" style="137"/>
  </cols>
  <sheetData>
    <row r="1" spans="1:43" ht="13.35" customHeight="1"/>
    <row r="2" spans="1:43" ht="13.35" customHeight="1">
      <c r="A2" s="1061" t="s">
        <v>215</v>
      </c>
      <c r="B2" s="1002"/>
    </row>
    <row r="3" spans="1:43" ht="11.1" customHeight="1">
      <c r="A3" s="728"/>
      <c r="B3" s="63"/>
      <c r="C3" s="63"/>
      <c r="D3" s="116"/>
      <c r="E3" s="235"/>
      <c r="F3" s="235"/>
      <c r="G3" s="235"/>
      <c r="H3" s="235"/>
      <c r="I3" s="235"/>
      <c r="J3" s="856"/>
      <c r="L3" s="857"/>
      <c r="N3" s="534"/>
      <c r="O3" s="1003"/>
      <c r="Q3" s="1004"/>
    </row>
    <row r="4" spans="1:43" ht="14.1" customHeight="1">
      <c r="A4" s="2101" t="s">
        <v>361</v>
      </c>
      <c r="B4" s="2101"/>
      <c r="C4" s="2101"/>
      <c r="D4" s="2101"/>
      <c r="E4" s="2101"/>
      <c r="F4" s="2101"/>
      <c r="G4" s="2101"/>
      <c r="H4" s="2101"/>
      <c r="I4" s="2101"/>
      <c r="J4" s="2101"/>
      <c r="K4" s="2101"/>
      <c r="L4" s="2101"/>
      <c r="M4" s="2101"/>
      <c r="N4" s="2101"/>
      <c r="O4" s="1005"/>
    </row>
    <row r="5" spans="1:43" ht="11.1" customHeight="1" thickBot="1">
      <c r="A5" s="37"/>
      <c r="B5" s="37"/>
      <c r="C5" s="37"/>
      <c r="D5" s="37"/>
      <c r="E5" s="37"/>
      <c r="F5" s="37"/>
      <c r="G5" s="37"/>
      <c r="H5" s="37"/>
      <c r="I5" s="37"/>
      <c r="J5" s="37"/>
      <c r="K5" s="37"/>
      <c r="L5" s="37"/>
      <c r="M5" s="37"/>
      <c r="N5" s="37"/>
      <c r="O5" s="37"/>
    </row>
    <row r="6" spans="1:43" ht="24.6" customHeight="1">
      <c r="A6" s="1953" t="s">
        <v>43</v>
      </c>
      <c r="B6" s="1984"/>
      <c r="C6" s="2104" t="s">
        <v>360</v>
      </c>
      <c r="D6" s="2104"/>
      <c r="E6" s="2105"/>
      <c r="F6" s="2098" t="s">
        <v>224</v>
      </c>
      <c r="G6" s="2099"/>
      <c r="H6" s="2099"/>
      <c r="I6" s="2099"/>
      <c r="J6" s="2099"/>
      <c r="K6" s="2099"/>
      <c r="L6" s="2099"/>
      <c r="M6" s="2099"/>
      <c r="N6" s="2100"/>
      <c r="O6" s="29"/>
    </row>
    <row r="7" spans="1:43" ht="12" customHeight="1">
      <c r="A7" s="1985"/>
      <c r="B7" s="1986"/>
      <c r="C7" s="2106"/>
      <c r="D7" s="2106"/>
      <c r="E7" s="2107"/>
      <c r="F7" s="701"/>
      <c r="G7" s="930"/>
      <c r="H7" s="922" t="s">
        <v>6</v>
      </c>
      <c r="I7" s="931"/>
      <c r="J7" s="932"/>
      <c r="K7" s="930"/>
      <c r="L7" s="850"/>
      <c r="M7" s="724"/>
      <c r="N7" s="933"/>
      <c r="O7" s="29"/>
    </row>
    <row r="8" spans="1:43" ht="12" customHeight="1">
      <c r="A8" s="1985"/>
      <c r="B8" s="1986"/>
      <c r="C8" s="2108"/>
      <c r="D8" s="2108"/>
      <c r="E8" s="2109"/>
      <c r="F8" s="1254" t="s">
        <v>9</v>
      </c>
      <c r="G8" s="934"/>
      <c r="H8" s="852" t="s">
        <v>10</v>
      </c>
      <c r="I8" s="1060" t="s">
        <v>11</v>
      </c>
      <c r="J8" s="852" t="s">
        <v>12</v>
      </c>
      <c r="K8" s="934"/>
      <c r="L8" s="921" t="s">
        <v>13</v>
      </c>
      <c r="M8" s="935"/>
      <c r="N8" s="936" t="s">
        <v>27</v>
      </c>
      <c r="O8" s="46"/>
    </row>
    <row r="9" spans="1:43" ht="12" customHeight="1">
      <c r="A9" s="1985"/>
      <c r="B9" s="1986"/>
      <c r="C9" s="2103" t="s">
        <v>14</v>
      </c>
      <c r="D9" s="2102" t="s">
        <v>92</v>
      </c>
      <c r="E9" s="2102" t="s">
        <v>93</v>
      </c>
      <c r="F9" s="1254" t="s">
        <v>21</v>
      </c>
      <c r="G9" s="851" t="s">
        <v>21</v>
      </c>
      <c r="H9" s="852" t="s">
        <v>22</v>
      </c>
      <c r="I9" s="1060" t="s">
        <v>23</v>
      </c>
      <c r="J9" s="852" t="s">
        <v>24</v>
      </c>
      <c r="K9" s="851" t="s">
        <v>25</v>
      </c>
      <c r="L9" s="921" t="s">
        <v>26</v>
      </c>
      <c r="M9" s="25" t="s">
        <v>7</v>
      </c>
      <c r="N9" s="533" t="s">
        <v>38</v>
      </c>
      <c r="O9" s="1006"/>
      <c r="U9" s="1007"/>
      <c r="V9" s="245"/>
      <c r="W9" s="235"/>
      <c r="X9" s="235"/>
      <c r="Y9" s="235"/>
      <c r="Z9" s="235"/>
      <c r="AA9" s="235"/>
      <c r="AB9" s="235"/>
      <c r="AC9" s="856"/>
      <c r="AD9" s="856"/>
      <c r="AE9" s="857"/>
      <c r="AF9" s="235"/>
      <c r="AG9" s="235"/>
      <c r="AH9" s="235"/>
      <c r="AI9" s="235"/>
      <c r="AJ9" s="235"/>
      <c r="AK9" s="235"/>
      <c r="AL9" s="235"/>
      <c r="AM9" s="235"/>
      <c r="AN9" s="856"/>
      <c r="AO9" s="235"/>
      <c r="AP9" s="235"/>
      <c r="AQ9" s="1004" t="s">
        <v>111</v>
      </c>
    </row>
    <row r="10" spans="1:43" ht="12" customHeight="1">
      <c r="A10" s="1985"/>
      <c r="B10" s="1986"/>
      <c r="C10" s="1970"/>
      <c r="D10" s="2102"/>
      <c r="E10" s="2102"/>
      <c r="F10" s="1254" t="s">
        <v>225</v>
      </c>
      <c r="G10" s="851" t="s">
        <v>104</v>
      </c>
      <c r="H10" s="852" t="s">
        <v>105</v>
      </c>
      <c r="I10" s="1060" t="s">
        <v>226</v>
      </c>
      <c r="J10" s="852" t="s">
        <v>35</v>
      </c>
      <c r="K10" s="851" t="s">
        <v>36</v>
      </c>
      <c r="L10" s="921" t="s">
        <v>37</v>
      </c>
      <c r="M10" s="25"/>
      <c r="N10" s="533"/>
      <c r="O10" s="75"/>
    </row>
    <row r="11" spans="1:43" ht="11.1" customHeight="1">
      <c r="A11" s="1987"/>
      <c r="B11" s="1988"/>
      <c r="C11" s="1981"/>
      <c r="D11" s="2102"/>
      <c r="E11" s="2102"/>
      <c r="F11" s="46"/>
      <c r="G11" s="855"/>
      <c r="H11" s="937"/>
      <c r="I11" s="937"/>
      <c r="J11" s="938"/>
      <c r="K11" s="855"/>
      <c r="L11" s="937"/>
      <c r="M11" s="935"/>
      <c r="N11" s="939"/>
      <c r="O11" s="29"/>
    </row>
    <row r="12" spans="1:43" ht="3" customHeight="1">
      <c r="A12" s="1008"/>
      <c r="B12" s="923"/>
      <c r="C12" s="923"/>
      <c r="D12" s="940"/>
      <c r="E12" s="941"/>
      <c r="F12" s="942"/>
      <c r="G12" s="943"/>
      <c r="H12" s="942"/>
      <c r="I12" s="942"/>
      <c r="J12" s="942"/>
      <c r="K12" s="944"/>
      <c r="L12" s="942"/>
      <c r="M12" s="945"/>
      <c r="N12" s="1025"/>
      <c r="O12" s="1009"/>
    </row>
    <row r="13" spans="1:43" ht="15" customHeight="1">
      <c r="A13" s="592" t="s">
        <v>58</v>
      </c>
      <c r="B13" s="595"/>
      <c r="C13" s="1037">
        <f>45+363+36+6+3+27+9+9+18+3+12+9+3+45+9+3+21+27+12+105+24+18+12</f>
        <v>819</v>
      </c>
      <c r="D13" s="1037">
        <f>45+297+36+3+3+6+12+9+3+42+12+12+3+93+18+3</f>
        <v>597</v>
      </c>
      <c r="E13" s="1037">
        <f>66+3+3+24+9+9+12+3+3+9+3+9+12+9+12+9+12+12</f>
        <v>219</v>
      </c>
      <c r="F13" s="1037">
        <f>3+12+30+6+21+3+3</f>
        <v>78</v>
      </c>
      <c r="G13" s="1037">
        <f>24+102+6+3+9+3+6+3+6+21+3+9+6+48+3+3</f>
        <v>255</v>
      </c>
      <c r="H13" s="1037">
        <f>15+147+15+3+6+3+6+3+3+3+12+9+6+36+15+9+6</f>
        <v>297</v>
      </c>
      <c r="I13" s="1037">
        <f>3+99+3+3+3+3+6+3+6+3+6+6+15+9+9</f>
        <v>177</v>
      </c>
      <c r="J13" s="520">
        <v>0</v>
      </c>
      <c r="K13" s="520">
        <v>0</v>
      </c>
      <c r="L13" s="520">
        <v>0</v>
      </c>
      <c r="M13" s="1037">
        <v>0</v>
      </c>
      <c r="N13" s="1048">
        <v>0</v>
      </c>
      <c r="O13" s="149"/>
    </row>
    <row r="14" spans="1:43" ht="15" customHeight="1">
      <c r="A14" s="592" t="s">
        <v>49</v>
      </c>
      <c r="B14" s="595"/>
      <c r="C14" s="1037">
        <f>3+6+3+6+3+6+3+6+87</f>
        <v>123</v>
      </c>
      <c r="D14" s="1037">
        <f>3+3+3+3+3+3+3+81</f>
        <v>102</v>
      </c>
      <c r="E14" s="1037">
        <f>6+3+3+3+3+6</f>
        <v>24</v>
      </c>
      <c r="F14" s="396">
        <f>6+3+3</f>
        <v>12</v>
      </c>
      <c r="G14" s="396">
        <f>3+51</f>
        <v>54</v>
      </c>
      <c r="H14" s="396">
        <f>3+3+3+3+3+18</f>
        <v>33</v>
      </c>
      <c r="I14" s="396">
        <f>3+15</f>
        <v>18</v>
      </c>
      <c r="J14" s="520">
        <v>0</v>
      </c>
      <c r="K14" s="520">
        <v>0</v>
      </c>
      <c r="L14" s="520">
        <v>0</v>
      </c>
      <c r="M14" s="396">
        <v>0</v>
      </c>
      <c r="N14" s="1048">
        <v>0</v>
      </c>
      <c r="O14" s="149"/>
    </row>
    <row r="15" spans="1:43" ht="15" customHeight="1">
      <c r="A15" s="592" t="s">
        <v>52</v>
      </c>
      <c r="B15" s="595"/>
      <c r="C15" s="1037">
        <v>2061</v>
      </c>
      <c r="D15" s="1037">
        <v>1608</v>
      </c>
      <c r="E15" s="1037">
        <v>444</v>
      </c>
      <c r="F15" s="396">
        <v>123</v>
      </c>
      <c r="G15" s="396">
        <v>549</v>
      </c>
      <c r="H15" s="396">
        <v>852</v>
      </c>
      <c r="I15" s="396">
        <v>492</v>
      </c>
      <c r="J15" s="520">
        <v>0</v>
      </c>
      <c r="K15" s="520">
        <v>0</v>
      </c>
      <c r="L15" s="520">
        <v>0</v>
      </c>
      <c r="M15" s="396">
        <v>39</v>
      </c>
      <c r="N15" s="1048">
        <v>0</v>
      </c>
      <c r="O15" s="149"/>
    </row>
    <row r="16" spans="1:43" ht="15" customHeight="1">
      <c r="A16" s="592" t="s">
        <v>48</v>
      </c>
      <c r="B16" s="595"/>
      <c r="C16" s="1037">
        <v>54</v>
      </c>
      <c r="D16" s="1037">
        <v>36</v>
      </c>
      <c r="E16" s="1037">
        <v>15</v>
      </c>
      <c r="F16" s="396">
        <v>3</v>
      </c>
      <c r="G16" s="396">
        <v>21</v>
      </c>
      <c r="H16" s="396">
        <v>15</v>
      </c>
      <c r="I16" s="396">
        <v>9</v>
      </c>
      <c r="J16" s="520">
        <v>0</v>
      </c>
      <c r="K16" s="520">
        <v>0</v>
      </c>
      <c r="L16" s="520">
        <v>0</v>
      </c>
      <c r="M16" s="396">
        <v>0</v>
      </c>
      <c r="N16" s="1048">
        <v>0</v>
      </c>
      <c r="O16" s="149"/>
    </row>
    <row r="17" spans="1:15" s="217" customFormat="1" ht="15" customHeight="1">
      <c r="A17" s="592" t="s">
        <v>53</v>
      </c>
      <c r="B17" s="595"/>
      <c r="C17" s="1037">
        <f>48+552+12+9+3+6+48+9+99+9+3+3+84+6+6+246+24+15+75+15+129+75+948+18+15+3</f>
        <v>2460</v>
      </c>
      <c r="D17" s="1037">
        <f>48+498+12+3+3+3+3+15+6+3+78+6+3+216+15+12+57+9+72+63+876+15+3</f>
        <v>2019</v>
      </c>
      <c r="E17" s="1037">
        <f>54+6+3+3+45+6+84+6+3+6+30+6+3+18+6+57+12+72+12+3</f>
        <v>435</v>
      </c>
      <c r="F17" s="396">
        <f>9+12+135+3+3+3+24</f>
        <v>189</v>
      </c>
      <c r="G17" s="396">
        <f>18+129+12+3+9+9+6+108+6+21+36+36+345</f>
        <v>738</v>
      </c>
      <c r="H17" s="396">
        <f>21+267+3+15+33+6+48+6+3+3+6+33+3+51+21+369+9+6</f>
        <v>903</v>
      </c>
      <c r="I17" s="396">
        <f>6+147+3+3+24+3+57+3+3+27+12+6+21+9+36+15+204+6+9</f>
        <v>594</v>
      </c>
      <c r="J17" s="520">
        <v>0</v>
      </c>
      <c r="K17" s="520">
        <v>0</v>
      </c>
      <c r="L17" s="520">
        <v>0</v>
      </c>
      <c r="M17" s="396">
        <v>6</v>
      </c>
      <c r="N17" s="1048">
        <v>0</v>
      </c>
      <c r="O17" s="149"/>
    </row>
    <row r="18" spans="1:15" ht="15" customHeight="1">
      <c r="A18" s="592" t="s">
        <v>50</v>
      </c>
      <c r="B18" s="595"/>
      <c r="C18" s="1037">
        <f>42+3+6+3+174+3+3+3+18+9+12+3+36+39+9+15+15+51+12+213+6+6</f>
        <v>681</v>
      </c>
      <c r="D18" s="1037">
        <f>39+3+6+3+150+3+3+3+27+36+6+12+9+27+9+189+3+6</f>
        <v>534</v>
      </c>
      <c r="E18" s="1037">
        <f>6+27+3+3+15+9+9+3+6+3+3+6+6+24+3+24+3+3</f>
        <v>156</v>
      </c>
      <c r="F18" s="396">
        <f>6+12+18+3+3</f>
        <v>42</v>
      </c>
      <c r="G18" s="396">
        <f>3+48+3+3+18+3+6+18+6+93</f>
        <v>201</v>
      </c>
      <c r="H18" s="396">
        <f>24+3+3+66+3+6+9+3+12+6+6+3+15+6+81+3+3</f>
        <v>252</v>
      </c>
      <c r="I18" s="396">
        <f>15+3+51+3+3+15+18+6+3+15+39+3</f>
        <v>174</v>
      </c>
      <c r="J18" s="520">
        <v>0</v>
      </c>
      <c r="K18" s="520">
        <v>0</v>
      </c>
      <c r="L18" s="520">
        <v>0</v>
      </c>
      <c r="M18" s="396">
        <v>0</v>
      </c>
      <c r="N18" s="1048">
        <v>0</v>
      </c>
      <c r="O18" s="149"/>
    </row>
    <row r="19" spans="1:15" ht="15" customHeight="1">
      <c r="A19" s="592" t="s">
        <v>54</v>
      </c>
      <c r="B19" s="595"/>
      <c r="C19" s="1037">
        <f>9+12+129+6+3+33+3+18+3+216+39+6+60+6+3+9+3+27+3+120+3+3+3</f>
        <v>717</v>
      </c>
      <c r="D19" s="1037">
        <f>6+12+111+3+3+165+39+6+54+6+3+3+3+15+105+3</f>
        <v>537</v>
      </c>
      <c r="E19" s="1037">
        <f>3+18+3+30+3+15+51+6+6+12+15+3+3</f>
        <v>168</v>
      </c>
      <c r="F19" s="396">
        <f>3+3+3+27+3</f>
        <v>39</v>
      </c>
      <c r="G19" s="396">
        <f>3+9+42+3+12+30+6+30+3+3+15+51+3</f>
        <v>210</v>
      </c>
      <c r="H19" s="396">
        <f>3+54+12+6+69+24+3+3+3+3+9+3+48+3</f>
        <v>243</v>
      </c>
      <c r="I19" s="396">
        <f>27+3+9+12+111+9+3+3+3+3+3+21+3</f>
        <v>210</v>
      </c>
      <c r="J19" s="520">
        <v>0</v>
      </c>
      <c r="K19" s="520">
        <v>0</v>
      </c>
      <c r="L19" s="520">
        <v>0</v>
      </c>
      <c r="M19" s="396">
        <v>6</v>
      </c>
      <c r="N19" s="1048">
        <v>0</v>
      </c>
      <c r="O19" s="149"/>
    </row>
    <row r="20" spans="1:15" ht="15" customHeight="1">
      <c r="A20" s="592" t="s">
        <v>44</v>
      </c>
      <c r="B20" s="595"/>
      <c r="C20" s="1037">
        <f>3+276+12+3+3+3+48+9+33+3+3+3+78+141+147+45+24+33+18+102+18+483+15+9+6</f>
        <v>1518</v>
      </c>
      <c r="D20" s="1037">
        <f>3+222+9+3+3+9+3+6+3+66+132+114+27+21+21+12+48+15+420+15+3</f>
        <v>1155</v>
      </c>
      <c r="E20" s="1037">
        <f>54+3+39+6+24+3+3+12+9+36+18+3+12+9+54+3+63+3+6+6</f>
        <v>366</v>
      </c>
      <c r="F20" s="396">
        <f>3+9+63+3+9</f>
        <v>87</v>
      </c>
      <c r="G20" s="396">
        <f>3+84+3+3+9+3+9+42+81+6+6+9+3+39+6+150</f>
        <v>456</v>
      </c>
      <c r="H20" s="396">
        <f>3+126+3+27+3+15+3+27+63+3+12+12+9+9+39+9+219+9+3+3</f>
        <v>597</v>
      </c>
      <c r="I20" s="396">
        <f>60+3+12+6+12+3+39+36+27+6+15+6+24+108+6+6</f>
        <v>369</v>
      </c>
      <c r="J20" s="520">
        <v>0</v>
      </c>
      <c r="K20" s="520">
        <v>0</v>
      </c>
      <c r="L20" s="520">
        <v>0</v>
      </c>
      <c r="M20" s="396">
        <v>3</v>
      </c>
      <c r="N20" s="1048">
        <v>0</v>
      </c>
      <c r="O20" s="149"/>
    </row>
    <row r="21" spans="1:15" ht="15" customHeight="1">
      <c r="A21" s="592" t="s">
        <v>45</v>
      </c>
      <c r="B21" s="595"/>
      <c r="C21" s="1037">
        <f>30+780+3+9+3+3+36+9+21+6+27+24+48+168+42+6+24+18+180+6+462+120+51+39</f>
        <v>2115</v>
      </c>
      <c r="D21" s="1037">
        <f>30+669+3+6+3+3+3+3+3+24+18+48+132+27+6+21+9+96+3+420+90+6</f>
        <v>1623</v>
      </c>
      <c r="E21" s="1037">
        <f>3+108+3+36+6+18+6+3+9+36+12+6+9+84+6+42+30+45+39</f>
        <v>501</v>
      </c>
      <c r="F21" s="396">
        <f>12+3+69+3+12+15</f>
        <v>114</v>
      </c>
      <c r="G21" s="396">
        <f>12+375+6+3+6+6+15+96+12+12+6+90+3+222+24+3+15</f>
        <v>906</v>
      </c>
      <c r="H21" s="396">
        <f>12+309+3+21+6+12+3+18+9+27+3+12+3+9+3+51+3+144+78+39+21</f>
        <v>786</v>
      </c>
      <c r="I21" s="396">
        <f>3+78+3+12+6+6+3+3+9+6+15+3+6+9+24+3+81+15+12+3</f>
        <v>300</v>
      </c>
      <c r="J21" s="520">
        <v>0</v>
      </c>
      <c r="K21" s="520">
        <v>0</v>
      </c>
      <c r="L21" s="520">
        <v>0</v>
      </c>
      <c r="M21" s="396">
        <v>0</v>
      </c>
      <c r="N21" s="1048">
        <v>0</v>
      </c>
      <c r="O21" s="149"/>
    </row>
    <row r="22" spans="1:15" s="217" customFormat="1" ht="15" customHeight="1">
      <c r="A22" s="592" t="s">
        <v>55</v>
      </c>
      <c r="B22" s="595"/>
      <c r="C22" s="1037">
        <f>15+6+3+3+45+3+6+12+3+63</f>
        <v>159</v>
      </c>
      <c r="D22" s="1037">
        <f>9+3+30+6+9+54</f>
        <v>111</v>
      </c>
      <c r="E22" s="1037">
        <f>3+6+3+15+3+3+3+9</f>
        <v>45</v>
      </c>
      <c r="F22" s="396">
        <f>18+3</f>
        <v>21</v>
      </c>
      <c r="G22" s="396">
        <f>6+3+27+9+45</f>
        <v>90</v>
      </c>
      <c r="H22" s="396">
        <f>6+3+3+3+3+9</f>
        <v>27</v>
      </c>
      <c r="I22" s="396">
        <f>3+9</f>
        <v>12</v>
      </c>
      <c r="J22" s="520">
        <v>0</v>
      </c>
      <c r="K22" s="520">
        <v>0</v>
      </c>
      <c r="L22" s="520">
        <v>0</v>
      </c>
      <c r="M22" s="396">
        <v>0</v>
      </c>
      <c r="N22" s="1048">
        <v>0</v>
      </c>
      <c r="O22" s="149"/>
    </row>
    <row r="23" spans="1:15" ht="15" customHeight="1">
      <c r="A23" s="592" t="s">
        <v>46</v>
      </c>
      <c r="B23" s="595"/>
      <c r="C23" s="1037">
        <f>3+3+9+27+3+21+6+129</f>
        <v>201</v>
      </c>
      <c r="D23" s="1037">
        <f>6+24+3+9+3+108</f>
        <v>153</v>
      </c>
      <c r="E23" s="1037">
        <f>3+3+3+3+15+21</f>
        <v>48</v>
      </c>
      <c r="F23" s="396">
        <f>18+3</f>
        <v>21</v>
      </c>
      <c r="G23" s="396">
        <f>9+3+3+3+54</f>
        <v>72</v>
      </c>
      <c r="H23" s="396">
        <f>3+3+12+3+45</f>
        <v>66</v>
      </c>
      <c r="I23" s="396">
        <f>3+6+3+30</f>
        <v>42</v>
      </c>
      <c r="J23" s="520">
        <v>0</v>
      </c>
      <c r="K23" s="520">
        <v>0</v>
      </c>
      <c r="L23" s="520">
        <v>0</v>
      </c>
      <c r="M23" s="396">
        <v>0</v>
      </c>
      <c r="N23" s="1048">
        <v>0</v>
      </c>
      <c r="O23" s="149"/>
    </row>
    <row r="24" spans="1:15" ht="15" customHeight="1">
      <c r="A24" s="592" t="s">
        <v>47</v>
      </c>
      <c r="B24" s="595"/>
      <c r="C24" s="1037">
        <f>12+12+171+51+3+3+24+15+6+3+42+63+3+6+3+9+12+48+9+6</f>
        <v>501</v>
      </c>
      <c r="D24" s="1037">
        <f>9+12+150+21+3+3+3+3+36+39+3+6+6+42+9</f>
        <v>345</v>
      </c>
      <c r="E24" s="1037">
        <f>6+21+30+21+12+6+6+24+3+3+6+6+6+3</f>
        <v>153</v>
      </c>
      <c r="F24" s="258">
        <f>12+6+9+51+3+3+3</f>
        <v>87</v>
      </c>
      <c r="G24" s="258">
        <f>3+45+24+9+3+3+6+9+3+3+9</f>
        <v>117</v>
      </c>
      <c r="H24" s="258">
        <f>6+96+12+3+9+6+3+3+24+3+3+3+21+6+3</f>
        <v>201</v>
      </c>
      <c r="I24" s="258">
        <f>6+24+6+6+6+12+3+3+18+3</f>
        <v>87</v>
      </c>
      <c r="J24" s="520">
        <v>0</v>
      </c>
      <c r="K24" s="520">
        <v>0</v>
      </c>
      <c r="L24" s="520">
        <v>0</v>
      </c>
      <c r="M24" s="258">
        <v>0</v>
      </c>
      <c r="N24" s="1048">
        <v>0</v>
      </c>
      <c r="O24" s="149"/>
    </row>
    <row r="25" spans="1:15" ht="15" customHeight="1">
      <c r="A25" s="592" t="s">
        <v>51</v>
      </c>
      <c r="B25" s="595"/>
      <c r="C25" s="1037">
        <f>12+21+201+39+3+12+3+9+21+3+12+6+3+36+12+9</f>
        <v>402</v>
      </c>
      <c r="D25" s="1037">
        <f>12+21+171+24+3+3+6+21+3+9+3+33+12+3</f>
        <v>324</v>
      </c>
      <c r="E25" s="1037">
        <f>27+15+6+3+3+3+9</f>
        <v>66</v>
      </c>
      <c r="F25" s="396">
        <f>6+12+3+6</f>
        <v>27</v>
      </c>
      <c r="G25" s="396">
        <f>6+9+63+18+3+3+3+3+3+9</f>
        <v>120</v>
      </c>
      <c r="H25" s="396">
        <f>12+84+15+6+6+12+21+9+3</f>
        <v>168</v>
      </c>
      <c r="I25" s="396">
        <f>42+6+6+3+6+3+6</f>
        <v>72</v>
      </c>
      <c r="J25" s="520">
        <v>0</v>
      </c>
      <c r="K25" s="520">
        <v>0</v>
      </c>
      <c r="L25" s="520">
        <v>0</v>
      </c>
      <c r="M25" s="396">
        <v>0</v>
      </c>
      <c r="N25" s="1048">
        <v>0</v>
      </c>
      <c r="O25" s="149"/>
    </row>
    <row r="26" spans="1:15" ht="15" customHeight="1">
      <c r="A26" s="592" t="s">
        <v>56</v>
      </c>
      <c r="B26" s="595"/>
      <c r="C26" s="1037">
        <f>12+240+36+93+3+27+3+3+6+6+93+6+9+15+24+6+87+24+6+48</f>
        <v>747</v>
      </c>
      <c r="D26" s="1037">
        <f>12+189+30+30+6+6+3+60+3+6+9+9+3+72+15+42</f>
        <v>495</v>
      </c>
      <c r="E26" s="1037">
        <f>51+9+63+3+21+3+3+33+3+3+3+15+3+18+9+3+6</f>
        <v>249</v>
      </c>
      <c r="F26" s="396">
        <f>9+18+3+36+3</f>
        <v>69</v>
      </c>
      <c r="G26" s="396">
        <f>3+78+21+36+3+54+3+9+15+6+3</f>
        <v>231</v>
      </c>
      <c r="H26" s="396">
        <f>6+114+48+3+18+3+3+3+3+3+6+9+6+3+51+12+27</f>
        <v>318</v>
      </c>
      <c r="I26" s="396">
        <f>3+42+3+6+3+3+3+3+3+6+3+21+6+6+15</f>
        <v>126</v>
      </c>
      <c r="J26" s="520">
        <v>0</v>
      </c>
      <c r="K26" s="520">
        <v>0</v>
      </c>
      <c r="L26" s="520">
        <v>0</v>
      </c>
      <c r="M26" s="396">
        <v>0</v>
      </c>
      <c r="N26" s="1048">
        <v>0</v>
      </c>
      <c r="O26" s="149"/>
    </row>
    <row r="27" spans="1:15" ht="15" customHeight="1">
      <c r="A27" s="592" t="s">
        <v>57</v>
      </c>
      <c r="B27" s="595"/>
      <c r="C27" s="1037">
        <f>18+192+6+33+3+6+18+3+3+33+81+3+3+3+6+42+6+6</f>
        <v>465</v>
      </c>
      <c r="D27" s="1037">
        <f>18+174+3+15+3+3+3+30+69+3+3+3+3+33+6</f>
        <v>369</v>
      </c>
      <c r="E27" s="1037">
        <f>18+3+18+3+18+3+12+3+9+3+6</f>
        <v>96</v>
      </c>
      <c r="F27" s="396">
        <f>6+45</f>
        <v>51</v>
      </c>
      <c r="G27" s="396">
        <f>6+45+15+3+3+33+6</f>
        <v>111</v>
      </c>
      <c r="H27" s="396">
        <f>12+123+3+15+3+12+24+3+3+3+3+3+30+6+3</f>
        <v>246</v>
      </c>
      <c r="I27" s="396">
        <f>18+3+3+6+6+3</f>
        <v>39</v>
      </c>
      <c r="J27" s="520">
        <v>0</v>
      </c>
      <c r="K27" s="520">
        <v>0</v>
      </c>
      <c r="L27" s="520">
        <v>0</v>
      </c>
      <c r="M27" s="396">
        <v>0</v>
      </c>
      <c r="N27" s="1048">
        <v>0</v>
      </c>
      <c r="O27" s="149"/>
    </row>
    <row r="28" spans="1:15" s="90" customFormat="1" ht="15" customHeight="1">
      <c r="A28" s="592" t="s">
        <v>59</v>
      </c>
      <c r="B28" s="595"/>
      <c r="C28" s="1037">
        <f>3+6+195+60+18+6+15+3+3+18+33+6+18+39+9</f>
        <v>432</v>
      </c>
      <c r="D28" s="1037">
        <f>3+6+171+24+6+3+3+3+18+24+3+9+33+3</f>
        <v>309</v>
      </c>
      <c r="E28" s="1037">
        <f>24+36+9+3+12+9+3+6+6+3</f>
        <v>111</v>
      </c>
      <c r="F28" s="1037">
        <f>3+3+12</f>
        <v>18</v>
      </c>
      <c r="G28" s="1037">
        <f>3+72+30+6+3+21+3+9+12</f>
        <v>159</v>
      </c>
      <c r="H28" s="1037">
        <f>3+108+27+6+9+12+3+3+18+3</f>
        <v>192</v>
      </c>
      <c r="I28" s="1037">
        <f>12+3+3+3+6+3+6+3+6+3</f>
        <v>48</v>
      </c>
      <c r="J28" s="520">
        <v>0</v>
      </c>
      <c r="K28" s="520">
        <v>0</v>
      </c>
      <c r="L28" s="520">
        <v>0</v>
      </c>
      <c r="M28" s="1037">
        <v>0</v>
      </c>
      <c r="N28" s="1048">
        <v>0</v>
      </c>
      <c r="O28" s="276"/>
    </row>
    <row r="29" spans="1:15" ht="3.6" customHeight="1">
      <c r="A29" s="592"/>
      <c r="B29" s="595"/>
      <c r="C29" s="659"/>
      <c r="D29" s="521"/>
      <c r="E29" s="18"/>
      <c r="F29" s="1079"/>
      <c r="G29" s="1079"/>
      <c r="H29" s="1079"/>
      <c r="I29" s="1079"/>
      <c r="J29" s="522"/>
      <c r="K29" s="522"/>
      <c r="L29" s="522"/>
      <c r="M29" s="1079"/>
      <c r="N29" s="523"/>
      <c r="O29" s="277"/>
    </row>
    <row r="30" spans="1:15" s="90" customFormat="1" ht="21" customHeight="1" thickBot="1">
      <c r="A30" s="593" t="s">
        <v>60</v>
      </c>
      <c r="B30" s="658"/>
      <c r="C30" s="1066">
        <f>SUM(C13:C28)</f>
        <v>13455</v>
      </c>
      <c r="D30" s="1066">
        <f t="shared" ref="D30:I30" si="0">SUM(D13:D28)</f>
        <v>10317</v>
      </c>
      <c r="E30" s="1066">
        <f t="shared" si="0"/>
        <v>3096</v>
      </c>
      <c r="F30" s="1066">
        <f t="shared" si="0"/>
        <v>981</v>
      </c>
      <c r="G30" s="1066">
        <f t="shared" si="0"/>
        <v>4290</v>
      </c>
      <c r="H30" s="1066">
        <f t="shared" si="0"/>
        <v>5196</v>
      </c>
      <c r="I30" s="1066">
        <f t="shared" si="0"/>
        <v>2769</v>
      </c>
      <c r="J30" s="946">
        <v>0</v>
      </c>
      <c r="K30" s="946">
        <v>0</v>
      </c>
      <c r="L30" s="946">
        <v>0</v>
      </c>
      <c r="M30" s="1066">
        <f>SUM(M13:M28)</f>
        <v>54</v>
      </c>
      <c r="N30" s="1049">
        <f>SUM(N13:N28)</f>
        <v>0</v>
      </c>
      <c r="O30" s="145" t="s">
        <v>40</v>
      </c>
    </row>
    <row r="31" spans="1:15" s="90" customFormat="1" ht="3.6" customHeight="1">
      <c r="A31" s="575"/>
      <c r="B31" s="575"/>
      <c r="C31" s="579"/>
      <c r="D31" s="579"/>
      <c r="E31" s="579"/>
      <c r="F31" s="579"/>
      <c r="G31" s="579"/>
      <c r="H31" s="579"/>
      <c r="I31" s="579"/>
      <c r="J31" s="579"/>
      <c r="K31" s="579"/>
      <c r="L31" s="579"/>
      <c r="M31" s="579"/>
      <c r="N31" s="579"/>
      <c r="O31" s="145"/>
    </row>
    <row r="32" spans="1:15" s="90" customFormat="1" ht="12" customHeight="1">
      <c r="A32" s="70" t="s">
        <v>299</v>
      </c>
      <c r="B32" s="70"/>
      <c r="C32" s="579"/>
      <c r="D32" s="579"/>
      <c r="E32" s="579"/>
      <c r="F32" s="579"/>
      <c r="G32" s="579"/>
      <c r="H32" s="579"/>
      <c r="I32" s="579"/>
      <c r="J32" s="579"/>
      <c r="K32" s="579"/>
      <c r="L32" s="579"/>
      <c r="M32" s="579"/>
      <c r="N32" s="579"/>
      <c r="O32" s="145"/>
    </row>
    <row r="33" spans="1:15" s="90" customFormat="1" ht="12" customHeight="1">
      <c r="A33" s="63" t="s">
        <v>316</v>
      </c>
      <c r="B33" s="120"/>
      <c r="C33" s="579"/>
      <c r="D33" s="145"/>
      <c r="E33" s="145"/>
      <c r="F33" s="145"/>
      <c r="G33" s="145"/>
      <c r="H33" s="145"/>
      <c r="I33" s="145"/>
      <c r="J33" s="145"/>
      <c r="K33" s="145"/>
      <c r="L33" s="145"/>
      <c r="M33" s="145"/>
      <c r="N33" s="145"/>
      <c r="O33" s="277"/>
    </row>
    <row r="34" spans="1:15" s="90" customFormat="1" ht="12" customHeight="1">
      <c r="A34" s="70" t="s">
        <v>338</v>
      </c>
      <c r="B34" s="6"/>
      <c r="C34" s="579"/>
      <c r="D34" s="145"/>
      <c r="E34" s="145"/>
      <c r="F34" s="145"/>
      <c r="G34" s="145"/>
      <c r="H34" s="145"/>
      <c r="I34" s="145"/>
      <c r="J34" s="145"/>
      <c r="K34" s="145"/>
      <c r="L34" s="145"/>
      <c r="M34" s="145"/>
      <c r="N34" s="145"/>
      <c r="O34" s="277"/>
    </row>
    <row r="35" spans="1:15" s="90" customFormat="1" ht="12" customHeight="1">
      <c r="A35" s="70" t="s">
        <v>383</v>
      </c>
      <c r="C35" s="579"/>
      <c r="D35" s="145"/>
      <c r="E35" s="145"/>
      <c r="F35" s="145"/>
      <c r="G35" s="145"/>
      <c r="H35" s="145"/>
      <c r="I35" s="145"/>
      <c r="J35" s="145"/>
      <c r="K35" s="145"/>
      <c r="L35" s="145"/>
      <c r="M35" s="145"/>
      <c r="N35" s="145"/>
      <c r="O35" s="277"/>
    </row>
    <row r="36" spans="1:15">
      <c r="C36" s="947"/>
      <c r="D36" s="947"/>
      <c r="E36" s="947"/>
      <c r="F36" s="947"/>
      <c r="G36" s="947"/>
      <c r="H36" s="947"/>
      <c r="I36" s="947"/>
      <c r="J36" s="947"/>
      <c r="K36" s="947"/>
      <c r="L36" s="947"/>
      <c r="M36" s="947"/>
    </row>
    <row r="37" spans="1:15">
      <c r="C37" s="947"/>
      <c r="D37" s="948"/>
      <c r="E37" s="947"/>
      <c r="F37" s="947"/>
      <c r="G37" s="947"/>
      <c r="H37" s="947" t="s">
        <v>40</v>
      </c>
      <c r="I37" s="947"/>
      <c r="J37" s="947"/>
      <c r="K37" s="947"/>
    </row>
    <row r="38" spans="1:15">
      <c r="C38" s="947"/>
      <c r="D38" s="948"/>
      <c r="E38" s="947"/>
      <c r="F38" s="947"/>
      <c r="G38" s="947"/>
      <c r="H38" s="947"/>
      <c r="I38" s="947"/>
      <c r="J38" s="947"/>
      <c r="K38" s="947"/>
    </row>
    <row r="39" spans="1:15">
      <c r="C39" s="947"/>
      <c r="D39" s="948"/>
      <c r="E39" s="948"/>
      <c r="F39" s="149"/>
      <c r="G39" s="149"/>
      <c r="H39" s="149"/>
      <c r="I39" s="149"/>
      <c r="J39" s="149"/>
      <c r="K39" s="948"/>
    </row>
    <row r="40" spans="1:15">
      <c r="C40" s="947"/>
      <c r="D40" s="948"/>
      <c r="E40" s="947"/>
      <c r="F40" s="947"/>
      <c r="G40" s="947"/>
      <c r="H40" s="947"/>
      <c r="I40" s="947"/>
      <c r="J40" s="947"/>
      <c r="K40" s="947"/>
    </row>
    <row r="41" spans="1:15">
      <c r="C41" s="947"/>
      <c r="D41" s="948"/>
      <c r="E41" s="947"/>
      <c r="F41" s="947"/>
      <c r="G41" s="947"/>
      <c r="H41" s="947"/>
      <c r="I41" s="947"/>
      <c r="J41" s="947"/>
      <c r="K41" s="947"/>
    </row>
    <row r="42" spans="1:15">
      <c r="C42" s="947"/>
      <c r="D42" s="948"/>
      <c r="E42" s="947"/>
      <c r="F42" s="947"/>
      <c r="G42" s="947"/>
      <c r="H42" s="947"/>
      <c r="I42" s="947"/>
      <c r="J42" s="947"/>
      <c r="K42" s="947"/>
    </row>
    <row r="43" spans="1:15">
      <c r="C43" s="947"/>
      <c r="D43" s="948"/>
      <c r="E43" s="947"/>
      <c r="F43" s="947"/>
      <c r="G43" s="947"/>
      <c r="H43" s="947"/>
      <c r="I43" s="947"/>
      <c r="J43" s="947"/>
      <c r="K43" s="947"/>
    </row>
    <row r="44" spans="1:15">
      <c r="C44" s="947"/>
      <c r="D44" s="948"/>
      <c r="E44" s="947"/>
      <c r="F44" s="947"/>
      <c r="G44" s="947"/>
      <c r="H44" s="947"/>
      <c r="I44" s="947"/>
      <c r="J44" s="947"/>
      <c r="K44" s="947"/>
    </row>
    <row r="45" spans="1:15">
      <c r="C45" s="947"/>
      <c r="D45" s="948"/>
      <c r="E45" s="947"/>
      <c r="F45" s="947"/>
      <c r="G45" s="947"/>
      <c r="H45" s="947"/>
      <c r="I45" s="947"/>
      <c r="J45" s="947"/>
      <c r="K45" s="947"/>
    </row>
    <row r="46" spans="1:15">
      <c r="C46" s="947"/>
      <c r="D46" s="948"/>
      <c r="E46" s="947"/>
      <c r="F46" s="947"/>
      <c r="G46" s="947"/>
      <c r="H46" s="947"/>
      <c r="I46" s="947"/>
      <c r="J46" s="947"/>
      <c r="K46" s="947"/>
    </row>
    <row r="47" spans="1:15">
      <c r="C47" s="947"/>
      <c r="D47" s="948"/>
      <c r="E47" s="947"/>
      <c r="F47" s="149"/>
      <c r="G47" s="149"/>
      <c r="H47" s="948"/>
      <c r="I47" s="947"/>
      <c r="J47" s="947"/>
      <c r="K47" s="947"/>
    </row>
    <row r="48" spans="1:15">
      <c r="C48" s="947"/>
      <c r="D48" s="948"/>
      <c r="E48" s="947"/>
      <c r="F48" s="947"/>
      <c r="G48" s="947"/>
      <c r="H48" s="947"/>
      <c r="I48" s="947"/>
      <c r="J48" s="947"/>
      <c r="K48" s="947"/>
    </row>
    <row r="49" spans="3:11">
      <c r="C49" s="947"/>
      <c r="D49" s="948"/>
      <c r="E49" s="947"/>
      <c r="F49" s="947"/>
      <c r="G49" s="947"/>
      <c r="H49" s="947"/>
      <c r="I49" s="947"/>
      <c r="J49" s="947"/>
      <c r="K49" s="947"/>
    </row>
    <row r="50" spans="3:11">
      <c r="C50" s="947"/>
      <c r="D50" s="948"/>
      <c r="E50" s="947"/>
      <c r="F50" s="947"/>
      <c r="G50" s="947"/>
      <c r="H50" s="947"/>
      <c r="I50" s="947"/>
      <c r="J50" s="947"/>
      <c r="K50" s="947"/>
    </row>
    <row r="51" spans="3:11">
      <c r="C51" s="947"/>
      <c r="D51" s="948"/>
      <c r="E51" s="947"/>
      <c r="F51" s="947"/>
      <c r="G51" s="947"/>
      <c r="H51" s="947"/>
      <c r="I51" s="947"/>
      <c r="J51" s="947"/>
      <c r="K51" s="947"/>
    </row>
    <row r="52" spans="3:11">
      <c r="C52" s="947"/>
      <c r="D52" s="948"/>
      <c r="E52" s="947"/>
      <c r="F52" s="947"/>
      <c r="G52" s="947"/>
      <c r="H52" s="947"/>
      <c r="I52" s="947"/>
      <c r="J52" s="947"/>
      <c r="K52" s="947"/>
    </row>
    <row r="53" spans="3:11">
      <c r="C53" s="947"/>
      <c r="D53" s="948"/>
      <c r="E53" s="947"/>
      <c r="F53" s="947"/>
      <c r="G53" s="947"/>
      <c r="H53" s="947"/>
      <c r="I53" s="947"/>
      <c r="J53" s="947"/>
      <c r="K53" s="947"/>
    </row>
    <row r="54" spans="3:11">
      <c r="C54" s="947"/>
      <c r="D54" s="948"/>
      <c r="E54" s="947"/>
      <c r="F54" s="947"/>
      <c r="G54" s="947"/>
      <c r="H54" s="947"/>
      <c r="I54" s="947"/>
      <c r="J54" s="947"/>
      <c r="K54" s="947"/>
    </row>
    <row r="55" spans="3:11">
      <c r="C55" s="947"/>
      <c r="D55" s="948"/>
      <c r="E55" s="947"/>
      <c r="F55" s="947"/>
      <c r="G55" s="947"/>
      <c r="H55" s="947"/>
      <c r="I55" s="947"/>
      <c r="J55" s="947"/>
      <c r="K55" s="947"/>
    </row>
    <row r="56" spans="3:11">
      <c r="C56" s="947"/>
      <c r="D56" s="948"/>
      <c r="E56" s="947"/>
      <c r="F56" s="947"/>
      <c r="G56" s="947"/>
      <c r="H56" s="947"/>
      <c r="I56" s="947"/>
      <c r="J56" s="947"/>
      <c r="K56" s="947"/>
    </row>
    <row r="57" spans="3:11">
      <c r="C57" s="947"/>
      <c r="D57" s="948"/>
      <c r="E57" s="947"/>
      <c r="F57" s="947"/>
      <c r="G57" s="947"/>
      <c r="H57" s="947"/>
      <c r="I57" s="947"/>
      <c r="J57" s="947"/>
      <c r="K57" s="947"/>
    </row>
    <row r="58" spans="3:11">
      <c r="C58" s="947"/>
      <c r="D58" s="948"/>
      <c r="E58" s="947"/>
      <c r="F58" s="947"/>
      <c r="G58" s="947"/>
      <c r="H58" s="947"/>
      <c r="I58" s="947"/>
      <c r="J58" s="947"/>
      <c r="K58" s="947"/>
    </row>
    <row r="59" spans="3:11">
      <c r="C59" s="947"/>
      <c r="D59" s="948"/>
      <c r="E59" s="947"/>
      <c r="F59" s="947"/>
      <c r="G59" s="947"/>
      <c r="H59" s="947"/>
      <c r="I59" s="947"/>
      <c r="J59" s="947"/>
      <c r="K59" s="947"/>
    </row>
    <row r="60" spans="3:11">
      <c r="C60" s="947"/>
      <c r="D60" s="948"/>
      <c r="E60" s="947"/>
      <c r="F60" s="947"/>
      <c r="G60" s="947"/>
      <c r="H60" s="947"/>
      <c r="I60" s="947"/>
      <c r="J60" s="947"/>
      <c r="K60" s="947"/>
    </row>
    <row r="61" spans="3:11">
      <c r="C61" s="947"/>
      <c r="D61" s="948"/>
      <c r="E61" s="947"/>
      <c r="F61" s="947"/>
      <c r="G61" s="947"/>
      <c r="H61" s="947"/>
      <c r="I61" s="947"/>
      <c r="J61" s="947"/>
      <c r="K61" s="947"/>
    </row>
    <row r="62" spans="3:11">
      <c r="C62" s="947"/>
      <c r="D62" s="948"/>
      <c r="E62" s="947"/>
      <c r="F62" s="947"/>
      <c r="G62" s="947"/>
      <c r="H62" s="947"/>
      <c r="I62" s="947"/>
      <c r="J62" s="947"/>
      <c r="K62" s="947"/>
    </row>
    <row r="63" spans="3:11">
      <c r="C63" s="947"/>
      <c r="D63" s="948"/>
      <c r="E63" s="947"/>
      <c r="F63" s="947"/>
      <c r="G63" s="947"/>
      <c r="H63" s="947"/>
      <c r="I63" s="947"/>
      <c r="J63" s="947"/>
      <c r="K63" s="947"/>
    </row>
    <row r="64" spans="3:11">
      <c r="C64" s="947"/>
      <c r="D64" s="948"/>
      <c r="E64" s="947"/>
      <c r="F64" s="947"/>
      <c r="G64" s="947"/>
      <c r="H64" s="947"/>
      <c r="I64" s="947"/>
      <c r="J64" s="947"/>
      <c r="K64" s="947"/>
    </row>
    <row r="65" spans="3:11">
      <c r="C65" s="949"/>
      <c r="D65" s="948"/>
      <c r="E65" s="947"/>
      <c r="F65" s="947"/>
      <c r="G65" s="947"/>
      <c r="H65" s="947"/>
      <c r="I65" s="947"/>
      <c r="J65" s="947"/>
      <c r="K65" s="947"/>
    </row>
    <row r="66" spans="3:11">
      <c r="C66" s="947"/>
      <c r="D66" s="948"/>
      <c r="E66" s="947"/>
      <c r="F66" s="947"/>
      <c r="G66" s="947"/>
      <c r="H66" s="947"/>
      <c r="I66" s="947"/>
      <c r="J66" s="947"/>
      <c r="K66" s="947"/>
    </row>
    <row r="67" spans="3:11">
      <c r="C67" s="947"/>
      <c r="D67" s="948"/>
      <c r="E67" s="947"/>
      <c r="F67" s="947"/>
      <c r="G67" s="947"/>
      <c r="H67" s="947"/>
      <c r="I67" s="947"/>
      <c r="J67" s="947"/>
      <c r="K67" s="947"/>
    </row>
    <row r="68" spans="3:11">
      <c r="C68" s="947"/>
      <c r="D68" s="948"/>
      <c r="E68" s="947"/>
      <c r="F68" s="947"/>
      <c r="G68" s="947"/>
      <c r="H68" s="947"/>
      <c r="I68" s="947"/>
      <c r="J68" s="947"/>
      <c r="K68" s="947"/>
    </row>
    <row r="69" spans="3:11">
      <c r="C69" s="947"/>
      <c r="D69" s="948"/>
      <c r="E69" s="947"/>
      <c r="F69" s="947"/>
      <c r="G69" s="947"/>
      <c r="H69" s="947"/>
      <c r="I69" s="947"/>
      <c r="J69" s="947"/>
      <c r="K69" s="947"/>
    </row>
    <row r="70" spans="3:11">
      <c r="C70" s="947"/>
      <c r="D70" s="948"/>
      <c r="E70" s="947"/>
      <c r="F70" s="947"/>
      <c r="G70" s="947"/>
      <c r="H70" s="947"/>
      <c r="I70" s="947"/>
      <c r="J70" s="947"/>
      <c r="K70" s="947"/>
    </row>
    <row r="71" spans="3:11">
      <c r="C71" s="947"/>
      <c r="D71" s="948"/>
      <c r="E71" s="947"/>
      <c r="F71" s="947"/>
      <c r="G71" s="947"/>
      <c r="H71" s="947"/>
      <c r="I71" s="947"/>
      <c r="J71" s="947"/>
      <c r="K71" s="947"/>
    </row>
    <row r="72" spans="3:11">
      <c r="C72" s="947"/>
      <c r="D72" s="948"/>
      <c r="E72" s="947"/>
      <c r="F72" s="947"/>
      <c r="G72" s="947"/>
      <c r="H72" s="947"/>
      <c r="I72" s="947"/>
      <c r="J72" s="947"/>
      <c r="K72" s="947"/>
    </row>
    <row r="73" spans="3:11">
      <c r="C73" s="947"/>
      <c r="D73" s="948"/>
      <c r="E73" s="947"/>
      <c r="F73" s="947"/>
      <c r="G73" s="947"/>
      <c r="H73" s="947"/>
      <c r="I73" s="947"/>
      <c r="J73" s="947"/>
      <c r="K73" s="947"/>
    </row>
    <row r="74" spans="3:11">
      <c r="C74" s="947"/>
      <c r="D74" s="948"/>
      <c r="E74" s="947"/>
      <c r="F74" s="947"/>
      <c r="G74" s="947"/>
      <c r="H74" s="947"/>
      <c r="I74" s="947"/>
      <c r="J74" s="947"/>
      <c r="K74" s="947"/>
    </row>
    <row r="75" spans="3:11">
      <c r="C75" s="947"/>
      <c r="D75" s="948"/>
      <c r="E75" s="947"/>
      <c r="F75" s="947"/>
      <c r="G75" s="947"/>
      <c r="H75" s="947"/>
      <c r="I75" s="947"/>
      <c r="J75" s="947"/>
      <c r="K75" s="947"/>
    </row>
    <row r="76" spans="3:11">
      <c r="C76" s="947"/>
      <c r="D76" s="948"/>
      <c r="E76" s="947"/>
      <c r="F76" s="947"/>
      <c r="G76" s="947"/>
      <c r="H76" s="947"/>
      <c r="I76" s="947"/>
      <c r="J76" s="947"/>
      <c r="K76" s="947"/>
    </row>
    <row r="77" spans="3:11">
      <c r="C77" s="947"/>
      <c r="D77" s="948"/>
      <c r="E77" s="947"/>
      <c r="F77" s="947"/>
      <c r="G77" s="947"/>
      <c r="H77" s="947"/>
      <c r="I77" s="947"/>
      <c r="J77" s="947"/>
      <c r="K77" s="947"/>
    </row>
    <row r="78" spans="3:11">
      <c r="C78" s="947"/>
      <c r="D78" s="948"/>
      <c r="E78" s="947"/>
      <c r="F78" s="947"/>
      <c r="G78" s="947"/>
      <c r="H78" s="947"/>
      <c r="I78" s="947"/>
      <c r="J78" s="947"/>
      <c r="K78" s="947"/>
    </row>
    <row r="79" spans="3:11">
      <c r="C79" s="947"/>
      <c r="D79" s="948"/>
      <c r="E79" s="947"/>
      <c r="F79" s="947"/>
      <c r="G79" s="947"/>
      <c r="H79" s="947"/>
      <c r="I79" s="947"/>
      <c r="J79" s="947"/>
      <c r="K79" s="947"/>
    </row>
    <row r="80" spans="3:11">
      <c r="C80" s="947"/>
      <c r="D80" s="948"/>
      <c r="E80" s="947"/>
      <c r="F80" s="947"/>
      <c r="G80" s="947"/>
      <c r="H80" s="947"/>
      <c r="I80" s="947"/>
      <c r="J80" s="947"/>
      <c r="K80" s="947"/>
    </row>
    <row r="81" spans="3:11">
      <c r="C81" s="947"/>
      <c r="D81" s="948"/>
      <c r="E81" s="947"/>
      <c r="F81" s="947"/>
      <c r="G81" s="947"/>
      <c r="H81" s="947"/>
      <c r="I81" s="947"/>
      <c r="J81" s="947"/>
      <c r="K81" s="947"/>
    </row>
    <row r="82" spans="3:11">
      <c r="C82" s="947"/>
      <c r="D82" s="948"/>
      <c r="E82" s="947"/>
      <c r="F82" s="947"/>
      <c r="G82" s="947"/>
      <c r="H82" s="947"/>
      <c r="I82" s="947"/>
      <c r="J82" s="947"/>
      <c r="K82" s="947"/>
    </row>
    <row r="83" spans="3:11">
      <c r="C83" s="947"/>
      <c r="D83" s="948"/>
      <c r="E83" s="947"/>
      <c r="F83" s="947"/>
      <c r="G83" s="947"/>
      <c r="H83" s="947"/>
      <c r="I83" s="947"/>
      <c r="J83" s="947"/>
      <c r="K83" s="947"/>
    </row>
    <row r="84" spans="3:11">
      <c r="C84" s="947"/>
      <c r="D84" s="947"/>
      <c r="E84" s="947"/>
      <c r="F84" s="947"/>
      <c r="G84" s="947"/>
      <c r="H84" s="947"/>
      <c r="I84" s="947"/>
      <c r="J84" s="947"/>
      <c r="K84" s="947"/>
    </row>
    <row r="85" spans="3:11">
      <c r="C85" s="947"/>
      <c r="D85" s="947"/>
      <c r="E85" s="947"/>
      <c r="F85" s="947"/>
      <c r="G85" s="947"/>
      <c r="H85" s="947"/>
      <c r="I85" s="947"/>
      <c r="J85" s="947"/>
      <c r="K85" s="947"/>
    </row>
    <row r="86" spans="3:11">
      <c r="C86" s="947"/>
      <c r="D86" s="947"/>
      <c r="E86" s="947"/>
      <c r="F86" s="947"/>
      <c r="G86" s="947"/>
      <c r="H86" s="947"/>
      <c r="I86" s="947"/>
      <c r="J86" s="947"/>
      <c r="K86" s="947"/>
    </row>
    <row r="87" spans="3:11">
      <c r="C87" s="947"/>
      <c r="D87" s="947"/>
      <c r="E87" s="947"/>
      <c r="F87" s="947"/>
      <c r="G87" s="947"/>
      <c r="H87" s="947"/>
      <c r="I87" s="947"/>
      <c r="J87" s="947"/>
      <c r="K87" s="947"/>
    </row>
    <row r="88" spans="3:11">
      <c r="C88" s="947"/>
      <c r="D88" s="947"/>
      <c r="E88" s="947"/>
      <c r="F88" s="947"/>
      <c r="G88" s="947"/>
      <c r="H88" s="947"/>
      <c r="I88" s="947"/>
      <c r="J88" s="947"/>
      <c r="K88" s="947"/>
    </row>
    <row r="89" spans="3:11">
      <c r="C89" s="947"/>
      <c r="D89" s="947"/>
      <c r="E89" s="947"/>
      <c r="F89" s="947"/>
      <c r="G89" s="947"/>
      <c r="H89" s="947"/>
      <c r="I89" s="947"/>
      <c r="J89" s="947"/>
      <c r="K89" s="947"/>
    </row>
    <row r="90" spans="3:11">
      <c r="C90" s="947"/>
      <c r="D90" s="947"/>
      <c r="E90" s="947"/>
      <c r="F90" s="947"/>
      <c r="G90" s="947"/>
      <c r="H90" s="947"/>
      <c r="I90" s="947"/>
      <c r="J90" s="947"/>
      <c r="K90" s="947"/>
    </row>
    <row r="91" spans="3:11">
      <c r="C91" s="947"/>
      <c r="D91" s="947"/>
      <c r="E91" s="947"/>
      <c r="F91" s="947"/>
      <c r="G91" s="947"/>
      <c r="H91" s="947"/>
      <c r="I91" s="947"/>
      <c r="J91" s="947"/>
      <c r="K91" s="947"/>
    </row>
    <row r="92" spans="3:11">
      <c r="C92" s="947"/>
      <c r="D92" s="947"/>
      <c r="E92" s="947"/>
      <c r="F92" s="947"/>
      <c r="G92" s="947"/>
      <c r="H92" s="947"/>
      <c r="I92" s="947"/>
      <c r="J92" s="947"/>
      <c r="K92" s="947"/>
    </row>
  </sheetData>
  <mergeCells count="7">
    <mergeCell ref="F6:N6"/>
    <mergeCell ref="A4:N4"/>
    <mergeCell ref="E9:E11"/>
    <mergeCell ref="D9:D11"/>
    <mergeCell ref="C9:C11"/>
    <mergeCell ref="C6:E8"/>
    <mergeCell ref="A6:B11"/>
  </mergeCells>
  <printOptions horizontalCentered="1"/>
  <pageMargins left="0.27559055118110237" right="0.27559055118110237" top="0.78740157480314965" bottom="0.74803149606299213" header="0.43307086614173229" footer="0.51181102362204722"/>
  <pageSetup paperSize="9" scale="95" orientation="landscape" r:id="rId1"/>
  <headerFooter alignWithMargins="0">
    <oddHeader>&amp;C&amp;"Arial,Standard"&amp;8- 28 - &amp;R&amp;8&amp;D</oddHeader>
    <oddFooter>&amp;R
&amp;12...</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N42"/>
  <sheetViews>
    <sheetView zoomScaleNormal="100" workbookViewId="0"/>
  </sheetViews>
  <sheetFormatPr baseColWidth="10" defaultColWidth="11.42578125" defaultRowHeight="16.5"/>
  <cols>
    <col min="1" max="1" width="19.85546875" style="1566" customWidth="1"/>
    <col min="2" max="2" width="9.42578125" style="1566" customWidth="1"/>
    <col min="3" max="3" width="13.140625" style="1566" customWidth="1"/>
    <col min="4" max="4" width="12.5703125" style="1566" customWidth="1"/>
    <col min="5" max="7" width="13.42578125" style="1566" customWidth="1"/>
    <col min="8" max="9" width="17.42578125" style="1566" customWidth="1"/>
    <col min="10" max="16384" width="11.42578125" style="1566"/>
  </cols>
  <sheetData>
    <row r="1" spans="1:11" ht="18">
      <c r="A1" s="1599" t="s">
        <v>424</v>
      </c>
      <c r="B1" s="1423"/>
      <c r="C1" s="1423"/>
      <c r="D1" s="1423"/>
      <c r="E1" s="1423"/>
      <c r="F1" s="1423"/>
      <c r="G1" s="1423"/>
      <c r="H1" s="1423"/>
      <c r="I1" s="1423"/>
    </row>
    <row r="2" spans="1:11" ht="18">
      <c r="A2" s="1600" t="s">
        <v>197</v>
      </c>
      <c r="B2" s="1423"/>
      <c r="C2" s="1423"/>
      <c r="D2" s="1423"/>
      <c r="E2" s="1423"/>
      <c r="F2" s="1423"/>
      <c r="G2" s="1423"/>
      <c r="H2" s="1423"/>
      <c r="I2" s="1423"/>
    </row>
    <row r="3" spans="1:11" ht="18">
      <c r="A3" s="1678" t="s">
        <v>559</v>
      </c>
      <c r="B3" s="1423"/>
      <c r="C3" s="1423"/>
      <c r="D3" s="1423"/>
      <c r="E3" s="1423"/>
      <c r="F3" s="1423"/>
      <c r="G3" s="1423"/>
      <c r="H3" s="1423"/>
      <c r="I3" s="1423"/>
    </row>
    <row r="4" spans="1:11" ht="49.5">
      <c r="A4" s="1421" t="s">
        <v>43</v>
      </c>
      <c r="B4" s="1421" t="s">
        <v>94</v>
      </c>
      <c r="C4" s="1420" t="s">
        <v>416</v>
      </c>
      <c r="D4" s="1409" t="s">
        <v>417</v>
      </c>
      <c r="E4" s="1419" t="s">
        <v>419</v>
      </c>
      <c r="F4" s="1419" t="s">
        <v>420</v>
      </c>
      <c r="G4" s="1419" t="s">
        <v>421</v>
      </c>
      <c r="H4" s="1419" t="s">
        <v>414</v>
      </c>
      <c r="I4" s="1418" t="s">
        <v>415</v>
      </c>
    </row>
    <row r="5" spans="1:11" ht="18">
      <c r="A5" s="1434" t="s">
        <v>437</v>
      </c>
      <c r="B5" s="1394">
        <v>96</v>
      </c>
      <c r="C5" s="1395">
        <v>87</v>
      </c>
      <c r="D5" s="1396">
        <v>9</v>
      </c>
      <c r="E5" s="1395">
        <v>27</v>
      </c>
      <c r="F5" s="1395">
        <v>30</v>
      </c>
      <c r="G5" s="1395">
        <v>39</v>
      </c>
      <c r="H5" s="1570">
        <v>36</v>
      </c>
      <c r="I5" s="1568">
        <v>12</v>
      </c>
      <c r="K5" s="1788"/>
    </row>
    <row r="6" spans="1:11" ht="18">
      <c r="A6" s="1434" t="s">
        <v>438</v>
      </c>
      <c r="B6" s="1394">
        <v>0</v>
      </c>
      <c r="C6" s="1395">
        <v>0</v>
      </c>
      <c r="D6" s="1396">
        <v>0</v>
      </c>
      <c r="E6" s="1395">
        <v>0</v>
      </c>
      <c r="F6" s="1395">
        <v>0</v>
      </c>
      <c r="G6" s="1395">
        <v>0</v>
      </c>
      <c r="H6" s="1397">
        <v>0</v>
      </c>
      <c r="I6" s="1396">
        <v>0</v>
      </c>
      <c r="K6" s="1788"/>
    </row>
    <row r="7" spans="1:11" ht="18">
      <c r="A7" s="1434" t="s">
        <v>439</v>
      </c>
      <c r="B7" s="1394">
        <v>207</v>
      </c>
      <c r="C7" s="1395">
        <v>201</v>
      </c>
      <c r="D7" s="1396">
        <v>6</v>
      </c>
      <c r="E7" s="1395">
        <v>72</v>
      </c>
      <c r="F7" s="1395">
        <v>63</v>
      </c>
      <c r="G7" s="1395">
        <v>72</v>
      </c>
      <c r="H7" s="1397">
        <v>93</v>
      </c>
      <c r="I7" s="1395">
        <v>18</v>
      </c>
      <c r="K7" s="1788"/>
    </row>
    <row r="8" spans="1:11" ht="18">
      <c r="A8" s="1434" t="s">
        <v>440</v>
      </c>
      <c r="B8" s="1394">
        <v>0</v>
      </c>
      <c r="C8" s="1395">
        <v>0</v>
      </c>
      <c r="D8" s="1396">
        <v>0</v>
      </c>
      <c r="E8" s="1395">
        <v>0</v>
      </c>
      <c r="F8" s="1395">
        <v>0</v>
      </c>
      <c r="G8" s="1395">
        <v>0</v>
      </c>
      <c r="H8" s="1397">
        <v>0</v>
      </c>
      <c r="I8" s="1396">
        <v>0</v>
      </c>
      <c r="K8" s="1788"/>
    </row>
    <row r="9" spans="1:11" ht="18">
      <c r="A9" s="1434" t="s">
        <v>441</v>
      </c>
      <c r="B9" s="1394">
        <v>144</v>
      </c>
      <c r="C9" s="1395">
        <v>138</v>
      </c>
      <c r="D9" s="1396">
        <v>6</v>
      </c>
      <c r="E9" s="1395">
        <v>48</v>
      </c>
      <c r="F9" s="1395">
        <v>42</v>
      </c>
      <c r="G9" s="1395">
        <v>54</v>
      </c>
      <c r="H9" s="1397">
        <v>51</v>
      </c>
      <c r="I9" s="1395">
        <v>15</v>
      </c>
      <c r="K9" s="1788"/>
    </row>
    <row r="10" spans="1:11" ht="18">
      <c r="A10" s="1434" t="s">
        <v>442</v>
      </c>
      <c r="B10" s="1394">
        <v>15</v>
      </c>
      <c r="C10" s="1395">
        <v>15</v>
      </c>
      <c r="D10" s="1396">
        <v>0</v>
      </c>
      <c r="E10" s="1395">
        <v>6</v>
      </c>
      <c r="F10" s="1395">
        <v>3</v>
      </c>
      <c r="G10" s="1395">
        <v>6</v>
      </c>
      <c r="H10" s="1397">
        <v>6</v>
      </c>
      <c r="I10" s="1396">
        <v>0</v>
      </c>
      <c r="K10" s="1788"/>
    </row>
    <row r="11" spans="1:11" ht="18">
      <c r="A11" s="1434" t="s">
        <v>443</v>
      </c>
      <c r="B11" s="1394">
        <v>33</v>
      </c>
      <c r="C11" s="1395">
        <v>30</v>
      </c>
      <c r="D11" s="1396">
        <v>3</v>
      </c>
      <c r="E11" s="1395">
        <v>9</v>
      </c>
      <c r="F11" s="1395">
        <v>12</v>
      </c>
      <c r="G11" s="1395">
        <v>12</v>
      </c>
      <c r="H11" s="1397">
        <v>9</v>
      </c>
      <c r="I11" s="1396">
        <v>3</v>
      </c>
      <c r="K11" s="1788"/>
    </row>
    <row r="12" spans="1:11" ht="18">
      <c r="A12" s="1434" t="s">
        <v>444</v>
      </c>
      <c r="B12" s="1394">
        <v>9</v>
      </c>
      <c r="C12" s="1395">
        <v>9</v>
      </c>
      <c r="D12" s="1396">
        <v>3</v>
      </c>
      <c r="E12" s="1395">
        <v>0</v>
      </c>
      <c r="F12" s="1395">
        <v>3</v>
      </c>
      <c r="G12" s="1395">
        <v>6</v>
      </c>
      <c r="H12" s="1397">
        <v>6</v>
      </c>
      <c r="I12" s="1395">
        <v>3</v>
      </c>
      <c r="K12" s="1788"/>
    </row>
    <row r="13" spans="1:11" ht="18">
      <c r="A13" s="1434" t="s">
        <v>445</v>
      </c>
      <c r="B13" s="1394">
        <v>45</v>
      </c>
      <c r="C13" s="1395">
        <v>45</v>
      </c>
      <c r="D13" s="1396">
        <v>3</v>
      </c>
      <c r="E13" s="1395">
        <v>3</v>
      </c>
      <c r="F13" s="1395">
        <v>24</v>
      </c>
      <c r="G13" s="1395">
        <v>18</v>
      </c>
      <c r="H13" s="1397">
        <v>24</v>
      </c>
      <c r="I13" s="1395">
        <v>3</v>
      </c>
      <c r="K13" s="1788"/>
    </row>
    <row r="14" spans="1:11" ht="18">
      <c r="A14" s="1434" t="s">
        <v>446</v>
      </c>
      <c r="B14" s="1394">
        <v>0</v>
      </c>
      <c r="C14" s="1395">
        <v>0</v>
      </c>
      <c r="D14" s="1396">
        <v>0</v>
      </c>
      <c r="E14" s="1395">
        <v>0</v>
      </c>
      <c r="F14" s="1395">
        <v>0</v>
      </c>
      <c r="G14" s="1395">
        <v>0</v>
      </c>
      <c r="H14" s="1397">
        <v>0</v>
      </c>
      <c r="I14" s="1396">
        <v>0</v>
      </c>
      <c r="K14" s="1788"/>
    </row>
    <row r="15" spans="1:11" ht="18">
      <c r="A15" s="1434" t="s">
        <v>447</v>
      </c>
      <c r="B15" s="1394">
        <v>0</v>
      </c>
      <c r="C15" s="1395">
        <v>0</v>
      </c>
      <c r="D15" s="1396">
        <v>0</v>
      </c>
      <c r="E15" s="1394">
        <v>0</v>
      </c>
      <c r="F15" s="1395">
        <v>0</v>
      </c>
      <c r="G15" s="1395">
        <v>0</v>
      </c>
      <c r="H15" s="1397">
        <v>0</v>
      </c>
      <c r="I15" s="1396">
        <v>0</v>
      </c>
      <c r="K15" s="1788"/>
    </row>
    <row r="16" spans="1:11" ht="18">
      <c r="A16" s="1434" t="s">
        <v>448</v>
      </c>
      <c r="B16" s="1394">
        <v>57</v>
      </c>
      <c r="C16" s="1395">
        <v>54</v>
      </c>
      <c r="D16" s="1396">
        <v>3</v>
      </c>
      <c r="E16" s="1395">
        <v>18</v>
      </c>
      <c r="F16" s="1395">
        <v>18</v>
      </c>
      <c r="G16" s="1395">
        <v>18</v>
      </c>
      <c r="H16" s="1917">
        <v>18</v>
      </c>
      <c r="I16" s="1697">
        <v>12</v>
      </c>
      <c r="K16" s="1788"/>
    </row>
    <row r="17" spans="1:11" ht="18">
      <c r="A17" s="1434" t="s">
        <v>449</v>
      </c>
      <c r="B17" s="1394">
        <v>72</v>
      </c>
      <c r="C17" s="1395">
        <v>72</v>
      </c>
      <c r="D17" s="1396">
        <v>3</v>
      </c>
      <c r="E17" s="1395">
        <v>33</v>
      </c>
      <c r="F17" s="1395">
        <v>24</v>
      </c>
      <c r="G17" s="1395">
        <v>15</v>
      </c>
      <c r="H17" s="1397">
        <v>33</v>
      </c>
      <c r="I17" s="1395">
        <v>21</v>
      </c>
      <c r="K17" s="1788"/>
    </row>
    <row r="18" spans="1:11" ht="18">
      <c r="A18" s="1434" t="s">
        <v>450</v>
      </c>
      <c r="B18" s="1394">
        <v>39</v>
      </c>
      <c r="C18" s="1395">
        <v>36</v>
      </c>
      <c r="D18" s="1396">
        <v>3</v>
      </c>
      <c r="E18" s="1395">
        <v>15</v>
      </c>
      <c r="F18" s="1395">
        <v>9</v>
      </c>
      <c r="G18" s="1395">
        <v>12</v>
      </c>
      <c r="H18" s="1397">
        <v>15</v>
      </c>
      <c r="I18" s="1395">
        <v>6</v>
      </c>
      <c r="K18" s="1788"/>
    </row>
    <row r="19" spans="1:11" ht="18">
      <c r="A19" s="1434" t="s">
        <v>451</v>
      </c>
      <c r="B19" s="1394">
        <v>60</v>
      </c>
      <c r="C19" s="1395">
        <v>57</v>
      </c>
      <c r="D19" s="1396">
        <v>3</v>
      </c>
      <c r="E19" s="1395">
        <v>24</v>
      </c>
      <c r="F19" s="1395">
        <v>18</v>
      </c>
      <c r="G19" s="1395">
        <v>15</v>
      </c>
      <c r="H19" s="1397">
        <v>30</v>
      </c>
      <c r="I19" s="1395">
        <v>12</v>
      </c>
      <c r="K19" s="1788"/>
    </row>
    <row r="20" spans="1:11" ht="18">
      <c r="A20" s="1434" t="s">
        <v>452</v>
      </c>
      <c r="B20" s="1394">
        <v>24</v>
      </c>
      <c r="C20" s="1395">
        <v>24</v>
      </c>
      <c r="D20" s="1396">
        <v>0</v>
      </c>
      <c r="E20" s="1395">
        <v>9</v>
      </c>
      <c r="F20" s="1395">
        <v>9</v>
      </c>
      <c r="G20" s="1395">
        <v>6</v>
      </c>
      <c r="H20" s="1769">
        <v>12</v>
      </c>
      <c r="I20" s="1395">
        <v>6</v>
      </c>
      <c r="K20" s="1788"/>
    </row>
    <row r="21" spans="1:11">
      <c r="A21" s="1435" t="s">
        <v>418</v>
      </c>
      <c r="B21" s="1790">
        <v>804</v>
      </c>
      <c r="C21" s="1791">
        <v>768</v>
      </c>
      <c r="D21" s="1791">
        <v>36</v>
      </c>
      <c r="E21" s="1793">
        <v>264</v>
      </c>
      <c r="F21" s="1791">
        <v>264</v>
      </c>
      <c r="G21" s="1791">
        <v>276</v>
      </c>
      <c r="H21" s="1698">
        <v>336</v>
      </c>
      <c r="I21" s="1699">
        <v>111</v>
      </c>
      <c r="K21" s="1788"/>
    </row>
    <row r="22" spans="1:11" ht="18">
      <c r="A22" s="1601" t="s">
        <v>552</v>
      </c>
      <c r="B22" s="1412"/>
      <c r="C22" s="1412"/>
      <c r="D22" s="1412"/>
      <c r="E22" s="1412"/>
      <c r="F22" s="1412"/>
      <c r="G22" s="1412"/>
      <c r="H22" s="1411"/>
      <c r="I22" s="1411"/>
    </row>
    <row r="23" spans="1:11" ht="66">
      <c r="A23" s="1421" t="s">
        <v>43</v>
      </c>
      <c r="B23" s="1706" t="s">
        <v>94</v>
      </c>
      <c r="C23" s="1707" t="s">
        <v>92</v>
      </c>
      <c r="D23" s="1409" t="s">
        <v>93</v>
      </c>
      <c r="E23" s="1419" t="s">
        <v>480</v>
      </c>
      <c r="F23" s="1419" t="s">
        <v>422</v>
      </c>
      <c r="G23" s="1418" t="s">
        <v>423</v>
      </c>
      <c r="H23" s="1408"/>
      <c r="I23" s="1408"/>
    </row>
    <row r="24" spans="1:11" ht="18">
      <c r="A24" s="1434" t="s">
        <v>437</v>
      </c>
      <c r="B24" s="1394">
        <v>30</v>
      </c>
      <c r="C24" s="1395">
        <v>27</v>
      </c>
      <c r="D24" s="1396">
        <v>3</v>
      </c>
      <c r="E24" s="1394">
        <v>27</v>
      </c>
      <c r="F24" s="1395">
        <v>27</v>
      </c>
      <c r="G24" s="1395">
        <v>3</v>
      </c>
      <c r="H24" s="1402"/>
      <c r="I24" s="1772"/>
      <c r="J24" s="1395"/>
    </row>
    <row r="25" spans="1:11" ht="18">
      <c r="A25" s="1434" t="s">
        <v>438</v>
      </c>
      <c r="B25" s="1394">
        <v>0</v>
      </c>
      <c r="C25" s="1395">
        <v>0</v>
      </c>
      <c r="D25" s="1396">
        <v>0</v>
      </c>
      <c r="E25" s="1394">
        <v>0</v>
      </c>
      <c r="F25" s="1395">
        <v>0</v>
      </c>
      <c r="G25" s="1396">
        <v>0</v>
      </c>
      <c r="H25" s="1402"/>
      <c r="I25" s="1772"/>
      <c r="J25" s="1395"/>
    </row>
    <row r="26" spans="1:11" ht="18">
      <c r="A26" s="1434" t="s">
        <v>439</v>
      </c>
      <c r="B26" s="1394">
        <v>63</v>
      </c>
      <c r="C26" s="1395">
        <v>63</v>
      </c>
      <c r="D26" s="1396">
        <v>0</v>
      </c>
      <c r="E26" s="1394">
        <v>60</v>
      </c>
      <c r="F26" s="1395">
        <v>57</v>
      </c>
      <c r="G26" s="1395">
        <v>0</v>
      </c>
      <c r="H26" s="1402"/>
      <c r="I26" s="1772"/>
      <c r="J26" s="1395"/>
    </row>
    <row r="27" spans="1:11" ht="18">
      <c r="A27" s="1434" t="s">
        <v>440</v>
      </c>
      <c r="B27" s="1394">
        <v>0</v>
      </c>
      <c r="C27" s="1395">
        <v>0</v>
      </c>
      <c r="D27" s="1396">
        <v>0</v>
      </c>
      <c r="E27" s="1394">
        <v>0</v>
      </c>
      <c r="F27" s="1395">
        <v>0</v>
      </c>
      <c r="G27" s="1396">
        <v>0</v>
      </c>
      <c r="H27" s="1402"/>
      <c r="I27" s="1772"/>
      <c r="J27" s="1395"/>
    </row>
    <row r="28" spans="1:11" ht="18">
      <c r="A28" s="1434" t="s">
        <v>441</v>
      </c>
      <c r="B28" s="1394">
        <v>45</v>
      </c>
      <c r="C28" s="1395">
        <v>42</v>
      </c>
      <c r="D28" s="1396">
        <v>3</v>
      </c>
      <c r="E28" s="1394">
        <v>39</v>
      </c>
      <c r="F28" s="1395">
        <v>36</v>
      </c>
      <c r="G28" s="1395">
        <v>3</v>
      </c>
      <c r="H28" s="1402"/>
      <c r="I28" s="1772"/>
      <c r="J28" s="1395"/>
    </row>
    <row r="29" spans="1:11" ht="18">
      <c r="A29" s="1434" t="s">
        <v>442</v>
      </c>
      <c r="B29" s="1394">
        <v>6</v>
      </c>
      <c r="C29" s="1395">
        <v>6</v>
      </c>
      <c r="D29" s="1396">
        <v>0</v>
      </c>
      <c r="E29" s="1394">
        <v>3</v>
      </c>
      <c r="F29" s="1395">
        <v>3</v>
      </c>
      <c r="G29" s="1395">
        <v>0</v>
      </c>
      <c r="H29" s="1408"/>
      <c r="I29" s="1772"/>
      <c r="J29" s="1395"/>
    </row>
    <row r="30" spans="1:11" ht="18">
      <c r="A30" s="1434" t="s">
        <v>443</v>
      </c>
      <c r="B30" s="1394">
        <v>9</v>
      </c>
      <c r="C30" s="1395">
        <v>9</v>
      </c>
      <c r="D30" s="1396">
        <v>0</v>
      </c>
      <c r="E30" s="1394">
        <v>6</v>
      </c>
      <c r="F30" s="1395">
        <v>6</v>
      </c>
      <c r="G30" s="1395">
        <v>0</v>
      </c>
      <c r="H30" s="1402"/>
      <c r="I30" s="1772"/>
      <c r="J30" s="1395"/>
    </row>
    <row r="31" spans="1:11" ht="18">
      <c r="A31" s="1434" t="s">
        <v>444</v>
      </c>
      <c r="B31" s="1394">
        <v>3</v>
      </c>
      <c r="C31" s="1395">
        <v>3</v>
      </c>
      <c r="D31" s="1396">
        <v>0</v>
      </c>
      <c r="E31" s="1394">
        <v>3</v>
      </c>
      <c r="F31" s="1395">
        <v>3</v>
      </c>
      <c r="G31" s="1395">
        <v>0</v>
      </c>
      <c r="H31" s="1402"/>
      <c r="I31" s="1772"/>
      <c r="J31" s="1395"/>
    </row>
    <row r="32" spans="1:11" ht="18">
      <c r="A32" s="1434" t="s">
        <v>445</v>
      </c>
      <c r="B32" s="1394">
        <v>21</v>
      </c>
      <c r="C32" s="1395">
        <v>21</v>
      </c>
      <c r="D32" s="1396">
        <v>0</v>
      </c>
      <c r="E32" s="1394">
        <v>21</v>
      </c>
      <c r="F32" s="1395">
        <v>21</v>
      </c>
      <c r="G32" s="1395">
        <v>0</v>
      </c>
      <c r="H32" s="1402"/>
      <c r="I32" s="1772"/>
      <c r="J32" s="1395"/>
    </row>
    <row r="33" spans="1:14" ht="18">
      <c r="A33" s="1434" t="s">
        <v>446</v>
      </c>
      <c r="B33" s="1394">
        <v>0</v>
      </c>
      <c r="C33" s="1395">
        <v>0</v>
      </c>
      <c r="D33" s="1396">
        <v>0</v>
      </c>
      <c r="E33" s="1394">
        <v>0</v>
      </c>
      <c r="F33" s="1395">
        <v>0</v>
      </c>
      <c r="G33" s="1396">
        <v>0</v>
      </c>
      <c r="H33" s="1402"/>
      <c r="I33" s="1772"/>
      <c r="J33" s="1395"/>
    </row>
    <row r="34" spans="1:14" ht="18">
      <c r="A34" s="1434" t="s">
        <v>447</v>
      </c>
      <c r="B34" s="1394">
        <v>0</v>
      </c>
      <c r="C34" s="1395">
        <v>0</v>
      </c>
      <c r="D34" s="1396">
        <v>0</v>
      </c>
      <c r="E34" s="1394">
        <v>0</v>
      </c>
      <c r="F34" s="1395">
        <v>0</v>
      </c>
      <c r="G34" s="1396">
        <v>0</v>
      </c>
      <c r="H34" s="1402"/>
      <c r="I34" s="1772"/>
      <c r="J34" s="1395"/>
    </row>
    <row r="35" spans="1:14" ht="18">
      <c r="A35" s="1434" t="s">
        <v>448</v>
      </c>
      <c r="B35" s="1394">
        <v>18</v>
      </c>
      <c r="C35" s="1395">
        <v>18</v>
      </c>
      <c r="D35" s="1396">
        <v>0</v>
      </c>
      <c r="E35" s="1394">
        <v>15</v>
      </c>
      <c r="F35" s="1395">
        <v>15</v>
      </c>
      <c r="G35" s="1395">
        <v>0</v>
      </c>
      <c r="H35" s="1402"/>
      <c r="I35" s="1772"/>
      <c r="J35" s="1395"/>
    </row>
    <row r="36" spans="1:14" ht="18">
      <c r="A36" s="1434" t="s">
        <v>449</v>
      </c>
      <c r="B36" s="1394">
        <v>18</v>
      </c>
      <c r="C36" s="1395">
        <v>18</v>
      </c>
      <c r="D36" s="1396">
        <v>0</v>
      </c>
      <c r="E36" s="1394">
        <v>18</v>
      </c>
      <c r="F36" s="1395">
        <v>18</v>
      </c>
      <c r="G36" s="1395">
        <v>0</v>
      </c>
      <c r="H36" s="1402"/>
      <c r="I36" s="1772"/>
      <c r="J36" s="1395"/>
    </row>
    <row r="37" spans="1:14" ht="18">
      <c r="A37" s="1434" t="s">
        <v>450</v>
      </c>
      <c r="B37" s="1394">
        <v>15</v>
      </c>
      <c r="C37" s="1395">
        <v>15</v>
      </c>
      <c r="D37" s="1396">
        <v>0</v>
      </c>
      <c r="E37" s="1394">
        <v>12</v>
      </c>
      <c r="F37" s="1395">
        <v>12</v>
      </c>
      <c r="G37" s="1395">
        <v>0</v>
      </c>
      <c r="H37" s="1402"/>
      <c r="I37" s="1772"/>
      <c r="J37" s="1395"/>
    </row>
    <row r="38" spans="1:14" ht="18">
      <c r="A38" s="1434" t="s">
        <v>451</v>
      </c>
      <c r="B38" s="1394">
        <v>18</v>
      </c>
      <c r="C38" s="1395">
        <v>18</v>
      </c>
      <c r="D38" s="1396">
        <v>0</v>
      </c>
      <c r="E38" s="1394">
        <v>15</v>
      </c>
      <c r="F38" s="1395">
        <v>15</v>
      </c>
      <c r="G38" s="1395">
        <v>0</v>
      </c>
      <c r="H38" s="1402"/>
      <c r="I38" s="1772"/>
      <c r="J38" s="1395"/>
    </row>
    <row r="39" spans="1:14" ht="18">
      <c r="A39" s="1434" t="s">
        <v>452</v>
      </c>
      <c r="B39" s="1394">
        <v>12</v>
      </c>
      <c r="C39" s="1395">
        <v>12</v>
      </c>
      <c r="D39" s="1396">
        <v>0</v>
      </c>
      <c r="E39" s="1394">
        <v>9</v>
      </c>
      <c r="F39" s="1395">
        <v>9</v>
      </c>
      <c r="G39" s="1395">
        <v>0</v>
      </c>
      <c r="H39" s="1402"/>
      <c r="I39" s="1772"/>
      <c r="J39" s="1395"/>
    </row>
    <row r="40" spans="1:14" ht="18">
      <c r="A40" s="1435" t="s">
        <v>418</v>
      </c>
      <c r="B40" s="1790">
        <v>252</v>
      </c>
      <c r="C40" s="1791">
        <v>246</v>
      </c>
      <c r="D40" s="1791">
        <v>9</v>
      </c>
      <c r="E40" s="1793">
        <v>231</v>
      </c>
      <c r="F40" s="1791">
        <v>222</v>
      </c>
      <c r="G40" s="1791">
        <v>6</v>
      </c>
      <c r="H40" s="1402"/>
      <c r="I40" s="1405"/>
      <c r="J40" s="1405"/>
      <c r="K40" s="1405"/>
      <c r="L40" s="1405"/>
      <c r="M40" s="1405"/>
      <c r="N40" s="1405"/>
    </row>
    <row r="41" spans="1:14" ht="18">
      <c r="A41" s="1402" t="s">
        <v>498</v>
      </c>
      <c r="B41" s="1606"/>
      <c r="C41" s="1607"/>
      <c r="D41" s="1608"/>
      <c r="E41" s="1606"/>
      <c r="F41" s="1607"/>
      <c r="G41" s="1609"/>
      <c r="H41" s="1402"/>
      <c r="I41" s="1402"/>
    </row>
    <row r="42" spans="1:14" ht="18">
      <c r="A42" s="1402" t="s">
        <v>542</v>
      </c>
      <c r="B42" s="1402"/>
      <c r="C42" s="1402"/>
      <c r="D42" s="1403"/>
      <c r="E42" s="1402"/>
      <c r="F42" s="1402"/>
      <c r="G42" s="1402"/>
      <c r="H42" s="1402"/>
      <c r="I42" s="1402"/>
    </row>
  </sheetData>
  <printOptions horizontalCentered="1"/>
  <pageMargins left="0.70866141732283472" right="0.70866141732283472" top="0.78740157480314965" bottom="0.78740157480314965" header="0.31496062992125984" footer="0.31496062992125984"/>
  <pageSetup paperSize="9" scale="87" orientation="landscape" r:id="rId1"/>
  <rowBreaks count="1" manualBreakCount="1">
    <brk id="21" max="16383" man="1"/>
  </rowBreaks>
  <tableParts count="2">
    <tablePart r:id="rId2"/>
    <tablePart r:id="rId3"/>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92D050"/>
  </sheetPr>
  <dimension ref="A1:I26"/>
  <sheetViews>
    <sheetView zoomScaleNormal="100" zoomScaleSheetLayoutView="120" workbookViewId="0"/>
  </sheetViews>
  <sheetFormatPr baseColWidth="10" defaultColWidth="11.42578125" defaultRowHeight="16.5"/>
  <cols>
    <col min="1" max="1" width="35.140625" style="1392" customWidth="1"/>
    <col min="2" max="2" width="13" style="1392" customWidth="1"/>
    <col min="3" max="8" width="11.5703125" style="1392" customWidth="1"/>
    <col min="9" max="9" width="13.42578125" style="1392" customWidth="1"/>
    <col min="10" max="16384" width="11.42578125" style="1392"/>
  </cols>
  <sheetData>
    <row r="1" spans="1:9" ht="24.75" customHeight="1">
      <c r="A1" s="1694" t="s">
        <v>561</v>
      </c>
      <c r="B1" s="1675"/>
      <c r="C1" s="1676"/>
      <c r="D1" s="1676"/>
      <c r="E1" s="1676"/>
      <c r="F1" s="1676"/>
      <c r="G1" s="1676"/>
      <c r="H1" s="1676"/>
      <c r="I1" s="1676"/>
    </row>
    <row r="2" spans="1:9" ht="66">
      <c r="A2" s="1756" t="s">
        <v>16</v>
      </c>
      <c r="B2" s="1750" t="s">
        <v>475</v>
      </c>
      <c r="C2" s="1757" t="s">
        <v>94</v>
      </c>
      <c r="D2" s="1747" t="s">
        <v>92</v>
      </c>
      <c r="E2" s="1750" t="s">
        <v>93</v>
      </c>
      <c r="F2" s="1748" t="s">
        <v>538</v>
      </c>
      <c r="G2" s="1748" t="s">
        <v>539</v>
      </c>
      <c r="H2" s="1748" t="s">
        <v>540</v>
      </c>
      <c r="I2" s="1748" t="s">
        <v>460</v>
      </c>
    </row>
    <row r="3" spans="1:9">
      <c r="A3" s="1751" t="s">
        <v>73</v>
      </c>
      <c r="B3" s="1672"/>
      <c r="C3" s="1797">
        <v>1014</v>
      </c>
      <c r="D3" s="1511">
        <v>738</v>
      </c>
      <c r="E3" s="1396">
        <v>285</v>
      </c>
      <c r="F3" s="1509">
        <v>312</v>
      </c>
      <c r="G3" s="1511">
        <v>465</v>
      </c>
      <c r="H3" s="1510">
        <v>249</v>
      </c>
      <c r="I3" s="1509">
        <v>351</v>
      </c>
    </row>
    <row r="4" spans="1:9">
      <c r="A4" s="1752" t="s">
        <v>129</v>
      </c>
      <c r="B4" s="1672"/>
      <c r="C4" s="1798">
        <v>111</v>
      </c>
      <c r="D4" s="1511">
        <v>108</v>
      </c>
      <c r="E4" s="1396">
        <v>3</v>
      </c>
      <c r="F4" s="1509">
        <v>54</v>
      </c>
      <c r="G4" s="1511">
        <v>39</v>
      </c>
      <c r="H4" s="1510">
        <v>9</v>
      </c>
      <c r="I4" s="1509">
        <v>30</v>
      </c>
    </row>
    <row r="5" spans="1:9">
      <c r="A5" s="1752" t="s">
        <v>77</v>
      </c>
      <c r="B5" s="1672"/>
      <c r="C5" s="1798">
        <v>45</v>
      </c>
      <c r="D5" s="1511">
        <v>30</v>
      </c>
      <c r="E5" s="1396">
        <v>9</v>
      </c>
      <c r="F5" s="1509">
        <v>12</v>
      </c>
      <c r="G5" s="1511">
        <v>24</v>
      </c>
      <c r="H5" s="1510">
        <v>6</v>
      </c>
      <c r="I5" s="1509">
        <v>3</v>
      </c>
    </row>
    <row r="6" spans="1:9">
      <c r="A6" s="1752" t="s">
        <v>488</v>
      </c>
      <c r="B6" s="1672"/>
      <c r="C6" s="1798">
        <v>48</v>
      </c>
      <c r="D6" s="1511">
        <v>39</v>
      </c>
      <c r="E6" s="1396">
        <v>9</v>
      </c>
      <c r="F6" s="1509">
        <v>15</v>
      </c>
      <c r="G6" s="1511">
        <v>18</v>
      </c>
      <c r="H6" s="1510">
        <v>6</v>
      </c>
      <c r="I6" s="1509">
        <v>12</v>
      </c>
    </row>
    <row r="7" spans="1:9">
      <c r="A7" s="1752" t="s">
        <v>76</v>
      </c>
      <c r="B7" s="1672"/>
      <c r="C7" s="1798">
        <v>144</v>
      </c>
      <c r="D7" s="1511">
        <v>63</v>
      </c>
      <c r="E7" s="1396">
        <v>66</v>
      </c>
      <c r="F7" s="1509">
        <v>63</v>
      </c>
      <c r="G7" s="1511">
        <v>45</v>
      </c>
      <c r="H7" s="1510">
        <v>24</v>
      </c>
      <c r="I7" s="1509">
        <v>42</v>
      </c>
    </row>
    <row r="8" spans="1:9">
      <c r="A8" s="1752" t="s">
        <v>79</v>
      </c>
      <c r="B8" s="1672"/>
      <c r="C8" s="1798">
        <v>6</v>
      </c>
      <c r="D8" s="1511">
        <v>6</v>
      </c>
      <c r="E8" s="1396">
        <v>0</v>
      </c>
      <c r="F8" s="1509">
        <v>3</v>
      </c>
      <c r="G8" s="1511">
        <v>0</v>
      </c>
      <c r="H8" s="1510">
        <v>0</v>
      </c>
      <c r="I8" s="1509">
        <v>3</v>
      </c>
    </row>
    <row r="9" spans="1:9">
      <c r="A9" s="1752" t="s">
        <v>489</v>
      </c>
      <c r="B9" s="1672"/>
      <c r="C9" s="1798">
        <v>324</v>
      </c>
      <c r="D9" s="1511">
        <v>24</v>
      </c>
      <c r="E9" s="1396">
        <v>294</v>
      </c>
      <c r="F9" s="1509">
        <v>144</v>
      </c>
      <c r="G9" s="1511">
        <v>123</v>
      </c>
      <c r="H9" s="1510">
        <v>45</v>
      </c>
      <c r="I9" s="1509">
        <v>99</v>
      </c>
    </row>
    <row r="10" spans="1:9">
      <c r="A10" s="1752" t="s">
        <v>78</v>
      </c>
      <c r="B10" s="1672"/>
      <c r="C10" s="1798">
        <v>1572</v>
      </c>
      <c r="D10" s="1511">
        <v>1254</v>
      </c>
      <c r="E10" s="1396">
        <v>318</v>
      </c>
      <c r="F10" s="1509">
        <v>840</v>
      </c>
      <c r="G10" s="1511">
        <v>438</v>
      </c>
      <c r="H10" s="1510">
        <v>261</v>
      </c>
      <c r="I10" s="1509">
        <v>471</v>
      </c>
    </row>
    <row r="11" spans="1:9">
      <c r="A11" s="1752" t="s">
        <v>490</v>
      </c>
      <c r="B11" s="1672"/>
      <c r="C11" s="1798">
        <v>231</v>
      </c>
      <c r="D11" s="1511">
        <v>183</v>
      </c>
      <c r="E11" s="1396">
        <v>48</v>
      </c>
      <c r="F11" s="1509">
        <v>123</v>
      </c>
      <c r="G11" s="1511">
        <v>75</v>
      </c>
      <c r="H11" s="1510">
        <v>36</v>
      </c>
      <c r="I11" s="1509">
        <v>60</v>
      </c>
    </row>
    <row r="12" spans="1:9">
      <c r="A12" s="1752" t="s">
        <v>185</v>
      </c>
      <c r="B12" s="1672"/>
      <c r="C12" s="1798">
        <v>9</v>
      </c>
      <c r="D12" s="1511">
        <v>9</v>
      </c>
      <c r="E12" s="1396">
        <v>0</v>
      </c>
      <c r="F12" s="1509">
        <v>0</v>
      </c>
      <c r="G12" s="1511">
        <v>6</v>
      </c>
      <c r="H12" s="1510">
        <v>0</v>
      </c>
      <c r="I12" s="1509">
        <v>0</v>
      </c>
    </row>
    <row r="13" spans="1:9">
      <c r="A13" s="1752" t="s">
        <v>409</v>
      </c>
      <c r="B13" s="1672"/>
      <c r="C13" s="1798">
        <v>72</v>
      </c>
      <c r="D13" s="1511">
        <v>63</v>
      </c>
      <c r="E13" s="1396">
        <v>6</v>
      </c>
      <c r="F13" s="1509">
        <v>36</v>
      </c>
      <c r="G13" s="1511">
        <v>27</v>
      </c>
      <c r="H13" s="1510">
        <v>9</v>
      </c>
      <c r="I13" s="1509">
        <v>21</v>
      </c>
    </row>
    <row r="14" spans="1:9">
      <c r="A14" s="1752" t="s">
        <v>320</v>
      </c>
      <c r="B14" s="1672"/>
      <c r="C14" s="1798">
        <v>39</v>
      </c>
      <c r="D14" s="1511">
        <v>30</v>
      </c>
      <c r="E14" s="1396">
        <v>6</v>
      </c>
      <c r="F14" s="1509">
        <v>24</v>
      </c>
      <c r="G14" s="1511">
        <v>6</v>
      </c>
      <c r="H14" s="1510">
        <v>6</v>
      </c>
      <c r="I14" s="1509">
        <v>15</v>
      </c>
    </row>
    <row r="15" spans="1:9" s="1393" customFormat="1">
      <c r="A15" s="1753" t="s">
        <v>459</v>
      </c>
      <c r="B15" s="1673"/>
      <c r="C15" s="1798">
        <v>0</v>
      </c>
      <c r="D15" s="1511">
        <v>0</v>
      </c>
      <c r="E15" s="1396">
        <v>0</v>
      </c>
      <c r="F15" s="1509">
        <v>0</v>
      </c>
      <c r="G15" s="1511">
        <v>0</v>
      </c>
      <c r="H15" s="1510">
        <v>0</v>
      </c>
      <c r="I15" s="1509">
        <v>0</v>
      </c>
    </row>
    <row r="16" spans="1:9">
      <c r="A16" s="1754" t="s">
        <v>536</v>
      </c>
      <c r="B16" s="1674"/>
      <c r="C16" s="1798">
        <v>21</v>
      </c>
      <c r="D16" s="1511">
        <v>6</v>
      </c>
      <c r="E16" s="1396">
        <v>18</v>
      </c>
      <c r="F16" s="1509">
        <v>15</v>
      </c>
      <c r="G16" s="1511">
        <v>0</v>
      </c>
      <c r="H16" s="1510">
        <v>0</v>
      </c>
      <c r="I16" s="1509">
        <v>9</v>
      </c>
    </row>
    <row r="17" spans="1:9" s="1398" customFormat="1">
      <c r="A17" s="1752" t="s">
        <v>91</v>
      </c>
      <c r="B17" s="1672"/>
      <c r="C17" s="1798">
        <v>9</v>
      </c>
      <c r="D17" s="1511">
        <v>0</v>
      </c>
      <c r="E17" s="1396">
        <v>9</v>
      </c>
      <c r="F17" s="1509">
        <v>0</v>
      </c>
      <c r="G17" s="1511">
        <v>6</v>
      </c>
      <c r="H17" s="1510">
        <v>3</v>
      </c>
      <c r="I17" s="1509">
        <v>3</v>
      </c>
    </row>
    <row r="18" spans="1:9">
      <c r="A18" s="1755" t="s">
        <v>252</v>
      </c>
      <c r="B18" s="1935"/>
      <c r="C18" s="1935">
        <f>SUM(C3:C17)</f>
        <v>3645</v>
      </c>
      <c r="D18" s="1936">
        <f t="shared" ref="D18:I18" si="0">SUM(D3:D17)</f>
        <v>2553</v>
      </c>
      <c r="E18" s="1936">
        <f t="shared" si="0"/>
        <v>1071</v>
      </c>
      <c r="F18" s="1935">
        <f t="shared" si="0"/>
        <v>1641</v>
      </c>
      <c r="G18" s="1936">
        <f t="shared" si="0"/>
        <v>1272</v>
      </c>
      <c r="H18" s="1936">
        <f t="shared" si="0"/>
        <v>654</v>
      </c>
      <c r="I18" s="1935">
        <f t="shared" si="0"/>
        <v>1119</v>
      </c>
    </row>
    <row r="19" spans="1:9">
      <c r="A19" s="1408" t="s">
        <v>498</v>
      </c>
      <c r="B19" s="1398"/>
      <c r="C19" s="1512"/>
      <c r="D19" s="1512"/>
      <c r="E19" s="1512"/>
    </row>
    <row r="20" spans="1:9">
      <c r="A20" s="1398" t="s">
        <v>527</v>
      </c>
      <c r="B20" s="1398"/>
      <c r="C20" s="1512"/>
      <c r="D20" s="1512"/>
      <c r="E20" s="1401"/>
    </row>
    <row r="21" spans="1:9">
      <c r="A21" s="1402" t="s">
        <v>542</v>
      </c>
      <c r="B21" s="1401"/>
      <c r="C21" s="1401"/>
      <c r="D21" s="1401"/>
    </row>
    <row r="22" spans="1:9">
      <c r="C22" s="1512"/>
    </row>
    <row r="26" spans="1:9">
      <c r="C26" s="1512"/>
    </row>
  </sheetData>
  <printOptions horizontalCentered="1"/>
  <pageMargins left="0.19685039370078741" right="0.19685039370078741" top="0.9055118110236221" bottom="0.31496062992125984" header="0.51181102362204722" footer="0.19685039370078741"/>
  <pageSetup paperSize="9" orientation="landscape" r:id="rId1"/>
  <headerFooter alignWithMargins="0">
    <oddFooter xml:space="preserve">&amp;R
</oddFooter>
  </headerFooter>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tint="-0.499984740745262"/>
  </sheetPr>
  <dimension ref="A1:AD42"/>
  <sheetViews>
    <sheetView zoomScaleNormal="100" zoomScaleSheetLayoutView="100" workbookViewId="0">
      <selection activeCell="C19" sqref="C19"/>
    </sheetView>
  </sheetViews>
  <sheetFormatPr baseColWidth="10" defaultColWidth="11.42578125" defaultRowHeight="11.25"/>
  <cols>
    <col min="1" max="1" width="1.5703125" style="6" customWidth="1"/>
    <col min="2" max="2" width="28.5703125" style="6" customWidth="1"/>
    <col min="3" max="9" width="11.5703125" style="6" customWidth="1"/>
    <col min="10" max="11" width="8.42578125" style="6" customWidth="1"/>
    <col min="12" max="14" width="7.140625" style="6" customWidth="1"/>
    <col min="15" max="15" width="10.42578125" style="6" customWidth="1"/>
    <col min="16" max="23" width="6.42578125" style="6" customWidth="1"/>
    <col min="24" max="16384" width="11.42578125" style="6"/>
  </cols>
  <sheetData>
    <row r="1" spans="1:30" ht="13.35" customHeight="1"/>
    <row r="2" spans="1:30" ht="13.35" customHeight="1">
      <c r="A2" s="2050" t="s">
        <v>215</v>
      </c>
      <c r="B2" s="2050"/>
      <c r="C2" s="2050"/>
      <c r="D2" s="41"/>
      <c r="E2" s="41"/>
      <c r="F2" s="42"/>
      <c r="G2" s="41"/>
      <c r="H2" s="950"/>
      <c r="I2" s="534"/>
    </row>
    <row r="3" spans="1:30" ht="11.1" customHeight="1"/>
    <row r="4" spans="1:30" ht="11.1" customHeight="1">
      <c r="A4" s="2113" t="s">
        <v>368</v>
      </c>
      <c r="B4" s="2113"/>
      <c r="C4" s="2113"/>
      <c r="D4" s="2113"/>
      <c r="E4" s="2113"/>
      <c r="F4" s="2113"/>
      <c r="G4" s="2113"/>
      <c r="H4" s="2113"/>
      <c r="I4" s="2113"/>
    </row>
    <row r="5" spans="1:30" ht="14.1" customHeight="1">
      <c r="A5" s="2114"/>
      <c r="B5" s="2114"/>
      <c r="C5" s="2114"/>
      <c r="D5" s="2114"/>
      <c r="E5" s="2114"/>
      <c r="F5" s="2114"/>
      <c r="G5" s="2114"/>
      <c r="H5" s="2114"/>
      <c r="I5" s="2114"/>
    </row>
    <row r="6" spans="1:30" ht="0.75" hidden="1" customHeight="1">
      <c r="A6" s="951"/>
      <c r="B6" s="951"/>
      <c r="C6" s="951"/>
      <c r="D6" s="951"/>
      <c r="E6" s="951"/>
      <c r="F6" s="951"/>
      <c r="G6" s="951"/>
      <c r="H6" s="951"/>
      <c r="I6" s="951"/>
    </row>
    <row r="7" spans="1:30" ht="11.1" customHeight="1" thickBot="1">
      <c r="A7" s="951"/>
      <c r="B7" s="951"/>
      <c r="C7" s="951"/>
      <c r="D7" s="951"/>
      <c r="E7" s="951"/>
      <c r="F7" s="951"/>
      <c r="G7" s="951"/>
      <c r="H7" s="951"/>
      <c r="I7" s="951"/>
    </row>
    <row r="8" spans="1:30" ht="12.95" customHeight="1">
      <c r="A8" s="1953" t="s">
        <v>16</v>
      </c>
      <c r="B8" s="1984"/>
      <c r="C8" s="2110" t="s">
        <v>227</v>
      </c>
      <c r="D8" s="2111"/>
      <c r="E8" s="2111"/>
      <c r="F8" s="2111"/>
      <c r="G8" s="2111"/>
      <c r="H8" s="2111"/>
      <c r="I8" s="2112"/>
    </row>
    <row r="9" spans="1:30" ht="14.1" customHeight="1">
      <c r="A9" s="1985"/>
      <c r="B9" s="1986"/>
      <c r="C9" s="420"/>
      <c r="D9" s="421"/>
      <c r="E9" s="420"/>
      <c r="F9" s="952" t="s">
        <v>353</v>
      </c>
      <c r="G9" s="953"/>
      <c r="H9" s="655"/>
      <c r="I9" s="504" t="s">
        <v>318</v>
      </c>
    </row>
    <row r="10" spans="1:30" ht="14.1" customHeight="1">
      <c r="A10" s="1985"/>
      <c r="B10" s="1986"/>
      <c r="C10" s="422" t="s">
        <v>94</v>
      </c>
      <c r="D10" s="1059" t="s">
        <v>92</v>
      </c>
      <c r="E10" s="15" t="s">
        <v>93</v>
      </c>
      <c r="F10" s="846" t="s">
        <v>317</v>
      </c>
      <c r="G10" s="517"/>
      <c r="H10" s="915"/>
      <c r="I10" s="1220" t="s">
        <v>352</v>
      </c>
      <c r="J10" s="729"/>
      <c r="K10" s="137"/>
      <c r="L10" s="727"/>
      <c r="M10" s="41"/>
      <c r="N10" s="41"/>
      <c r="O10" s="41"/>
      <c r="P10" s="42"/>
      <c r="Q10" s="42"/>
      <c r="R10" s="43"/>
      <c r="S10" s="41"/>
      <c r="T10" s="41"/>
      <c r="U10" s="41"/>
      <c r="V10" s="41"/>
      <c r="W10" s="41"/>
      <c r="X10" s="41"/>
      <c r="Y10" s="41"/>
      <c r="Z10" s="41"/>
      <c r="AA10" s="42"/>
      <c r="AB10" s="41"/>
      <c r="AC10" s="41"/>
      <c r="AD10" s="64" t="s">
        <v>111</v>
      </c>
    </row>
    <row r="11" spans="1:30" ht="14.1" customHeight="1">
      <c r="A11" s="1987"/>
      <c r="B11" s="1988"/>
      <c r="C11" s="422"/>
      <c r="D11" s="424"/>
      <c r="E11" s="15"/>
      <c r="F11" s="845" t="s">
        <v>30</v>
      </c>
      <c r="G11" s="539" t="s">
        <v>31</v>
      </c>
      <c r="H11" s="954" t="s">
        <v>32</v>
      </c>
      <c r="I11" s="1127" t="s">
        <v>317</v>
      </c>
      <c r="J11" s="730"/>
      <c r="K11" s="731"/>
      <c r="L11" s="731"/>
    </row>
    <row r="12" spans="1:30" ht="15" customHeight="1">
      <c r="A12" s="1010"/>
      <c r="B12" s="1011" t="s">
        <v>73</v>
      </c>
      <c r="C12" s="1128">
        <f>120+111+75+60+24+33+54+6+42+69+18+54+45</f>
        <v>711</v>
      </c>
      <c r="D12" s="1050">
        <f>102+93+66+51+18+21+42+6+39+63+12+51+36</f>
        <v>600</v>
      </c>
      <c r="E12" s="1051">
        <f>18+18+9+6+6+12+9+3+6+6+6+9</f>
        <v>108</v>
      </c>
      <c r="F12" s="1050">
        <f>48+30+42+27+9+6+6+27+33+15+24+18</f>
        <v>285</v>
      </c>
      <c r="G12" s="1052">
        <f>60+51+21+24+3+24+30+12+27+3+24+18</f>
        <v>297</v>
      </c>
      <c r="H12" s="1051">
        <f>15+30+12+9+9+9+18+3+9+3+6+9</f>
        <v>132</v>
      </c>
      <c r="I12" s="704">
        <f>30+39+27+12+12+9+24+3+15+21+12+12+6</f>
        <v>222</v>
      </c>
      <c r="J12" s="310"/>
      <c r="K12" s="310"/>
      <c r="L12" s="310"/>
    </row>
    <row r="13" spans="1:30" ht="15" customHeight="1">
      <c r="A13" s="581"/>
      <c r="B13" s="582" t="s">
        <v>129</v>
      </c>
      <c r="C13" s="1129">
        <f>9+18+6+3+6+6+3+6</f>
        <v>57</v>
      </c>
      <c r="D13" s="338">
        <f>9+15+6+3+6+6+6</f>
        <v>51</v>
      </c>
      <c r="E13" s="583">
        <f>3</f>
        <v>3</v>
      </c>
      <c r="F13" s="338">
        <f>3+12+3+6+6+3+3</f>
        <v>36</v>
      </c>
      <c r="G13" s="339">
        <f>3+3+3</f>
        <v>9</v>
      </c>
      <c r="H13" s="583">
        <f>3</f>
        <v>3</v>
      </c>
      <c r="I13" s="584">
        <f>3+9+3+3+3+3+3</f>
        <v>27</v>
      </c>
      <c r="J13" s="310"/>
      <c r="K13" s="310"/>
      <c r="L13" s="310"/>
    </row>
    <row r="14" spans="1:30" ht="15" customHeight="1">
      <c r="A14" s="581"/>
      <c r="B14" s="582" t="s">
        <v>77</v>
      </c>
      <c r="C14" s="1129">
        <f>3+33+6+3</f>
        <v>45</v>
      </c>
      <c r="D14" s="338">
        <f>3+21+3+3</f>
        <v>30</v>
      </c>
      <c r="E14" s="583">
        <f>12+3</f>
        <v>15</v>
      </c>
      <c r="F14" s="338">
        <f>3+18</f>
        <v>21</v>
      </c>
      <c r="G14" s="339">
        <f>12+6+3</f>
        <v>21</v>
      </c>
      <c r="H14" s="583">
        <f>3+3</f>
        <v>6</v>
      </c>
      <c r="I14" s="584">
        <f>9+3</f>
        <v>12</v>
      </c>
      <c r="J14" s="310"/>
      <c r="L14" s="310"/>
      <c r="M14" s="310"/>
    </row>
    <row r="15" spans="1:30" ht="15" customHeight="1">
      <c r="A15" s="581"/>
      <c r="B15" s="582" t="s">
        <v>228</v>
      </c>
      <c r="C15" s="1129">
        <f>6+6+3+3+3+6+3</f>
        <v>30</v>
      </c>
      <c r="D15" s="338">
        <f>6+6+3+3+3+3+3</f>
        <v>27</v>
      </c>
      <c r="E15" s="583">
        <f>0</f>
        <v>0</v>
      </c>
      <c r="F15" s="338">
        <f>3+3+3+3</f>
        <v>12</v>
      </c>
      <c r="G15" s="339">
        <f>3+3+3+3+3</f>
        <v>15</v>
      </c>
      <c r="H15" s="583">
        <f>0</f>
        <v>0</v>
      </c>
      <c r="I15" s="584">
        <f>3+3</f>
        <v>6</v>
      </c>
      <c r="J15" s="588"/>
      <c r="K15" s="588"/>
      <c r="L15" s="588"/>
    </row>
    <row r="16" spans="1:30" ht="15" customHeight="1">
      <c r="A16" s="581"/>
      <c r="B16" s="582" t="s">
        <v>76</v>
      </c>
      <c r="C16" s="1129">
        <f>3+3+3+3+3+3+3+24+3+12+3+12+3+21+3+27+6+3</f>
        <v>138</v>
      </c>
      <c r="D16" s="338">
        <f>3+3+3+3+3+3+12+3+6+3+6+15+3+12+6</f>
        <v>84</v>
      </c>
      <c r="E16" s="583">
        <f>3+12+6+3+6+3+6+12</f>
        <v>51</v>
      </c>
      <c r="F16" s="338">
        <f>15+6+12+3+15+9+3+3</f>
        <v>66</v>
      </c>
      <c r="G16" s="339">
        <f>3+3+3+6+3+3+3+3+12+3</f>
        <v>42</v>
      </c>
      <c r="H16" s="583">
        <f>3+3+3+3+3</f>
        <v>15</v>
      </c>
      <c r="I16" s="584">
        <f>9+3+12+3+6+3+3</f>
        <v>39</v>
      </c>
      <c r="J16" s="310"/>
      <c r="L16" s="310"/>
    </row>
    <row r="17" spans="1:13" ht="15" customHeight="1">
      <c r="A17" s="581"/>
      <c r="B17" s="582" t="s">
        <v>79</v>
      </c>
      <c r="C17" s="1129">
        <f>3+6+3+3+3</f>
        <v>18</v>
      </c>
      <c r="D17" s="338">
        <f>3+6+3+3+3</f>
        <v>18</v>
      </c>
      <c r="E17" s="583">
        <v>0</v>
      </c>
      <c r="F17" s="338">
        <f>3+3</f>
        <v>6</v>
      </c>
      <c r="G17" s="339">
        <f>3+3+3</f>
        <v>9</v>
      </c>
      <c r="H17" s="583">
        <v>0</v>
      </c>
      <c r="I17" s="584">
        <v>0</v>
      </c>
      <c r="J17" s="310"/>
      <c r="K17" s="310"/>
      <c r="L17" s="310"/>
    </row>
    <row r="18" spans="1:13" ht="15" customHeight="1">
      <c r="A18" s="581"/>
      <c r="B18" s="582" t="s">
        <v>339</v>
      </c>
      <c r="C18" s="1129">
        <f>12+6+6+3+6+3+27+9+27+3+3+3+21+3+30+6+3+15+3+3+15+3+6+6+15+27+18+9+3+3+3+3+9+3+3+6+3+3+6+3</f>
        <v>339</v>
      </c>
      <c r="D18" s="338">
        <f>3+3+3+3+3+3+6+3+3+6+3+3+3</f>
        <v>45</v>
      </c>
      <c r="E18" s="583">
        <f>9+3+3+6+3+24+6+24+3+3+3+21+3+24+3+3+9+3+3+15+6+3+12+21+15+6+3+3+9+3+3+6+3+3+6+3</f>
        <v>276</v>
      </c>
      <c r="F18" s="338">
        <f>6+3+3+3+6+6+9+12+3+21+3+3+3+3+3+6+3+9+9+12+3+3+6+3+3+3+3+3</f>
        <v>153</v>
      </c>
      <c r="G18" s="339">
        <f>3+3+3+3+3+18+3+12+3+3+6+6+3+9+6+3+3+6+9+9+6+3+3+3+3</f>
        <v>132</v>
      </c>
      <c r="H18" s="583">
        <f>3+3+6+3+3+3+6+3+3+9+3+3</f>
        <v>48</v>
      </c>
      <c r="I18" s="584">
        <f>3+3+3+18+3+9+9+12+3+3+3+6+9+3+3+3+3+6+3+3+3</f>
        <v>111</v>
      </c>
      <c r="J18" s="310"/>
      <c r="L18" s="310"/>
    </row>
    <row r="19" spans="1:13" ht="15" customHeight="1">
      <c r="A19" s="581"/>
      <c r="B19" s="582" t="s">
        <v>78</v>
      </c>
      <c r="C19" s="1129">
        <f>3+9+9+3+39+3+3+42+6+15+3+30+6+150+6+21+6+45+27+300+6+3+6+15+6+72+3+3+3+15+48+12+6+9+6+27+6+156+6+12+3+45+3+123+3+3+3+24+6+42+3+3+3+27+3+18+3+3+3+15+3+3+3+3+18+3+9+21</f>
        <v>1545</v>
      </c>
      <c r="D19" s="338">
        <f>3+9+6+3+36+3+39+3+12+3+18+6+126+6+15+3+24+24+279+3+6+6+3+63+3+3+3+12+42+6+6+9+3+18+6+138+6+6+27+3+111+3+21+3+36+3+3+24+3+15+3+12+3+3+15+6+21</f>
        <v>1275</v>
      </c>
      <c r="E19" s="583">
        <f>3+3+3+3+6+12+24+3+6+3+21+3+18+3+9+6+3+6+6+3+3+9+18+6+3+18+12+6+3+6+3+3+3+3+3+3+3+3</f>
        <v>252</v>
      </c>
      <c r="F19" s="338">
        <f>6+6+3+21+18+3+12+21+3+72+6+15+3+24+18+189+3+9+36+3+9+21+3+6+9+3+12+3+93+3+3+3+9+3+27+3+15+3+21+3+3+15+3+9+3+3+3+12+9+3+12</f>
        <v>798</v>
      </c>
      <c r="G19" s="339">
        <f>3+3+3+9+3+12+3+3+6+3+51+3+15+9+69+3+3+6+3+21+3+3+6+21+6+3+12+3+45+3+15+27+6+3+12+3+9+9+6+3+3+3+6</f>
        <v>441</v>
      </c>
      <c r="H19" s="583">
        <f>3+3+9+12+3+3+3+27+3+6+3+42+3+12+3+9+3+3+3+15+3+6+3+21+3+69+3+9+3+6+3+6</f>
        <v>303</v>
      </c>
      <c r="I19" s="584">
        <f>3+3+12+12+3+6+15+3+51+9+15+6+105+3+21+3+3+3+18+3+3+9+42+3+3+3+18+27+3+12+15+3+12+3+3+3+15+3+6+3</f>
        <v>486</v>
      </c>
      <c r="J19" s="310"/>
      <c r="K19" s="310"/>
      <c r="L19" s="310"/>
      <c r="M19" s="310"/>
    </row>
    <row r="20" spans="1:13" ht="15" customHeight="1">
      <c r="A20" s="581"/>
      <c r="B20" s="582" t="s">
        <v>340</v>
      </c>
      <c r="C20" s="1129">
        <f>12+3+51+81+9+9+3+42+33+9+12+12+6+3+3+18+6</f>
        <v>312</v>
      </c>
      <c r="D20" s="338">
        <f>12+3+42+75+6+9+3+33+30+6+12+9+3+3+12+6</f>
        <v>264</v>
      </c>
      <c r="E20" s="583">
        <f>9+6+3+9+3+3+3+3+6+3</f>
        <v>48</v>
      </c>
      <c r="F20" s="338">
        <f>3+21+36+6+6+18+3+3+6+9+3+3+12+3</f>
        <v>132</v>
      </c>
      <c r="G20" s="339">
        <f>6+15+30+3+18+9+3+6+3+3+3+3</f>
        <v>102</v>
      </c>
      <c r="H20" s="583">
        <f>3+12+12+6+21+3+3+3+3+3</f>
        <v>69</v>
      </c>
      <c r="I20" s="584">
        <f>9+18+3+3+6+3+3+3+3+3</f>
        <v>54</v>
      </c>
      <c r="J20" s="310"/>
      <c r="L20" s="310"/>
    </row>
    <row r="21" spans="1:13" ht="15" customHeight="1">
      <c r="A21" s="581"/>
      <c r="B21" s="582" t="s">
        <v>185</v>
      </c>
      <c r="C21" s="1129">
        <f>3+3</f>
        <v>6</v>
      </c>
      <c r="D21" s="338">
        <f>3+3</f>
        <v>6</v>
      </c>
      <c r="E21" s="583">
        <v>0</v>
      </c>
      <c r="F21" s="338">
        <v>0</v>
      </c>
      <c r="G21" s="339">
        <f>3+3</f>
        <v>6</v>
      </c>
      <c r="H21" s="583">
        <v>0</v>
      </c>
      <c r="I21" s="584">
        <v>0</v>
      </c>
      <c r="J21" s="310"/>
      <c r="L21" s="310"/>
    </row>
    <row r="22" spans="1:13" ht="15" customHeight="1">
      <c r="A22" s="581"/>
      <c r="B22" s="582" t="s">
        <v>341</v>
      </c>
      <c r="C22" s="1129">
        <f>3+6+3+3+15+9+3+3</f>
        <v>45</v>
      </c>
      <c r="D22" s="338">
        <f>3+6+3+3+15+9+3</f>
        <v>42</v>
      </c>
      <c r="E22" s="583">
        <f>3+3</f>
        <v>6</v>
      </c>
      <c r="F22" s="338">
        <f>3+3+9+6+3</f>
        <v>24</v>
      </c>
      <c r="G22" s="339">
        <f>3+3+6+3</f>
        <v>15</v>
      </c>
      <c r="H22" s="583">
        <f>3+3</f>
        <v>6</v>
      </c>
      <c r="I22" s="584">
        <f>3+3+6+6</f>
        <v>18</v>
      </c>
      <c r="J22" s="310"/>
      <c r="L22" s="310"/>
    </row>
    <row r="23" spans="1:13" ht="15" customHeight="1">
      <c r="A23" s="581"/>
      <c r="B23" s="582" t="s">
        <v>127</v>
      </c>
      <c r="C23" s="1130">
        <v>0</v>
      </c>
      <c r="D23" s="339">
        <v>0</v>
      </c>
      <c r="E23" s="583">
        <v>0</v>
      </c>
      <c r="F23" s="338">
        <v>0</v>
      </c>
      <c r="G23" s="339">
        <v>0</v>
      </c>
      <c r="H23" s="583">
        <v>0</v>
      </c>
      <c r="I23" s="584">
        <v>0</v>
      </c>
      <c r="J23" s="310"/>
      <c r="L23" s="310"/>
    </row>
    <row r="24" spans="1:13" ht="15" customHeight="1">
      <c r="A24" s="581"/>
      <c r="B24" s="582" t="s">
        <v>320</v>
      </c>
      <c r="C24" s="1129">
        <f>3+3+12+3+3</f>
        <v>24</v>
      </c>
      <c r="D24" s="338">
        <f>3+9+3+3</f>
        <v>18</v>
      </c>
      <c r="E24" s="583">
        <f>3+3+3</f>
        <v>9</v>
      </c>
      <c r="F24" s="338">
        <f>3+6+3</f>
        <v>12</v>
      </c>
      <c r="G24" s="339">
        <f>6</f>
        <v>6</v>
      </c>
      <c r="H24" s="583">
        <v>0</v>
      </c>
      <c r="I24" s="584">
        <f>6+3+3</f>
        <v>12</v>
      </c>
      <c r="J24" s="310"/>
      <c r="K24" s="310"/>
      <c r="L24" s="310"/>
    </row>
    <row r="25" spans="1:13" s="585" customFormat="1" ht="15" customHeight="1">
      <c r="A25" s="581"/>
      <c r="B25" s="582" t="s">
        <v>296</v>
      </c>
      <c r="C25" s="1129"/>
      <c r="D25" s="338"/>
      <c r="E25" s="583"/>
      <c r="F25" s="338"/>
      <c r="G25" s="339"/>
      <c r="H25" s="583"/>
      <c r="I25" s="584"/>
      <c r="J25" s="310"/>
      <c r="K25" s="6"/>
      <c r="L25" s="310"/>
    </row>
    <row r="26" spans="1:13" ht="15" customHeight="1">
      <c r="A26" s="581"/>
      <c r="B26" s="215" t="s">
        <v>128</v>
      </c>
      <c r="C26" s="1131">
        <v>0</v>
      </c>
      <c r="D26" s="338">
        <v>0</v>
      </c>
      <c r="E26" s="583">
        <v>0</v>
      </c>
      <c r="F26" s="338">
        <v>0</v>
      </c>
      <c r="G26" s="339">
        <v>0</v>
      </c>
      <c r="H26" s="583">
        <v>0</v>
      </c>
      <c r="I26" s="584">
        <v>0</v>
      </c>
      <c r="J26" s="310"/>
      <c r="L26" s="310"/>
    </row>
    <row r="27" spans="1:13" s="70" customFormat="1" ht="15" customHeight="1">
      <c r="A27" s="581"/>
      <c r="B27" s="582" t="s">
        <v>90</v>
      </c>
      <c r="C27" s="1129"/>
      <c r="D27" s="260"/>
      <c r="E27" s="583"/>
      <c r="F27" s="338"/>
      <c r="G27" s="339"/>
      <c r="H27" s="583"/>
      <c r="I27" s="584"/>
      <c r="J27" s="310"/>
      <c r="K27" s="6"/>
      <c r="L27" s="310"/>
    </row>
    <row r="28" spans="1:13" s="70" customFormat="1" ht="15" customHeight="1">
      <c r="A28" s="586"/>
      <c r="B28" s="587" t="s">
        <v>128</v>
      </c>
      <c r="C28" s="1129">
        <f>3+3</f>
        <v>6</v>
      </c>
      <c r="D28" s="338">
        <v>0</v>
      </c>
      <c r="E28" s="583">
        <f>3+3</f>
        <v>6</v>
      </c>
      <c r="F28" s="338">
        <f>3</f>
        <v>3</v>
      </c>
      <c r="G28" s="339">
        <v>0</v>
      </c>
      <c r="H28" s="583">
        <v>0</v>
      </c>
      <c r="I28" s="584">
        <f>3</f>
        <v>3</v>
      </c>
      <c r="J28" s="588"/>
      <c r="L28" s="588"/>
    </row>
    <row r="29" spans="1:13" ht="15" customHeight="1">
      <c r="A29" s="581"/>
      <c r="B29" s="582" t="s">
        <v>91</v>
      </c>
      <c r="C29" s="1129">
        <f>3+6+3+3+3</f>
        <v>18</v>
      </c>
      <c r="D29" s="338">
        <v>0</v>
      </c>
      <c r="E29" s="583">
        <f>3+6+3+3+3</f>
        <v>18</v>
      </c>
      <c r="F29" s="338">
        <f>3</f>
        <v>3</v>
      </c>
      <c r="G29" s="339">
        <f>3+6+3</f>
        <v>12</v>
      </c>
      <c r="H29" s="583">
        <v>0</v>
      </c>
      <c r="I29" s="584">
        <f>3+3</f>
        <v>6</v>
      </c>
      <c r="J29" s="310"/>
      <c r="K29" s="741"/>
      <c r="L29" s="310"/>
    </row>
    <row r="30" spans="1:13" s="70" customFormat="1" ht="5.0999999999999996" customHeight="1">
      <c r="A30" s="586"/>
      <c r="B30" s="587"/>
      <c r="C30" s="955"/>
      <c r="D30" s="1026"/>
      <c r="E30" s="956"/>
      <c r="F30" s="1026"/>
      <c r="G30" s="957"/>
      <c r="H30" s="956"/>
      <c r="I30" s="958"/>
      <c r="L30" s="588"/>
    </row>
    <row r="31" spans="1:13" ht="6" customHeight="1">
      <c r="A31" s="1010"/>
      <c r="B31" s="2130" t="s">
        <v>252</v>
      </c>
      <c r="C31" s="2115">
        <f t="shared" ref="C31:I31" si="0">C29+C28+C26+C24+C23+C22+C21+C20+C19+C18+C17+C16+C15+C14+C13+C12</f>
        <v>3294</v>
      </c>
      <c r="D31" s="2118">
        <f t="shared" si="0"/>
        <v>2460</v>
      </c>
      <c r="E31" s="2121">
        <f t="shared" si="0"/>
        <v>792</v>
      </c>
      <c r="F31" s="2118">
        <f t="shared" si="0"/>
        <v>1551</v>
      </c>
      <c r="G31" s="2124">
        <f t="shared" si="0"/>
        <v>1107</v>
      </c>
      <c r="H31" s="2121">
        <f t="shared" si="0"/>
        <v>582</v>
      </c>
      <c r="I31" s="2127">
        <f t="shared" si="0"/>
        <v>996</v>
      </c>
    </row>
    <row r="32" spans="1:13" s="11" customFormat="1" ht="6" customHeight="1">
      <c r="A32" s="1012"/>
      <c r="B32" s="2131"/>
      <c r="C32" s="2116"/>
      <c r="D32" s="2119"/>
      <c r="E32" s="2122"/>
      <c r="F32" s="2119"/>
      <c r="G32" s="2125"/>
      <c r="H32" s="2122"/>
      <c r="I32" s="2128"/>
      <c r="J32" s="588"/>
      <c r="L32" s="588"/>
    </row>
    <row r="33" spans="1:12" ht="6" customHeight="1" thickBot="1">
      <c r="A33" s="1013"/>
      <c r="B33" s="2132"/>
      <c r="C33" s="2117"/>
      <c r="D33" s="2120"/>
      <c r="E33" s="2123"/>
      <c r="F33" s="2120"/>
      <c r="G33" s="2126"/>
      <c r="H33" s="2123"/>
      <c r="I33" s="2129"/>
    </row>
    <row r="34" spans="1:12" s="70" customFormat="1" ht="3.75" customHeight="1">
      <c r="A34" s="81"/>
      <c r="G34" s="959"/>
      <c r="L34" s="70" t="s">
        <v>166</v>
      </c>
    </row>
    <row r="35" spans="1:12" ht="12" customHeight="1">
      <c r="A35" s="70" t="s">
        <v>319</v>
      </c>
      <c r="C35" s="310"/>
      <c r="D35" s="310"/>
      <c r="E35" s="310"/>
    </row>
    <row r="36" spans="1:12" ht="12" customHeight="1">
      <c r="A36" s="70" t="s">
        <v>321</v>
      </c>
      <c r="C36" s="310"/>
      <c r="D36" s="310"/>
      <c r="E36" s="310"/>
    </row>
    <row r="37" spans="1:12">
      <c r="A37" s="71"/>
      <c r="B37" s="71"/>
      <c r="C37" s="71"/>
      <c r="D37" s="71"/>
      <c r="E37" s="71"/>
    </row>
    <row r="38" spans="1:12">
      <c r="C38" s="310"/>
    </row>
    <row r="42" spans="1:12">
      <c r="C42" s="310"/>
    </row>
  </sheetData>
  <mergeCells count="12">
    <mergeCell ref="C8:I8"/>
    <mergeCell ref="A4:I5"/>
    <mergeCell ref="A2:C2"/>
    <mergeCell ref="A8:B11"/>
    <mergeCell ref="C31:C33"/>
    <mergeCell ref="D31:D33"/>
    <mergeCell ref="E31:E33"/>
    <mergeCell ref="F31:F33"/>
    <mergeCell ref="G31:G33"/>
    <mergeCell ref="H31:H33"/>
    <mergeCell ref="I31:I33"/>
    <mergeCell ref="B31:B33"/>
  </mergeCells>
  <printOptions horizontalCentered="1"/>
  <pageMargins left="0.19685039370078741" right="0.19685039370078741" top="0.9055118110236221" bottom="0.31496062992125984" header="0.51181102362204722" footer="0.19685039370078741"/>
  <pageSetup paperSize="9" orientation="landscape" r:id="rId1"/>
  <headerFooter alignWithMargins="0">
    <oddHeader>&amp;C&amp;"Arial,Standard"&amp;8- 29 -&amp;R&amp;8&amp;D</oddHeader>
    <oddFooter>&amp;R
&amp;12...</oddFooter>
  </headerFooter>
  <ignoredErrors>
    <ignoredError sqref="E14:F14" formula="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92D050"/>
  </sheetPr>
  <dimension ref="A1:AC79"/>
  <sheetViews>
    <sheetView zoomScaleNormal="100" zoomScaleSheetLayoutView="120" workbookViewId="0"/>
  </sheetViews>
  <sheetFormatPr baseColWidth="10" defaultColWidth="11.42578125" defaultRowHeight="17.25"/>
  <cols>
    <col min="1" max="1" width="34.140625" style="1519" customWidth="1"/>
    <col min="2" max="2" width="9.42578125" style="1520" customWidth="1"/>
    <col min="3" max="4" width="25.5703125" style="1519" customWidth="1"/>
    <col min="5" max="5" width="10.42578125" style="1521" customWidth="1"/>
    <col min="6" max="16384" width="11.42578125" style="1519"/>
  </cols>
  <sheetData>
    <row r="1" spans="1:29" ht="24.75" customHeight="1">
      <c r="A1" s="1891" t="s">
        <v>562</v>
      </c>
      <c r="B1" s="1677"/>
      <c r="C1" s="1677"/>
      <c r="D1" s="1951"/>
      <c r="E1" s="1523"/>
    </row>
    <row r="2" spans="1:29">
      <c r="A2" s="1679" t="s">
        <v>564</v>
      </c>
      <c r="B2" s="1680" t="s">
        <v>133</v>
      </c>
      <c r="C2" s="1680" t="s">
        <v>92</v>
      </c>
      <c r="D2" s="1680" t="s">
        <v>93</v>
      </c>
      <c r="E2" s="1523"/>
      <c r="G2" s="1513"/>
      <c r="H2" s="1525"/>
      <c r="I2" s="1526"/>
      <c r="J2" s="1526"/>
      <c r="K2" s="1526"/>
      <c r="L2" s="1526"/>
      <c r="M2" s="1526"/>
      <c r="N2" s="1526"/>
      <c r="O2" s="1527"/>
      <c r="P2" s="1527"/>
      <c r="Q2" s="1514"/>
      <c r="R2" s="1526"/>
      <c r="S2" s="1526"/>
      <c r="T2" s="1526"/>
      <c r="U2" s="1526"/>
      <c r="V2" s="1526"/>
      <c r="W2" s="1526"/>
      <c r="X2" s="1526"/>
      <c r="Y2" s="1526"/>
      <c r="Z2" s="1527"/>
      <c r="AA2" s="1526"/>
      <c r="AB2" s="1526"/>
      <c r="AC2" s="1515"/>
    </row>
    <row r="3" spans="1:29">
      <c r="A3" s="1681" t="s">
        <v>461</v>
      </c>
      <c r="B3" s="1682">
        <f>SUM(B4:B20)</f>
        <v>192</v>
      </c>
      <c r="C3" s="1682">
        <f>SUM(C4:C20)</f>
        <v>129</v>
      </c>
      <c r="D3" s="1682">
        <f>SUM(D4:D20)</f>
        <v>45</v>
      </c>
      <c r="E3" s="1524"/>
    </row>
    <row r="4" spans="1:29">
      <c r="A4" s="1705" t="s">
        <v>134</v>
      </c>
      <c r="B4" s="1516">
        <v>6</v>
      </c>
      <c r="C4" s="1516">
        <v>6</v>
      </c>
      <c r="D4" s="1518">
        <v>0</v>
      </c>
      <c r="E4" s="1524"/>
    </row>
    <row r="5" spans="1:29">
      <c r="A5" s="1705" t="s">
        <v>270</v>
      </c>
      <c r="B5" s="1516">
        <v>3</v>
      </c>
      <c r="C5" s="1516">
        <v>3</v>
      </c>
      <c r="D5" s="1518">
        <v>0</v>
      </c>
      <c r="E5" s="1524"/>
    </row>
    <row r="6" spans="1:29">
      <c r="A6" s="1705" t="s">
        <v>184</v>
      </c>
      <c r="B6" s="1516">
        <v>6</v>
      </c>
      <c r="C6" s="1516">
        <v>6</v>
      </c>
      <c r="D6" s="1518">
        <v>3</v>
      </c>
      <c r="E6" s="1524"/>
    </row>
    <row r="7" spans="1:29">
      <c r="A7" s="1705" t="s">
        <v>135</v>
      </c>
      <c r="B7" s="1516">
        <v>9</v>
      </c>
      <c r="C7" s="1516">
        <v>6</v>
      </c>
      <c r="D7" s="1518">
        <v>3</v>
      </c>
      <c r="E7" s="1524"/>
    </row>
    <row r="8" spans="1:29">
      <c r="A8" s="1705" t="s">
        <v>136</v>
      </c>
      <c r="B8" s="1516">
        <v>24</v>
      </c>
      <c r="C8" s="1516">
        <v>12</v>
      </c>
      <c r="D8" s="1518">
        <v>6</v>
      </c>
      <c r="E8" s="1524"/>
    </row>
    <row r="9" spans="1:29">
      <c r="A9" s="1705" t="s">
        <v>147</v>
      </c>
      <c r="B9" s="1516">
        <v>3</v>
      </c>
      <c r="C9" s="1516">
        <v>3</v>
      </c>
      <c r="D9" s="1518">
        <v>0</v>
      </c>
      <c r="E9" s="1517"/>
    </row>
    <row r="10" spans="1:29">
      <c r="A10" s="1705" t="s">
        <v>137</v>
      </c>
      <c r="B10" s="1516">
        <v>3</v>
      </c>
      <c r="C10" s="1516">
        <v>3</v>
      </c>
      <c r="D10" s="1518">
        <v>0</v>
      </c>
      <c r="E10" s="1517"/>
    </row>
    <row r="11" spans="1:29">
      <c r="A11" s="1705" t="s">
        <v>278</v>
      </c>
      <c r="B11" s="1516">
        <v>3</v>
      </c>
      <c r="C11" s="1516">
        <v>3</v>
      </c>
      <c r="D11" s="1518">
        <v>0</v>
      </c>
      <c r="E11" s="1517"/>
    </row>
    <row r="12" spans="1:29">
      <c r="A12" s="1705" t="s">
        <v>138</v>
      </c>
      <c r="B12" s="1516">
        <v>30</v>
      </c>
      <c r="C12" s="1516">
        <v>18</v>
      </c>
      <c r="D12" s="1518">
        <v>12</v>
      </c>
      <c r="E12" s="1517"/>
    </row>
    <row r="13" spans="1:29">
      <c r="A13" s="1705" t="s">
        <v>139</v>
      </c>
      <c r="B13" s="1516">
        <v>21</v>
      </c>
      <c r="C13" s="1516">
        <v>6</v>
      </c>
      <c r="D13" s="1518">
        <v>12</v>
      </c>
      <c r="E13" s="1517"/>
    </row>
    <row r="14" spans="1:29">
      <c r="A14" s="1705" t="s">
        <v>140</v>
      </c>
      <c r="B14" s="1516">
        <v>48</v>
      </c>
      <c r="C14" s="1516">
        <v>39</v>
      </c>
      <c r="D14" s="1518">
        <v>6</v>
      </c>
      <c r="E14" s="1517"/>
    </row>
    <row r="15" spans="1:29">
      <c r="A15" s="1705" t="s">
        <v>141</v>
      </c>
      <c r="B15" s="1516">
        <v>3</v>
      </c>
      <c r="C15" s="1516">
        <v>3</v>
      </c>
      <c r="D15" s="1518">
        <v>0</v>
      </c>
      <c r="E15" s="1517"/>
    </row>
    <row r="16" spans="1:29">
      <c r="A16" s="1705" t="s">
        <v>148</v>
      </c>
      <c r="B16" s="1516">
        <v>9</v>
      </c>
      <c r="C16" s="1516">
        <v>6</v>
      </c>
      <c r="D16" s="1518">
        <v>3</v>
      </c>
      <c r="E16" s="1517"/>
    </row>
    <row r="17" spans="1:5">
      <c r="A17" s="1705" t="s">
        <v>279</v>
      </c>
      <c r="B17" s="1516">
        <v>3</v>
      </c>
      <c r="C17" s="1516">
        <v>3</v>
      </c>
      <c r="D17" s="1518">
        <v>0</v>
      </c>
      <c r="E17" s="1517"/>
    </row>
    <row r="18" spans="1:5">
      <c r="A18" s="1705" t="s">
        <v>143</v>
      </c>
      <c r="B18" s="1516">
        <v>9</v>
      </c>
      <c r="C18" s="1516">
        <v>6</v>
      </c>
      <c r="D18" s="1518">
        <v>0</v>
      </c>
      <c r="E18" s="1517"/>
    </row>
    <row r="19" spans="1:5">
      <c r="A19" s="1705" t="s">
        <v>528</v>
      </c>
      <c r="B19" s="1516">
        <v>3</v>
      </c>
      <c r="C19" s="1516">
        <v>3</v>
      </c>
      <c r="D19" s="1518">
        <v>0</v>
      </c>
      <c r="E19" s="1517"/>
    </row>
    <row r="20" spans="1:5">
      <c r="A20" s="1705" t="s">
        <v>280</v>
      </c>
      <c r="B20" s="1516">
        <v>9</v>
      </c>
      <c r="C20" s="1516">
        <v>3</v>
      </c>
      <c r="D20" s="1518">
        <v>0</v>
      </c>
      <c r="E20" s="1517"/>
    </row>
    <row r="21" spans="1:5">
      <c r="A21" s="1683" t="s">
        <v>323</v>
      </c>
      <c r="B21" s="1682">
        <f>SUM(B22:B29)</f>
        <v>129</v>
      </c>
      <c r="C21" s="1682">
        <f>SUM(C22:C29)</f>
        <v>99</v>
      </c>
      <c r="D21" s="1682">
        <f>SUM(D22:D29)</f>
        <v>27</v>
      </c>
    </row>
    <row r="22" spans="1:5">
      <c r="A22" s="1705" t="s">
        <v>364</v>
      </c>
      <c r="B22" s="1516">
        <v>6</v>
      </c>
      <c r="C22" s="1516">
        <v>6</v>
      </c>
      <c r="D22" s="1518">
        <v>0</v>
      </c>
    </row>
    <row r="23" spans="1:5">
      <c r="A23" s="1705" t="s">
        <v>146</v>
      </c>
      <c r="B23" s="1516">
        <v>6</v>
      </c>
      <c r="C23" s="1516">
        <v>3</v>
      </c>
      <c r="D23" s="1518">
        <v>0</v>
      </c>
    </row>
    <row r="24" spans="1:5">
      <c r="A24" s="1705" t="s">
        <v>256</v>
      </c>
      <c r="B24" s="1516">
        <v>30</v>
      </c>
      <c r="C24" s="1516">
        <v>24</v>
      </c>
      <c r="D24" s="1518">
        <v>3</v>
      </c>
    </row>
    <row r="25" spans="1:5">
      <c r="A25" s="1705" t="s">
        <v>565</v>
      </c>
      <c r="B25" s="1516">
        <v>3</v>
      </c>
      <c r="C25" s="1516">
        <v>3</v>
      </c>
      <c r="D25" s="1518">
        <v>0</v>
      </c>
    </row>
    <row r="26" spans="1:5">
      <c r="A26" s="1705" t="s">
        <v>365</v>
      </c>
      <c r="B26" s="1516">
        <v>18</v>
      </c>
      <c r="C26" s="1516">
        <v>12</v>
      </c>
      <c r="D26" s="1518">
        <v>9</v>
      </c>
    </row>
    <row r="27" spans="1:5">
      <c r="A27" s="1705" t="s">
        <v>543</v>
      </c>
      <c r="B27" s="1516">
        <v>6</v>
      </c>
      <c r="C27" s="1516">
        <v>6</v>
      </c>
      <c r="D27" s="1518">
        <v>0</v>
      </c>
    </row>
    <row r="28" spans="1:5">
      <c r="A28" s="1705" t="s">
        <v>15</v>
      </c>
      <c r="B28" s="1516">
        <v>21</v>
      </c>
      <c r="C28" s="1516">
        <v>18</v>
      </c>
      <c r="D28" s="1518">
        <v>0</v>
      </c>
    </row>
    <row r="29" spans="1:5">
      <c r="A29" s="1892" t="s">
        <v>149</v>
      </c>
      <c r="B29" s="1893">
        <v>39</v>
      </c>
      <c r="C29" s="1893">
        <v>27</v>
      </c>
      <c r="D29" s="1894">
        <v>15</v>
      </c>
    </row>
    <row r="30" spans="1:5">
      <c r="A30" s="1683" t="s">
        <v>324</v>
      </c>
      <c r="B30" s="1682">
        <f>SUM(B31:B66)</f>
        <v>336</v>
      </c>
      <c r="C30" s="1682">
        <f>SUM(C31:C66)</f>
        <v>279</v>
      </c>
      <c r="D30" s="1682">
        <f>SUM(D31:D66)</f>
        <v>24</v>
      </c>
    </row>
    <row r="31" spans="1:5">
      <c r="A31" s="1705" t="s">
        <v>286</v>
      </c>
      <c r="B31" s="1516">
        <v>12</v>
      </c>
      <c r="C31" s="1516">
        <v>12</v>
      </c>
      <c r="D31" s="1518">
        <v>0</v>
      </c>
    </row>
    <row r="32" spans="1:5">
      <c r="A32" s="1705" t="s">
        <v>566</v>
      </c>
      <c r="B32" s="1516">
        <v>3</v>
      </c>
      <c r="C32" s="1516">
        <v>3</v>
      </c>
      <c r="D32" s="1518">
        <v>0</v>
      </c>
    </row>
    <row r="33" spans="1:4">
      <c r="A33" s="1705" t="s">
        <v>544</v>
      </c>
      <c r="B33" s="1516">
        <v>3</v>
      </c>
      <c r="C33" s="1516">
        <v>0</v>
      </c>
      <c r="D33" s="1518">
        <v>0</v>
      </c>
    </row>
    <row r="34" spans="1:4">
      <c r="A34" s="1705" t="s">
        <v>533</v>
      </c>
      <c r="B34" s="1516">
        <v>3</v>
      </c>
      <c r="C34" s="1516">
        <v>3</v>
      </c>
      <c r="D34" s="1518">
        <v>0</v>
      </c>
    </row>
    <row r="35" spans="1:4">
      <c r="A35" s="1705" t="s">
        <v>567</v>
      </c>
      <c r="B35" s="1516">
        <v>3</v>
      </c>
      <c r="C35" s="1516">
        <v>3</v>
      </c>
      <c r="D35" s="1518">
        <v>0</v>
      </c>
    </row>
    <row r="36" spans="1:4">
      <c r="A36" s="1705" t="s">
        <v>568</v>
      </c>
      <c r="B36" s="1516">
        <v>3</v>
      </c>
      <c r="C36" s="1516">
        <v>0</v>
      </c>
      <c r="D36" s="1518">
        <v>0</v>
      </c>
    </row>
    <row r="37" spans="1:4">
      <c r="A37" s="1705" t="s">
        <v>150</v>
      </c>
      <c r="B37" s="1516">
        <v>21</v>
      </c>
      <c r="C37" s="1516">
        <v>18</v>
      </c>
      <c r="D37" s="1518">
        <v>3</v>
      </c>
    </row>
    <row r="38" spans="1:4">
      <c r="A38" s="1705" t="s">
        <v>395</v>
      </c>
      <c r="B38" s="1516">
        <v>3</v>
      </c>
      <c r="C38" s="1516">
        <v>0</v>
      </c>
      <c r="D38" s="1518">
        <v>0</v>
      </c>
    </row>
    <row r="39" spans="1:4">
      <c r="A39" s="1705" t="s">
        <v>404</v>
      </c>
      <c r="B39" s="1516">
        <v>9</v>
      </c>
      <c r="C39" s="1516">
        <v>9</v>
      </c>
      <c r="D39" s="1518">
        <v>0</v>
      </c>
    </row>
    <row r="40" spans="1:4">
      <c r="A40" s="1705" t="s">
        <v>390</v>
      </c>
      <c r="B40" s="1516">
        <v>6</v>
      </c>
      <c r="C40" s="1516">
        <v>3</v>
      </c>
      <c r="D40" s="1518">
        <v>0</v>
      </c>
    </row>
    <row r="41" spans="1:4">
      <c r="A41" s="1705" t="s">
        <v>400</v>
      </c>
      <c r="B41" s="1516">
        <v>3</v>
      </c>
      <c r="C41" s="1516">
        <v>3</v>
      </c>
      <c r="D41" s="1518">
        <v>0</v>
      </c>
    </row>
    <row r="42" spans="1:4">
      <c r="A42" s="1705" t="s">
        <v>402</v>
      </c>
      <c r="B42" s="1516">
        <v>3</v>
      </c>
      <c r="C42" s="1516">
        <v>3</v>
      </c>
      <c r="D42" s="1518">
        <v>0</v>
      </c>
    </row>
    <row r="43" spans="1:4">
      <c r="A43" s="1705" t="s">
        <v>569</v>
      </c>
      <c r="B43" s="1516">
        <v>6</v>
      </c>
      <c r="C43" s="1516">
        <v>3</v>
      </c>
      <c r="D43" s="1518">
        <v>0</v>
      </c>
    </row>
    <row r="44" spans="1:4">
      <c r="A44" s="1705" t="s">
        <v>410</v>
      </c>
      <c r="B44" s="1516">
        <v>9</v>
      </c>
      <c r="C44" s="1516">
        <v>6</v>
      </c>
      <c r="D44" s="1518">
        <v>3</v>
      </c>
    </row>
    <row r="45" spans="1:4">
      <c r="A45" s="1705" t="s">
        <v>396</v>
      </c>
      <c r="B45" s="1516">
        <v>21</v>
      </c>
      <c r="C45" s="1516">
        <v>18</v>
      </c>
      <c r="D45" s="1518">
        <v>0</v>
      </c>
    </row>
    <row r="46" spans="1:4">
      <c r="A46" s="1705" t="s">
        <v>391</v>
      </c>
      <c r="B46" s="1516">
        <v>6</v>
      </c>
      <c r="C46" s="1516">
        <v>6</v>
      </c>
      <c r="D46" s="1518">
        <v>0</v>
      </c>
    </row>
    <row r="47" spans="1:4">
      <c r="A47" s="1705" t="s">
        <v>570</v>
      </c>
      <c r="B47" s="1516">
        <v>3</v>
      </c>
      <c r="C47" s="1516">
        <v>0</v>
      </c>
      <c r="D47" s="1518">
        <v>0</v>
      </c>
    </row>
    <row r="48" spans="1:4">
      <c r="A48" s="1705" t="s">
        <v>529</v>
      </c>
      <c r="B48" s="1516">
        <v>3</v>
      </c>
      <c r="C48" s="1516">
        <v>3</v>
      </c>
      <c r="D48" s="1518">
        <v>0</v>
      </c>
    </row>
    <row r="49" spans="1:4">
      <c r="A49" s="1705" t="s">
        <v>408</v>
      </c>
      <c r="B49" s="1516">
        <v>6</v>
      </c>
      <c r="C49" s="1516">
        <v>6</v>
      </c>
      <c r="D49" s="1518">
        <v>0</v>
      </c>
    </row>
    <row r="50" spans="1:4">
      <c r="A50" s="1705" t="s">
        <v>406</v>
      </c>
      <c r="B50" s="1516">
        <v>12</v>
      </c>
      <c r="C50" s="1516">
        <v>3</v>
      </c>
      <c r="D50" s="1518">
        <v>6</v>
      </c>
    </row>
    <row r="51" spans="1:4">
      <c r="A51" s="1705" t="s">
        <v>530</v>
      </c>
      <c r="B51" s="1516">
        <v>3</v>
      </c>
      <c r="C51" s="1516">
        <v>3</v>
      </c>
      <c r="D51" s="1518">
        <v>0</v>
      </c>
    </row>
    <row r="52" spans="1:4">
      <c r="A52" s="1705" t="s">
        <v>571</v>
      </c>
      <c r="B52" s="1516">
        <v>3</v>
      </c>
      <c r="C52" s="1516">
        <v>0</v>
      </c>
      <c r="D52" s="1518">
        <v>0</v>
      </c>
    </row>
    <row r="53" spans="1:4">
      <c r="A53" s="1705" t="s">
        <v>401</v>
      </c>
      <c r="B53" s="1516">
        <v>39</v>
      </c>
      <c r="C53" s="1516">
        <v>36</v>
      </c>
      <c r="D53" s="1518">
        <v>0</v>
      </c>
    </row>
    <row r="54" spans="1:4">
      <c r="A54" s="1705" t="s">
        <v>399</v>
      </c>
      <c r="B54" s="1516">
        <v>9</v>
      </c>
      <c r="C54" s="1516">
        <v>9</v>
      </c>
      <c r="D54" s="1518">
        <v>0</v>
      </c>
    </row>
    <row r="55" spans="1:4">
      <c r="A55" s="1705" t="s">
        <v>397</v>
      </c>
      <c r="B55" s="1516">
        <v>9</v>
      </c>
      <c r="C55" s="1516">
        <v>9</v>
      </c>
      <c r="D55" s="1518">
        <v>0</v>
      </c>
    </row>
    <row r="56" spans="1:4">
      <c r="A56" s="1705" t="s">
        <v>531</v>
      </c>
      <c r="B56" s="1516">
        <v>3</v>
      </c>
      <c r="C56" s="1516">
        <v>0</v>
      </c>
      <c r="D56" s="1518">
        <v>3</v>
      </c>
    </row>
    <row r="57" spans="1:4">
      <c r="A57" s="1705" t="s">
        <v>403</v>
      </c>
      <c r="B57" s="1516">
        <v>3</v>
      </c>
      <c r="C57" s="1516">
        <v>3</v>
      </c>
      <c r="D57" s="1518">
        <v>0</v>
      </c>
    </row>
    <row r="58" spans="1:4">
      <c r="A58" s="1705" t="s">
        <v>532</v>
      </c>
      <c r="B58" s="1516">
        <v>3</v>
      </c>
      <c r="C58" s="1516">
        <v>3</v>
      </c>
      <c r="D58" s="1518">
        <v>0</v>
      </c>
    </row>
    <row r="59" spans="1:4">
      <c r="A59" s="1705" t="s">
        <v>534</v>
      </c>
      <c r="B59" s="1516">
        <v>6</v>
      </c>
      <c r="C59" s="1516">
        <v>6</v>
      </c>
      <c r="D59" s="1518">
        <v>0</v>
      </c>
    </row>
    <row r="60" spans="1:4">
      <c r="A60" s="1705" t="s">
        <v>398</v>
      </c>
      <c r="B60" s="1516">
        <v>33</v>
      </c>
      <c r="C60" s="1516">
        <v>33</v>
      </c>
      <c r="D60" s="1518">
        <v>0</v>
      </c>
    </row>
    <row r="61" spans="1:4">
      <c r="A61" s="1705" t="s">
        <v>392</v>
      </c>
      <c r="B61" s="1516">
        <v>48</v>
      </c>
      <c r="C61" s="1516">
        <v>48</v>
      </c>
      <c r="D61" s="1518">
        <v>0</v>
      </c>
    </row>
    <row r="62" spans="1:4">
      <c r="A62" s="1705" t="s">
        <v>545</v>
      </c>
      <c r="B62" s="1516">
        <v>3</v>
      </c>
      <c r="C62" s="1516">
        <v>3</v>
      </c>
      <c r="D62" s="1518">
        <v>0</v>
      </c>
    </row>
    <row r="63" spans="1:4">
      <c r="A63" s="1705" t="s">
        <v>572</v>
      </c>
      <c r="B63" s="1516">
        <v>3</v>
      </c>
      <c r="C63" s="1516">
        <v>0</v>
      </c>
      <c r="D63" s="1518">
        <v>3</v>
      </c>
    </row>
    <row r="64" spans="1:4">
      <c r="A64" s="1705" t="s">
        <v>411</v>
      </c>
      <c r="B64" s="1516">
        <v>6</v>
      </c>
      <c r="C64" s="1516">
        <v>6</v>
      </c>
      <c r="D64" s="1518">
        <v>0</v>
      </c>
    </row>
    <row r="65" spans="1:5">
      <c r="A65" s="1705" t="s">
        <v>288</v>
      </c>
      <c r="B65" s="1516">
        <v>12</v>
      </c>
      <c r="C65" s="1516">
        <v>3</v>
      </c>
      <c r="D65" s="1518">
        <v>3</v>
      </c>
    </row>
    <row r="66" spans="1:5">
      <c r="A66" s="1892" t="s">
        <v>546</v>
      </c>
      <c r="B66" s="1893">
        <v>15</v>
      </c>
      <c r="C66" s="1893">
        <v>15</v>
      </c>
      <c r="D66" s="1894">
        <v>3</v>
      </c>
    </row>
    <row r="67" spans="1:5">
      <c r="A67" s="1927" t="s">
        <v>393</v>
      </c>
      <c r="B67" s="1516">
        <v>3</v>
      </c>
      <c r="C67" s="1516">
        <v>3</v>
      </c>
      <c r="D67" s="1518">
        <v>0</v>
      </c>
      <c r="E67" s="1519"/>
    </row>
    <row r="68" spans="1:5">
      <c r="A68" s="1927" t="s">
        <v>573</v>
      </c>
      <c r="B68" s="1516">
        <v>3</v>
      </c>
      <c r="C68" s="1516">
        <v>0</v>
      </c>
      <c r="D68" s="1518">
        <v>3</v>
      </c>
      <c r="E68" s="1519"/>
    </row>
    <row r="69" spans="1:5">
      <c r="A69" s="1927" t="s">
        <v>394</v>
      </c>
      <c r="B69" s="1516">
        <v>0</v>
      </c>
      <c r="C69" s="1516">
        <v>0</v>
      </c>
      <c r="D69" s="1518">
        <v>0</v>
      </c>
      <c r="E69" s="1519"/>
    </row>
    <row r="70" spans="1:5">
      <c r="A70" s="1895" t="s">
        <v>14</v>
      </c>
      <c r="B70" s="1912">
        <f>B30+B21+B3+B67+B68+B69</f>
        <v>663</v>
      </c>
      <c r="C70" s="1912">
        <f>C30+C21+C3+C67+C69</f>
        <v>510</v>
      </c>
      <c r="D70" s="1912">
        <f>D30+D21+D3+D67+D69+D68</f>
        <v>99</v>
      </c>
      <c r="E70" s="1519"/>
    </row>
    <row r="71" spans="1:5">
      <c r="A71" s="1408" t="s">
        <v>556</v>
      </c>
      <c r="B71" s="1522"/>
      <c r="C71" s="1401"/>
      <c r="D71" s="1913"/>
      <c r="E71" s="1519"/>
    </row>
    <row r="72" spans="1:5">
      <c r="A72" s="1408" t="s">
        <v>223</v>
      </c>
      <c r="B72" s="1522"/>
      <c r="C72" s="1401"/>
      <c r="D72" s="1401"/>
      <c r="E72" s="1519"/>
    </row>
    <row r="73" spans="1:5">
      <c r="A73" s="1402" t="s">
        <v>542</v>
      </c>
      <c r="B73" s="1522"/>
      <c r="C73" s="1401"/>
      <c r="D73" s="1401"/>
      <c r="E73" s="1519"/>
    </row>
    <row r="74" spans="1:5">
      <c r="A74" s="1401"/>
      <c r="B74" s="1522"/>
      <c r="C74" s="1401"/>
      <c r="D74" s="1401"/>
      <c r="E74" s="1519"/>
    </row>
    <row r="75" spans="1:5">
      <c r="A75" s="1401"/>
      <c r="B75" s="1522"/>
      <c r="C75" s="1401"/>
      <c r="D75" s="1401"/>
      <c r="E75" s="1519"/>
    </row>
    <row r="76" spans="1:5">
      <c r="A76" s="1401"/>
      <c r="B76" s="1522"/>
      <c r="C76" s="1401"/>
      <c r="D76" s="1401"/>
      <c r="E76" s="1519"/>
    </row>
    <row r="77" spans="1:5">
      <c r="A77" s="1401"/>
      <c r="B77" s="1522"/>
      <c r="C77" s="1401"/>
      <c r="D77" s="1401"/>
      <c r="E77" s="1519"/>
    </row>
    <row r="78" spans="1:5">
      <c r="A78" s="1401"/>
      <c r="B78" s="1522"/>
      <c r="C78" s="1401"/>
      <c r="D78" s="1401"/>
      <c r="E78" s="1519"/>
    </row>
    <row r="79" spans="1:5">
      <c r="A79" s="1401"/>
      <c r="B79" s="1522"/>
      <c r="C79" s="1401"/>
      <c r="D79" s="1401"/>
      <c r="E79" s="1519"/>
    </row>
  </sheetData>
  <printOptions horizontalCentered="1"/>
  <pageMargins left="0.51181102362204722" right="0.51181102362204722" top="0.70866141732283472" bottom="0.19685039370078741" header="0.51181102362204722" footer="0.27559055118110237"/>
  <pageSetup paperSize="9" scale="91" orientation="portrait" r:id="rId1"/>
  <headerFooter alignWithMargins="0"/>
  <rowBreaks count="1" manualBreakCount="1">
    <brk id="29" max="3" man="1"/>
  </rowBreaks>
  <tableParts count="1">
    <tablePart r:id="rId2"/>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tint="-0.499984740745262"/>
  </sheetPr>
  <dimension ref="A1:AU77"/>
  <sheetViews>
    <sheetView zoomScaleNormal="100" zoomScaleSheetLayoutView="100" workbookViewId="0">
      <selection activeCell="F67" sqref="E67:F67"/>
    </sheetView>
  </sheetViews>
  <sheetFormatPr baseColWidth="10" defaultColWidth="11.42578125" defaultRowHeight="12"/>
  <cols>
    <col min="1" max="1" width="6.5703125" style="151" customWidth="1"/>
    <col min="2" max="2" width="1.85546875" style="151" customWidth="1"/>
    <col min="3" max="3" width="28.5703125" style="151" customWidth="1"/>
    <col min="4" max="4" width="15.5703125" style="152" customWidth="1"/>
    <col min="5" max="6" width="15.5703125" style="151" customWidth="1"/>
    <col min="7" max="7" width="5.42578125" style="151" customWidth="1"/>
    <col min="8" max="9" width="12.140625" style="161" customWidth="1"/>
    <col min="10" max="11" width="6.42578125" style="151" customWidth="1"/>
    <col min="12" max="12" width="6.42578125" style="152" customWidth="1"/>
    <col min="13" max="14" width="6.42578125" style="151" customWidth="1"/>
    <col min="15" max="15" width="6.42578125" style="152" customWidth="1"/>
    <col min="16" max="17" width="6.42578125" style="151" customWidth="1"/>
    <col min="18" max="18" width="6.42578125" style="152" customWidth="1"/>
    <col min="19" max="19" width="10.42578125" style="161" customWidth="1"/>
    <col min="20" max="21" width="6.42578125" style="151" customWidth="1"/>
    <col min="22" max="22" width="6.42578125" style="152" customWidth="1"/>
    <col min="23" max="23" width="10.42578125" style="161" customWidth="1"/>
    <col min="24" max="16384" width="11.42578125" style="151"/>
  </cols>
  <sheetData>
    <row r="1" spans="1:47" ht="13.35" customHeight="1">
      <c r="A1" s="218"/>
      <c r="B1" s="218"/>
    </row>
    <row r="2" spans="1:47" ht="13.35" customHeight="1">
      <c r="B2" s="728" t="s">
        <v>215</v>
      </c>
      <c r="D2" s="40"/>
      <c r="F2" s="534"/>
    </row>
    <row r="3" spans="1:47">
      <c r="C3" s="2137" t="s">
        <v>202</v>
      </c>
      <c r="D3" s="2137"/>
      <c r="E3" s="2137"/>
      <c r="F3" s="2137"/>
      <c r="R3" s="161"/>
      <c r="S3" s="151"/>
      <c r="U3" s="152"/>
      <c r="V3" s="161"/>
      <c r="W3" s="151"/>
    </row>
    <row r="4" spans="1:47" ht="11.1" customHeight="1"/>
    <row r="5" spans="1:47" ht="25.35" customHeight="1">
      <c r="A5" s="153"/>
      <c r="B5" s="153"/>
      <c r="C5" s="2144" t="s">
        <v>363</v>
      </c>
      <c r="D5" s="2144"/>
      <c r="E5" s="2144"/>
      <c r="F5" s="2144"/>
      <c r="G5" s="154"/>
      <c r="H5" s="155"/>
      <c r="I5" s="151"/>
      <c r="J5" s="156"/>
      <c r="K5" s="154"/>
      <c r="L5" s="157"/>
      <c r="M5" s="154"/>
      <c r="N5" s="154"/>
      <c r="O5" s="157"/>
      <c r="P5" s="154"/>
      <c r="Q5" s="154"/>
      <c r="R5" s="157"/>
      <c r="S5" s="155"/>
      <c r="T5" s="154"/>
      <c r="U5" s="154"/>
      <c r="V5" s="157"/>
      <c r="W5" s="155"/>
    </row>
    <row r="6" spans="1:47" ht="11.1" customHeight="1" thickBot="1">
      <c r="A6" s="158"/>
      <c r="B6" s="158"/>
      <c r="C6" s="159"/>
      <c r="D6" s="160"/>
      <c r="E6" s="160"/>
      <c r="F6" s="160"/>
      <c r="G6" s="154"/>
      <c r="H6" s="155"/>
      <c r="I6" s="155"/>
      <c r="J6" s="156"/>
      <c r="K6" s="154"/>
      <c r="L6" s="157"/>
      <c r="M6" s="154"/>
      <c r="N6" s="154"/>
      <c r="O6" s="157"/>
      <c r="P6" s="154"/>
      <c r="Q6" s="154"/>
      <c r="R6" s="157"/>
      <c r="S6" s="155"/>
      <c r="T6" s="154"/>
      <c r="U6" s="154"/>
      <c r="V6" s="157"/>
      <c r="W6" s="155"/>
    </row>
    <row r="7" spans="1:47" ht="13.35" customHeight="1">
      <c r="B7" s="2148" t="s">
        <v>132</v>
      </c>
      <c r="C7" s="2149"/>
      <c r="D7" s="2138" t="s">
        <v>362</v>
      </c>
      <c r="E7" s="2139"/>
      <c r="F7" s="2140"/>
      <c r="J7" s="162"/>
    </row>
    <row r="8" spans="1:47" ht="13.35" customHeight="1">
      <c r="A8" s="163"/>
      <c r="B8" s="2150"/>
      <c r="C8" s="2151"/>
      <c r="D8" s="2141"/>
      <c r="E8" s="2142"/>
      <c r="F8" s="2143"/>
      <c r="G8" s="158"/>
      <c r="H8" s="164"/>
      <c r="I8" s="164"/>
      <c r="J8" s="165"/>
      <c r="K8" s="158"/>
      <c r="L8" s="166"/>
      <c r="M8" s="158"/>
      <c r="N8" s="158"/>
      <c r="O8" s="166"/>
      <c r="P8" s="165"/>
      <c r="Q8" s="158"/>
      <c r="R8" s="166"/>
      <c r="S8" s="164"/>
      <c r="T8" s="158"/>
      <c r="U8" s="158"/>
      <c r="V8" s="166"/>
      <c r="W8" s="164"/>
    </row>
    <row r="9" spans="1:47" ht="13.35" customHeight="1" thickBot="1">
      <c r="B9" s="2152"/>
      <c r="C9" s="2153"/>
      <c r="D9" s="192" t="s">
        <v>133</v>
      </c>
      <c r="E9" s="193" t="s">
        <v>92</v>
      </c>
      <c r="F9" s="194" t="s">
        <v>93</v>
      </c>
      <c r="G9" s="158"/>
      <c r="H9" s="670"/>
      <c r="I9" s="164"/>
      <c r="J9" s="169"/>
      <c r="K9" s="158"/>
      <c r="L9" s="170"/>
      <c r="M9" s="158"/>
      <c r="N9" s="154"/>
      <c r="O9" s="157"/>
      <c r="P9" s="171"/>
      <c r="Q9" s="158"/>
      <c r="R9" s="166"/>
      <c r="S9" s="172"/>
      <c r="T9" s="158"/>
      <c r="U9" s="154"/>
      <c r="V9" s="157"/>
      <c r="W9" s="155"/>
      <c r="Y9" s="139"/>
      <c r="Z9" s="156"/>
      <c r="AA9" s="173"/>
      <c r="AB9" s="173"/>
      <c r="AC9" s="173"/>
      <c r="AD9" s="173"/>
      <c r="AE9" s="173"/>
      <c r="AF9" s="173"/>
      <c r="AG9" s="174"/>
      <c r="AH9" s="174"/>
      <c r="AI9" s="175"/>
      <c r="AJ9" s="173"/>
      <c r="AK9" s="173"/>
      <c r="AL9" s="173"/>
      <c r="AM9" s="173"/>
      <c r="AN9" s="173"/>
      <c r="AO9" s="173"/>
      <c r="AP9" s="173"/>
      <c r="AQ9" s="173"/>
      <c r="AR9" s="174"/>
      <c r="AS9" s="173"/>
      <c r="AT9" s="173"/>
      <c r="AU9" s="176"/>
    </row>
    <row r="10" spans="1:47" ht="14.1" customHeight="1">
      <c r="B10" s="2154" t="s">
        <v>213</v>
      </c>
      <c r="C10" s="2155"/>
      <c r="D10" s="191"/>
      <c r="E10" s="191"/>
      <c r="F10" s="705"/>
      <c r="G10" s="178"/>
      <c r="H10" s="164"/>
      <c r="I10" s="164"/>
      <c r="J10" s="170"/>
      <c r="K10" s="177"/>
      <c r="L10" s="158"/>
      <c r="M10" s="166"/>
      <c r="N10" s="158"/>
      <c r="O10" s="158"/>
      <c r="P10" s="166"/>
      <c r="Q10" s="158"/>
      <c r="R10" s="158"/>
      <c r="S10" s="172"/>
      <c r="T10" s="166"/>
      <c r="U10" s="158"/>
      <c r="V10" s="158"/>
      <c r="W10" s="164"/>
    </row>
    <row r="11" spans="1:47" ht="15" customHeight="1">
      <c r="B11" s="706"/>
      <c r="C11" s="1029" t="s">
        <v>134</v>
      </c>
      <c r="D11" s="1132">
        <v>0</v>
      </c>
      <c r="E11" s="1132">
        <v>0</v>
      </c>
      <c r="F11" s="1275">
        <v>0</v>
      </c>
      <c r="H11" s="155"/>
      <c r="I11" s="155"/>
      <c r="J11" s="167"/>
      <c r="K11" s="179"/>
      <c r="L11" s="154"/>
      <c r="M11" s="157"/>
      <c r="N11" s="154"/>
      <c r="O11" s="154"/>
      <c r="P11" s="157"/>
      <c r="Q11" s="154"/>
      <c r="R11" s="154"/>
      <c r="S11" s="168"/>
      <c r="T11" s="157"/>
      <c r="U11" s="154"/>
      <c r="V11" s="154"/>
      <c r="W11" s="164"/>
    </row>
    <row r="12" spans="1:47" ht="12" customHeight="1">
      <c r="B12" s="707"/>
      <c r="C12" s="1030" t="s">
        <v>270</v>
      </c>
      <c r="D12" s="1133">
        <v>0</v>
      </c>
      <c r="E12" s="1133">
        <v>0</v>
      </c>
      <c r="F12" s="1276">
        <v>0</v>
      </c>
      <c r="H12" s="155"/>
      <c r="I12" s="155"/>
      <c r="J12" s="167"/>
      <c r="K12" s="179"/>
      <c r="L12" s="154"/>
      <c r="M12" s="157"/>
      <c r="N12" s="154"/>
      <c r="O12" s="154"/>
      <c r="P12" s="157"/>
      <c r="Q12" s="154"/>
      <c r="R12" s="154"/>
      <c r="S12" s="168"/>
      <c r="T12" s="157"/>
      <c r="U12" s="154"/>
      <c r="V12" s="154"/>
      <c r="W12" s="164"/>
    </row>
    <row r="13" spans="1:47" ht="12" customHeight="1">
      <c r="B13" s="707"/>
      <c r="C13" s="1030" t="s">
        <v>271</v>
      </c>
      <c r="D13" s="1133">
        <v>0</v>
      </c>
      <c r="E13" s="1133">
        <v>0</v>
      </c>
      <c r="F13" s="1276">
        <v>0</v>
      </c>
      <c r="H13" s="155"/>
      <c r="I13" s="155"/>
      <c r="J13" s="167"/>
      <c r="K13" s="179"/>
      <c r="L13" s="154"/>
      <c r="M13" s="157"/>
      <c r="N13" s="154"/>
      <c r="O13" s="154"/>
      <c r="P13" s="157"/>
      <c r="Q13" s="154"/>
      <c r="R13" s="154"/>
      <c r="S13" s="168"/>
      <c r="T13" s="157"/>
      <c r="U13" s="154"/>
      <c r="V13" s="154"/>
      <c r="W13" s="164"/>
    </row>
    <row r="14" spans="1:47" ht="12" customHeight="1">
      <c r="B14" s="707"/>
      <c r="C14" s="1030" t="s">
        <v>272</v>
      </c>
      <c r="D14" s="1133">
        <v>0</v>
      </c>
      <c r="E14" s="1133">
        <v>0</v>
      </c>
      <c r="F14" s="1276">
        <v>0</v>
      </c>
      <c r="H14" s="155"/>
      <c r="I14" s="155"/>
      <c r="J14" s="167"/>
      <c r="K14" s="179"/>
      <c r="L14" s="154"/>
      <c r="M14" s="157"/>
      <c r="N14" s="154"/>
      <c r="O14" s="154"/>
      <c r="P14" s="157"/>
      <c r="Q14" s="154"/>
      <c r="R14" s="154"/>
      <c r="S14" s="168"/>
      <c r="T14" s="157"/>
      <c r="U14" s="154"/>
      <c r="V14" s="154"/>
      <c r="W14" s="164"/>
    </row>
    <row r="15" spans="1:47" ht="12" customHeight="1">
      <c r="B15" s="707"/>
      <c r="C15" s="1030" t="s">
        <v>273</v>
      </c>
      <c r="D15" s="1133">
        <v>3</v>
      </c>
      <c r="E15" s="1133">
        <v>0</v>
      </c>
      <c r="F15" s="1276">
        <v>3</v>
      </c>
      <c r="H15" s="155"/>
      <c r="I15" s="155"/>
      <c r="J15" s="167"/>
      <c r="K15" s="179"/>
      <c r="L15" s="154"/>
      <c r="M15" s="157"/>
      <c r="N15" s="154"/>
      <c r="O15" s="154"/>
      <c r="P15" s="157"/>
      <c r="Q15" s="154"/>
      <c r="R15" s="154"/>
      <c r="S15" s="168"/>
      <c r="T15" s="157"/>
      <c r="U15" s="154"/>
      <c r="V15" s="154"/>
      <c r="W15" s="164"/>
    </row>
    <row r="16" spans="1:47" ht="12" customHeight="1">
      <c r="A16" s="180"/>
      <c r="B16" s="708"/>
      <c r="C16" s="1030" t="s">
        <v>184</v>
      </c>
      <c r="D16" s="1133">
        <v>9</v>
      </c>
      <c r="E16" s="1133">
        <v>6</v>
      </c>
      <c r="F16" s="1276">
        <v>3</v>
      </c>
      <c r="G16" s="181"/>
      <c r="H16" s="181"/>
      <c r="I16" s="181"/>
      <c r="J16" s="181"/>
      <c r="K16" s="181"/>
      <c r="L16" s="181"/>
      <c r="M16" s="181"/>
      <c r="N16" s="181"/>
      <c r="O16" s="181"/>
      <c r="P16" s="181"/>
      <c r="Q16" s="181"/>
      <c r="R16" s="181"/>
      <c r="S16" s="181"/>
      <c r="T16" s="181"/>
      <c r="U16" s="181"/>
      <c r="V16" s="181"/>
      <c r="W16" s="181"/>
    </row>
    <row r="17" spans="1:23" ht="12" customHeight="1">
      <c r="A17" s="180"/>
      <c r="B17" s="708"/>
      <c r="C17" s="1030" t="s">
        <v>147</v>
      </c>
      <c r="D17" s="1133">
        <v>3</v>
      </c>
      <c r="E17" s="1133">
        <v>3</v>
      </c>
      <c r="F17" s="1276">
        <v>0</v>
      </c>
      <c r="G17" s="181"/>
      <c r="H17" s="181"/>
      <c r="I17" s="181"/>
      <c r="J17" s="181"/>
      <c r="K17" s="181"/>
      <c r="L17" s="181"/>
      <c r="M17" s="181"/>
      <c r="N17" s="181"/>
      <c r="O17" s="181"/>
      <c r="P17" s="181"/>
      <c r="Q17" s="181"/>
      <c r="R17" s="181"/>
      <c r="S17" s="181"/>
      <c r="T17" s="181"/>
      <c r="U17" s="181"/>
      <c r="V17" s="181"/>
      <c r="W17" s="181"/>
    </row>
    <row r="18" spans="1:23" ht="12" customHeight="1">
      <c r="A18" s="180"/>
      <c r="B18" s="708"/>
      <c r="C18" s="1030" t="s">
        <v>274</v>
      </c>
      <c r="D18" s="1133">
        <v>0</v>
      </c>
      <c r="E18" s="1133">
        <v>0</v>
      </c>
      <c r="F18" s="1276">
        <v>0</v>
      </c>
      <c r="G18" s="181"/>
      <c r="H18" s="181"/>
      <c r="I18" s="181"/>
      <c r="J18" s="181"/>
      <c r="K18" s="181"/>
      <c r="L18" s="181"/>
      <c r="M18" s="181"/>
      <c r="N18" s="181"/>
      <c r="O18" s="181"/>
      <c r="P18" s="181"/>
      <c r="Q18" s="181"/>
      <c r="R18" s="181"/>
      <c r="S18" s="181"/>
      <c r="T18" s="181"/>
      <c r="U18" s="181"/>
      <c r="V18" s="181"/>
      <c r="W18" s="181"/>
    </row>
    <row r="19" spans="1:23" ht="12" customHeight="1">
      <c r="A19" s="180"/>
      <c r="B19" s="708"/>
      <c r="C19" s="1030" t="s">
        <v>135</v>
      </c>
      <c r="D19" s="1133">
        <v>3</v>
      </c>
      <c r="E19" s="1133">
        <v>3</v>
      </c>
      <c r="F19" s="1276">
        <v>0</v>
      </c>
      <c r="G19" s="181"/>
      <c r="H19" s="181"/>
      <c r="I19" s="181"/>
      <c r="J19" s="181"/>
      <c r="K19" s="181"/>
      <c r="L19" s="181"/>
      <c r="M19" s="181"/>
      <c r="N19" s="181"/>
      <c r="O19" s="181"/>
      <c r="P19" s="181"/>
      <c r="Q19" s="181"/>
      <c r="R19" s="181"/>
      <c r="S19" s="181"/>
      <c r="T19" s="181"/>
      <c r="U19" s="181"/>
      <c r="V19" s="181"/>
      <c r="W19" s="181"/>
    </row>
    <row r="20" spans="1:23" ht="12" customHeight="1">
      <c r="A20" s="180"/>
      <c r="B20" s="708"/>
      <c r="C20" s="1030" t="s">
        <v>275</v>
      </c>
      <c r="D20" s="1133">
        <v>0</v>
      </c>
      <c r="E20" s="1133">
        <v>0</v>
      </c>
      <c r="F20" s="1276">
        <v>0</v>
      </c>
      <c r="G20" s="181"/>
      <c r="H20" s="181"/>
      <c r="I20" s="181"/>
      <c r="J20" s="181"/>
      <c r="K20" s="181"/>
      <c r="L20" s="181"/>
      <c r="M20" s="181"/>
      <c r="N20" s="181"/>
      <c r="O20" s="181"/>
      <c r="P20" s="181"/>
      <c r="Q20" s="181"/>
      <c r="R20" s="181"/>
      <c r="S20" s="181"/>
      <c r="T20" s="181"/>
      <c r="U20" s="181"/>
      <c r="V20" s="181"/>
      <c r="W20" s="181"/>
    </row>
    <row r="21" spans="1:23" ht="12" customHeight="1">
      <c r="A21" s="180"/>
      <c r="B21" s="708"/>
      <c r="C21" s="1030" t="s">
        <v>136</v>
      </c>
      <c r="D21" s="1133">
        <v>24</v>
      </c>
      <c r="E21" s="1133">
        <v>21</v>
      </c>
      <c r="F21" s="1276">
        <v>3</v>
      </c>
      <c r="G21" s="181"/>
      <c r="H21" s="181"/>
      <c r="I21" s="181"/>
      <c r="J21" s="181"/>
      <c r="K21" s="181"/>
      <c r="L21" s="181"/>
      <c r="M21" s="181"/>
      <c r="N21" s="181"/>
      <c r="O21" s="181"/>
      <c r="P21" s="181"/>
      <c r="Q21" s="181"/>
      <c r="R21" s="181"/>
      <c r="S21" s="181"/>
      <c r="T21" s="181"/>
      <c r="U21" s="181"/>
      <c r="V21" s="181"/>
      <c r="W21" s="181"/>
    </row>
    <row r="22" spans="1:23" ht="12" customHeight="1">
      <c r="A22" s="180"/>
      <c r="B22" s="708"/>
      <c r="C22" s="1030" t="s">
        <v>276</v>
      </c>
      <c r="D22" s="1133">
        <v>0</v>
      </c>
      <c r="E22" s="1133">
        <v>0</v>
      </c>
      <c r="F22" s="1276">
        <v>0</v>
      </c>
      <c r="G22" s="181"/>
      <c r="H22" s="181"/>
      <c r="I22" s="181"/>
      <c r="J22" s="181"/>
      <c r="K22" s="181"/>
      <c r="L22" s="181"/>
      <c r="M22" s="181"/>
      <c r="N22" s="181"/>
      <c r="O22" s="181"/>
      <c r="P22" s="181"/>
      <c r="Q22" s="181"/>
      <c r="R22" s="181"/>
      <c r="S22" s="181"/>
      <c r="T22" s="181"/>
      <c r="U22" s="181"/>
      <c r="V22" s="181"/>
      <c r="W22" s="181"/>
    </row>
    <row r="23" spans="1:23" ht="12" customHeight="1">
      <c r="A23" s="180"/>
      <c r="B23" s="708"/>
      <c r="C23" s="1030" t="s">
        <v>277</v>
      </c>
      <c r="D23" s="1133">
        <v>3</v>
      </c>
      <c r="E23" s="1133">
        <v>3</v>
      </c>
      <c r="F23" s="1276">
        <v>0</v>
      </c>
      <c r="G23" s="181"/>
      <c r="H23" s="181"/>
      <c r="I23" s="181"/>
      <c r="J23" s="181"/>
      <c r="K23" s="181"/>
      <c r="L23" s="181"/>
      <c r="M23" s="181"/>
      <c r="N23" s="181"/>
      <c r="O23" s="181"/>
      <c r="P23" s="181"/>
      <c r="Q23" s="181"/>
      <c r="R23" s="181"/>
      <c r="S23" s="181"/>
      <c r="T23" s="181"/>
      <c r="U23" s="181"/>
      <c r="V23" s="181"/>
      <c r="W23" s="181"/>
    </row>
    <row r="24" spans="1:23" ht="12" customHeight="1">
      <c r="A24" s="180"/>
      <c r="B24" s="708"/>
      <c r="C24" s="1030" t="s">
        <v>137</v>
      </c>
      <c r="D24" s="1133">
        <v>6</v>
      </c>
      <c r="E24" s="1133">
        <v>3</v>
      </c>
      <c r="F24" s="1276">
        <v>0</v>
      </c>
      <c r="G24" s="181"/>
      <c r="H24" s="181"/>
      <c r="I24" s="181"/>
      <c r="J24" s="181"/>
      <c r="K24" s="181"/>
      <c r="L24" s="181"/>
      <c r="M24" s="181"/>
      <c r="N24" s="181"/>
      <c r="O24" s="181"/>
      <c r="P24" s="181"/>
      <c r="Q24" s="181"/>
      <c r="R24" s="181"/>
      <c r="S24" s="181"/>
      <c r="T24" s="181"/>
      <c r="U24" s="181"/>
      <c r="V24" s="181"/>
      <c r="W24" s="181"/>
    </row>
    <row r="25" spans="1:23" ht="12" customHeight="1">
      <c r="A25" s="180"/>
      <c r="B25" s="708"/>
      <c r="C25" s="1030" t="s">
        <v>278</v>
      </c>
      <c r="D25" s="1133">
        <v>0</v>
      </c>
      <c r="E25" s="1133">
        <v>0</v>
      </c>
      <c r="F25" s="1276">
        <v>0</v>
      </c>
      <c r="G25" s="181"/>
      <c r="H25" s="181"/>
      <c r="I25" s="181"/>
      <c r="J25" s="181"/>
      <c r="K25" s="181"/>
      <c r="L25" s="181"/>
      <c r="M25" s="181"/>
      <c r="N25" s="181"/>
      <c r="O25" s="181"/>
      <c r="P25" s="181"/>
      <c r="Q25" s="181"/>
      <c r="R25" s="181"/>
      <c r="S25" s="181"/>
      <c r="T25" s="181"/>
      <c r="U25" s="181"/>
      <c r="V25" s="181"/>
      <c r="W25" s="181"/>
    </row>
    <row r="26" spans="1:23" ht="12" customHeight="1">
      <c r="A26" s="180"/>
      <c r="B26" s="708"/>
      <c r="C26" s="1030" t="s">
        <v>138</v>
      </c>
      <c r="D26" s="1133">
        <v>21</v>
      </c>
      <c r="E26" s="1133">
        <v>18</v>
      </c>
      <c r="F26" s="1276">
        <v>6</v>
      </c>
      <c r="G26" s="181"/>
      <c r="H26" s="181"/>
      <c r="I26" s="181"/>
      <c r="J26" s="181"/>
      <c r="K26" s="181"/>
      <c r="L26" s="181"/>
      <c r="M26" s="181"/>
      <c r="N26" s="181"/>
      <c r="O26" s="181"/>
      <c r="P26" s="181"/>
      <c r="Q26" s="181"/>
      <c r="R26" s="181"/>
      <c r="S26" s="181"/>
      <c r="T26" s="181"/>
      <c r="U26" s="181"/>
      <c r="V26" s="181"/>
      <c r="W26" s="181"/>
    </row>
    <row r="27" spans="1:23" ht="12" customHeight="1">
      <c r="A27" s="180"/>
      <c r="B27" s="708"/>
      <c r="C27" s="1030" t="s">
        <v>139</v>
      </c>
      <c r="D27" s="1133">
        <v>15</v>
      </c>
      <c r="E27" s="1133">
        <v>6</v>
      </c>
      <c r="F27" s="1276">
        <v>9</v>
      </c>
      <c r="G27" s="181"/>
      <c r="H27" s="181"/>
      <c r="I27" s="181"/>
      <c r="J27" s="181"/>
      <c r="K27" s="181"/>
      <c r="L27" s="181"/>
      <c r="M27" s="181"/>
      <c r="N27" s="181"/>
      <c r="O27" s="181"/>
      <c r="P27" s="181"/>
      <c r="Q27" s="181"/>
      <c r="R27" s="181"/>
      <c r="S27" s="181"/>
      <c r="T27" s="181"/>
      <c r="U27" s="181"/>
      <c r="V27" s="181"/>
      <c r="W27" s="181"/>
    </row>
    <row r="28" spans="1:23" ht="12" customHeight="1">
      <c r="A28" s="180"/>
      <c r="B28" s="708"/>
      <c r="C28" s="1030" t="s">
        <v>140</v>
      </c>
      <c r="D28" s="1133">
        <v>24</v>
      </c>
      <c r="E28" s="1133">
        <v>15</v>
      </c>
      <c r="F28" s="1276">
        <v>9</v>
      </c>
      <c r="G28" s="181"/>
      <c r="H28" s="181"/>
      <c r="I28" s="181"/>
      <c r="J28" s="181"/>
      <c r="K28" s="181"/>
      <c r="L28" s="181"/>
      <c r="M28" s="181"/>
      <c r="N28" s="181"/>
      <c r="O28" s="181"/>
      <c r="P28" s="181"/>
      <c r="Q28" s="181"/>
      <c r="R28" s="181"/>
      <c r="S28" s="181"/>
      <c r="T28" s="181"/>
      <c r="U28" s="181"/>
      <c r="V28" s="181"/>
      <c r="W28" s="181"/>
    </row>
    <row r="29" spans="1:23" ht="12" customHeight="1">
      <c r="A29" s="180"/>
      <c r="B29" s="708"/>
      <c r="C29" s="1030" t="s">
        <v>141</v>
      </c>
      <c r="D29" s="1133">
        <v>9</v>
      </c>
      <c r="E29" s="1133">
        <v>9</v>
      </c>
      <c r="F29" s="1276">
        <v>0</v>
      </c>
      <c r="G29" s="181"/>
      <c r="H29" s="181"/>
      <c r="I29" s="181"/>
      <c r="J29" s="181"/>
      <c r="K29" s="181"/>
      <c r="L29" s="181"/>
      <c r="M29" s="181"/>
      <c r="N29" s="181"/>
      <c r="O29" s="181"/>
      <c r="P29" s="181"/>
      <c r="Q29" s="181"/>
      <c r="R29" s="181"/>
      <c r="S29" s="181"/>
      <c r="T29" s="181"/>
      <c r="U29" s="181"/>
      <c r="V29" s="181"/>
      <c r="W29" s="181"/>
    </row>
    <row r="30" spans="1:23" ht="12" customHeight="1">
      <c r="A30" s="180"/>
      <c r="B30" s="708"/>
      <c r="C30" s="1030" t="s">
        <v>148</v>
      </c>
      <c r="D30" s="1133">
        <v>6</v>
      </c>
      <c r="E30" s="1133">
        <v>6</v>
      </c>
      <c r="F30" s="1276">
        <v>0</v>
      </c>
      <c r="G30" s="181"/>
      <c r="H30" s="181"/>
      <c r="I30" s="181"/>
      <c r="J30" s="181"/>
      <c r="K30" s="181"/>
      <c r="L30" s="181"/>
      <c r="M30" s="181"/>
      <c r="N30" s="181"/>
      <c r="O30" s="181"/>
      <c r="P30" s="181"/>
      <c r="Q30" s="181"/>
      <c r="R30" s="181"/>
      <c r="S30" s="181"/>
      <c r="T30" s="181"/>
      <c r="U30" s="181"/>
      <c r="V30" s="181"/>
      <c r="W30" s="181"/>
    </row>
    <row r="31" spans="1:23" ht="12" customHeight="1">
      <c r="A31" s="180"/>
      <c r="B31" s="708"/>
      <c r="C31" s="1030" t="s">
        <v>279</v>
      </c>
      <c r="D31" s="1133">
        <v>0</v>
      </c>
      <c r="E31" s="1133">
        <v>0</v>
      </c>
      <c r="F31" s="1276">
        <v>0</v>
      </c>
      <c r="G31" s="181"/>
      <c r="H31" s="181"/>
      <c r="I31" s="181"/>
      <c r="J31" s="181"/>
      <c r="K31" s="181"/>
      <c r="L31" s="181"/>
      <c r="M31" s="181"/>
      <c r="N31" s="181"/>
      <c r="O31" s="181"/>
      <c r="P31" s="181"/>
      <c r="Q31" s="181"/>
      <c r="R31" s="181"/>
      <c r="S31" s="181"/>
      <c r="T31" s="181"/>
      <c r="U31" s="181"/>
      <c r="V31" s="181"/>
      <c r="W31" s="181"/>
    </row>
    <row r="32" spans="1:23" s="184" customFormat="1" ht="12" customHeight="1">
      <c r="A32" s="182"/>
      <c r="B32" s="709"/>
      <c r="C32" s="1030" t="s">
        <v>142</v>
      </c>
      <c r="D32" s="1133">
        <v>9</v>
      </c>
      <c r="E32" s="1133">
        <v>0</v>
      </c>
      <c r="F32" s="1276">
        <v>9</v>
      </c>
      <c r="G32" s="183"/>
      <c r="H32" s="183"/>
      <c r="I32" s="183"/>
      <c r="J32" s="183"/>
      <c r="K32" s="183"/>
      <c r="L32" s="183"/>
      <c r="M32" s="183"/>
      <c r="N32" s="183"/>
      <c r="O32" s="183"/>
      <c r="P32" s="183"/>
      <c r="Q32" s="183"/>
      <c r="R32" s="183"/>
      <c r="S32" s="183"/>
      <c r="T32" s="183"/>
      <c r="U32" s="183"/>
      <c r="V32" s="183"/>
      <c r="W32" s="183"/>
    </row>
    <row r="33" spans="1:23" s="162" customFormat="1" ht="12" customHeight="1">
      <c r="A33" s="185"/>
      <c r="B33" s="710"/>
      <c r="C33" s="1030" t="s">
        <v>143</v>
      </c>
      <c r="D33" s="1133">
        <v>18</v>
      </c>
      <c r="E33" s="1133">
        <v>12</v>
      </c>
      <c r="F33" s="1276">
        <v>3</v>
      </c>
      <c r="G33" s="187"/>
      <c r="H33" s="187"/>
      <c r="I33" s="187"/>
      <c r="J33" s="186"/>
      <c r="K33" s="187"/>
      <c r="L33" s="187"/>
      <c r="M33" s="186"/>
      <c r="N33" s="187"/>
      <c r="O33" s="187"/>
      <c r="P33" s="186"/>
      <c r="Q33" s="187"/>
      <c r="R33" s="187"/>
      <c r="S33" s="187"/>
      <c r="T33" s="187"/>
      <c r="U33" s="187"/>
      <c r="V33" s="186"/>
      <c r="W33" s="187"/>
    </row>
    <row r="34" spans="1:23" s="162" customFormat="1" ht="12" customHeight="1">
      <c r="A34" s="185"/>
      <c r="B34" s="710"/>
      <c r="C34" s="1030" t="s">
        <v>144</v>
      </c>
      <c r="D34" s="1133">
        <v>0</v>
      </c>
      <c r="E34" s="1133">
        <v>0</v>
      </c>
      <c r="F34" s="1276">
        <v>0</v>
      </c>
      <c r="G34" s="187"/>
      <c r="H34" s="187"/>
      <c r="I34" s="187"/>
      <c r="J34" s="186"/>
      <c r="K34" s="187"/>
      <c r="L34" s="187"/>
      <c r="M34" s="186"/>
      <c r="N34" s="187"/>
      <c r="O34" s="187"/>
      <c r="P34" s="186"/>
      <c r="Q34" s="187"/>
      <c r="R34" s="187"/>
      <c r="S34" s="187"/>
      <c r="T34" s="187"/>
      <c r="U34" s="187"/>
      <c r="V34" s="186"/>
      <c r="W34" s="187"/>
    </row>
    <row r="35" spans="1:23" s="162" customFormat="1" ht="12" customHeight="1">
      <c r="A35" s="185"/>
      <c r="B35" s="710"/>
      <c r="C35" s="1030" t="s">
        <v>280</v>
      </c>
      <c r="D35" s="1133">
        <v>12</v>
      </c>
      <c r="E35" s="1133">
        <v>12</v>
      </c>
      <c r="F35" s="1276">
        <v>0</v>
      </c>
      <c r="G35" s="187"/>
      <c r="H35" s="187"/>
      <c r="I35" s="187"/>
      <c r="J35" s="186"/>
      <c r="K35" s="187"/>
      <c r="L35" s="187"/>
      <c r="M35" s="186"/>
      <c r="N35" s="187"/>
      <c r="O35" s="187"/>
      <c r="P35" s="186"/>
      <c r="Q35" s="187"/>
      <c r="R35" s="187"/>
      <c r="S35" s="187"/>
      <c r="T35" s="187"/>
      <c r="U35" s="187"/>
      <c r="V35" s="186"/>
      <c r="W35" s="187"/>
    </row>
    <row r="36" spans="1:23" s="162" customFormat="1" ht="12" customHeight="1">
      <c r="A36" s="185"/>
      <c r="B36" s="710"/>
      <c r="C36" s="1030" t="s">
        <v>281</v>
      </c>
      <c r="D36" s="1133">
        <v>6</v>
      </c>
      <c r="E36" s="1133">
        <v>3</v>
      </c>
      <c r="F36" s="1276">
        <v>0</v>
      </c>
      <c r="G36" s="187"/>
      <c r="H36" s="187"/>
      <c r="I36" s="187"/>
      <c r="J36" s="186"/>
      <c r="K36" s="187"/>
      <c r="L36" s="187"/>
      <c r="M36" s="186"/>
      <c r="N36" s="187"/>
      <c r="O36" s="187"/>
      <c r="P36" s="186"/>
      <c r="Q36" s="187"/>
      <c r="R36" s="187"/>
      <c r="S36" s="187"/>
      <c r="T36" s="187"/>
      <c r="U36" s="187"/>
      <c r="V36" s="186"/>
      <c r="W36" s="187"/>
    </row>
    <row r="37" spans="1:23" ht="12" customHeight="1">
      <c r="A37" s="150"/>
      <c r="B37" s="711"/>
      <c r="C37" s="1030" t="s">
        <v>282</v>
      </c>
      <c r="D37" s="1133">
        <v>0</v>
      </c>
      <c r="E37" s="1133">
        <v>0</v>
      </c>
      <c r="F37" s="1276">
        <v>0</v>
      </c>
      <c r="G37" s="188"/>
      <c r="H37" s="168"/>
      <c r="I37" s="168"/>
      <c r="J37" s="179"/>
      <c r="K37" s="188"/>
      <c r="L37" s="167"/>
      <c r="M37" s="188"/>
      <c r="N37" s="188"/>
      <c r="P37" s="188"/>
      <c r="Q37" s="188"/>
      <c r="R37" s="167"/>
      <c r="S37" s="168"/>
      <c r="T37" s="188"/>
      <c r="U37" s="188"/>
      <c r="V37" s="167"/>
      <c r="W37" s="189"/>
    </row>
    <row r="38" spans="1:23" ht="13.35" customHeight="1" thickBot="1">
      <c r="B38" s="712"/>
      <c r="C38" s="1145" t="s">
        <v>145</v>
      </c>
      <c r="D38" s="1134">
        <f>SUM(D11:D37)</f>
        <v>171</v>
      </c>
      <c r="E38" s="1134">
        <f>SUM(E11:E37)</f>
        <v>120</v>
      </c>
      <c r="F38" s="1135">
        <f>SUM(F11:F37)</f>
        <v>45</v>
      </c>
    </row>
    <row r="39" spans="1:23" ht="11.45" customHeight="1" thickBot="1">
      <c r="B39" s="1139"/>
      <c r="C39" s="1140"/>
      <c r="D39" s="1138"/>
      <c r="E39" s="1138"/>
      <c r="F39" s="1142"/>
    </row>
    <row r="40" spans="1:23" ht="15">
      <c r="B40" s="2133" t="s">
        <v>323</v>
      </c>
      <c r="C40" s="2134"/>
      <c r="D40" s="1141"/>
      <c r="E40" s="1141"/>
      <c r="F40" s="1016"/>
    </row>
    <row r="41" spans="1:23" ht="15" customHeight="1">
      <c r="B41" s="1232"/>
      <c r="C41" s="1030" t="s">
        <v>364</v>
      </c>
      <c r="D41" s="1137">
        <v>3</v>
      </c>
      <c r="E41" s="1137">
        <v>3</v>
      </c>
      <c r="F41" s="1136">
        <v>0</v>
      </c>
    </row>
    <row r="42" spans="1:23" ht="12" customHeight="1">
      <c r="B42" s="707"/>
      <c r="C42" s="1030" t="s">
        <v>146</v>
      </c>
      <c r="D42" s="1137">
        <v>9</v>
      </c>
      <c r="E42" s="1137">
        <v>9</v>
      </c>
      <c r="F42" s="1136">
        <v>0</v>
      </c>
    </row>
    <row r="43" spans="1:23" ht="12" customHeight="1">
      <c r="B43" s="707"/>
      <c r="C43" s="1030" t="s">
        <v>256</v>
      </c>
      <c r="D43" s="1133">
        <v>6</v>
      </c>
      <c r="E43" s="1133">
        <v>6</v>
      </c>
      <c r="F43" s="1136">
        <v>0</v>
      </c>
    </row>
    <row r="44" spans="1:23" ht="12" customHeight="1">
      <c r="B44" s="707"/>
      <c r="C44" s="1030" t="s">
        <v>365</v>
      </c>
      <c r="D44" s="1133">
        <v>12</v>
      </c>
      <c r="E44" s="1133">
        <v>6</v>
      </c>
      <c r="F44" s="1136">
        <v>6</v>
      </c>
    </row>
    <row r="45" spans="1:23" ht="12" customHeight="1">
      <c r="B45" s="707"/>
      <c r="C45" s="1030" t="s">
        <v>107</v>
      </c>
      <c r="D45" s="1133">
        <v>3</v>
      </c>
      <c r="E45" s="1133">
        <v>3</v>
      </c>
      <c r="F45" s="1136">
        <v>0</v>
      </c>
    </row>
    <row r="46" spans="1:23" ht="12" customHeight="1">
      <c r="B46" s="707"/>
      <c r="C46" s="1030" t="s">
        <v>283</v>
      </c>
      <c r="D46" s="1133">
        <v>9</v>
      </c>
      <c r="E46" s="1133">
        <v>6</v>
      </c>
      <c r="F46" s="1136">
        <v>3</v>
      </c>
    </row>
    <row r="47" spans="1:23" ht="12" customHeight="1">
      <c r="B47" s="707"/>
      <c r="C47" s="1030" t="s">
        <v>15</v>
      </c>
      <c r="D47" s="1133">
        <v>63</v>
      </c>
      <c r="E47" s="1133">
        <v>60</v>
      </c>
      <c r="F47" s="1136">
        <v>3</v>
      </c>
    </row>
    <row r="48" spans="1:23" ht="12" hidden="1" customHeight="1">
      <c r="C48" s="1031"/>
      <c r="D48" s="524"/>
      <c r="E48" s="524"/>
      <c r="F48" s="1014"/>
    </row>
    <row r="49" spans="2:6" ht="12" hidden="1" customHeight="1">
      <c r="C49" s="2137" t="s">
        <v>210</v>
      </c>
      <c r="D49" s="2137"/>
      <c r="E49" s="2137"/>
      <c r="F49" s="2147"/>
    </row>
    <row r="50" spans="2:6" ht="12" hidden="1" customHeight="1">
      <c r="C50" s="2145" t="s">
        <v>255</v>
      </c>
      <c r="D50" s="2145"/>
      <c r="E50" s="2145"/>
      <c r="F50" s="2146"/>
    </row>
    <row r="51" spans="2:6" ht="13.5" hidden="1" customHeight="1" thickBot="1">
      <c r="C51" s="1032"/>
      <c r="D51" s="525"/>
      <c r="E51" s="525"/>
      <c r="F51" s="1015"/>
    </row>
    <row r="52" spans="2:6" ht="12" hidden="1" customHeight="1">
      <c r="B52" s="2148" t="s">
        <v>132</v>
      </c>
      <c r="C52" s="2156"/>
      <c r="D52" s="2138" t="s">
        <v>229</v>
      </c>
      <c r="E52" s="2139"/>
      <c r="F52" s="2140"/>
    </row>
    <row r="53" spans="2:6" ht="12" hidden="1" customHeight="1">
      <c r="B53" s="2157"/>
      <c r="C53" s="2158"/>
      <c r="D53" s="2141"/>
      <c r="E53" s="2142"/>
      <c r="F53" s="2143"/>
    </row>
    <row r="54" spans="2:6" ht="12.75" hidden="1" customHeight="1" thickBot="1">
      <c r="B54" s="2157"/>
      <c r="C54" s="2159"/>
      <c r="D54" s="192" t="s">
        <v>133</v>
      </c>
      <c r="E54" s="193" t="s">
        <v>92</v>
      </c>
      <c r="F54" s="194" t="s">
        <v>93</v>
      </c>
    </row>
    <row r="55" spans="2:6" ht="12" customHeight="1">
      <c r="B55" s="707"/>
      <c r="C55" s="1030" t="s">
        <v>149</v>
      </c>
      <c r="D55" s="1133">
        <v>18</v>
      </c>
      <c r="E55" s="1133">
        <v>15</v>
      </c>
      <c r="F55" s="1136">
        <v>3</v>
      </c>
    </row>
    <row r="56" spans="2:6" ht="12" customHeight="1">
      <c r="B56" s="713"/>
      <c r="C56" s="1233" t="s">
        <v>367</v>
      </c>
      <c r="D56" s="1133">
        <v>3</v>
      </c>
      <c r="E56" s="1133">
        <v>0</v>
      </c>
      <c r="F56" s="1136">
        <v>0</v>
      </c>
    </row>
    <row r="57" spans="2:6" ht="13.35" customHeight="1" thickBot="1">
      <c r="B57" s="712"/>
      <c r="C57" s="1145" t="s">
        <v>163</v>
      </c>
      <c r="D57" s="1134">
        <f>D55+D47+D46+D45+D43+D42+D41+D44+D56</f>
        <v>126</v>
      </c>
      <c r="E57" s="1134">
        <f>E55+E47+E46+E45+E43+E42+E41+E44+E56</f>
        <v>108</v>
      </c>
      <c r="F57" s="1135">
        <f>F55+F47+F46+F45+F43+F42+F41+F44+F56</f>
        <v>15</v>
      </c>
    </row>
    <row r="58" spans="2:6" ht="12" customHeight="1" thickBot="1">
      <c r="B58" s="1143"/>
      <c r="C58" s="1144"/>
      <c r="D58" s="1142"/>
      <c r="E58" s="1142"/>
      <c r="F58" s="1142"/>
    </row>
    <row r="59" spans="2:6" ht="14.1" customHeight="1">
      <c r="B59" s="2133" t="s">
        <v>324</v>
      </c>
      <c r="C59" s="2134"/>
      <c r="D59" s="1141"/>
      <c r="E59" s="1141"/>
      <c r="F59" s="1016"/>
    </row>
    <row r="60" spans="2:6" ht="15" customHeight="1">
      <c r="B60" s="1232"/>
      <c r="C60" s="1030" t="s">
        <v>286</v>
      </c>
      <c r="D60" s="1137">
        <v>9</v>
      </c>
      <c r="E60" s="1137">
        <v>9</v>
      </c>
      <c r="F60" s="1136">
        <v>0</v>
      </c>
    </row>
    <row r="61" spans="2:6" ht="12" customHeight="1">
      <c r="B61" s="707"/>
      <c r="C61" s="1030" t="s">
        <v>150</v>
      </c>
      <c r="D61" s="1137">
        <v>6</v>
      </c>
      <c r="E61" s="1137">
        <v>3</v>
      </c>
      <c r="F61" s="1136">
        <v>3</v>
      </c>
    </row>
    <row r="62" spans="2:6" ht="12" customHeight="1">
      <c r="B62" s="707"/>
      <c r="C62" s="1030" t="s">
        <v>287</v>
      </c>
      <c r="D62" s="1137">
        <v>0</v>
      </c>
      <c r="E62" s="1137">
        <v>0</v>
      </c>
      <c r="F62" s="1136">
        <v>0</v>
      </c>
    </row>
    <row r="63" spans="2:6" ht="12" customHeight="1">
      <c r="B63" s="707"/>
      <c r="C63" s="1030" t="s">
        <v>366</v>
      </c>
      <c r="D63" s="1137">
        <v>3</v>
      </c>
      <c r="E63" s="1137">
        <v>0</v>
      </c>
      <c r="F63" s="1136">
        <v>0</v>
      </c>
    </row>
    <row r="64" spans="2:6" ht="12" customHeight="1">
      <c r="B64" s="707"/>
      <c r="C64" s="1030" t="s">
        <v>288</v>
      </c>
      <c r="D64" s="1137">
        <v>3</v>
      </c>
      <c r="E64" s="1137">
        <v>0</v>
      </c>
      <c r="F64" s="1136">
        <v>0</v>
      </c>
    </row>
    <row r="65" spans="2:6" ht="12" customHeight="1">
      <c r="B65" s="707"/>
      <c r="C65" s="1030" t="s">
        <v>284</v>
      </c>
      <c r="D65" s="1137">
        <v>84</v>
      </c>
      <c r="E65" s="1137">
        <v>72</v>
      </c>
      <c r="F65" s="1136">
        <v>12</v>
      </c>
    </row>
    <row r="66" spans="2:6" ht="13.35" customHeight="1" thickBot="1">
      <c r="B66" s="1146"/>
      <c r="C66" s="1147" t="s">
        <v>285</v>
      </c>
      <c r="D66" s="1134">
        <f>SUM(D60:D65)</f>
        <v>105</v>
      </c>
      <c r="E66" s="1134">
        <f>SUM(E60:E65)</f>
        <v>84</v>
      </c>
      <c r="F66" s="1135">
        <f>SUM(F60:F65)</f>
        <v>15</v>
      </c>
    </row>
    <row r="67" spans="2:6" ht="18" customHeight="1" thickBot="1">
      <c r="B67" s="2135" t="s">
        <v>14</v>
      </c>
      <c r="C67" s="2136"/>
      <c r="D67" s="1273">
        <f>D66+D57+D38</f>
        <v>402</v>
      </c>
      <c r="E67" s="1273">
        <f>E66+E57+E38</f>
        <v>312</v>
      </c>
      <c r="F67" s="1274">
        <f>F66+F57+F38</f>
        <v>75</v>
      </c>
    </row>
    <row r="68" spans="2:6" ht="3.6" customHeight="1">
      <c r="C68" s="8"/>
      <c r="D68" s="9"/>
      <c r="E68" s="8"/>
      <c r="F68" s="8"/>
    </row>
    <row r="69" spans="2:6" ht="11.85" customHeight="1">
      <c r="B69" s="70" t="s">
        <v>322</v>
      </c>
      <c r="D69" s="9"/>
      <c r="E69" s="8"/>
      <c r="F69" s="8"/>
    </row>
    <row r="70" spans="2:6" ht="9.75" customHeight="1">
      <c r="B70" s="8" t="s">
        <v>251</v>
      </c>
      <c r="D70" s="9"/>
      <c r="E70" s="8"/>
      <c r="F70" s="8"/>
    </row>
    <row r="71" spans="2:6" ht="15.95" customHeight="1">
      <c r="C71" s="8"/>
      <c r="D71" s="9"/>
      <c r="E71" s="8"/>
      <c r="F71" s="8"/>
    </row>
    <row r="72" spans="2:6">
      <c r="C72" s="8"/>
      <c r="D72" s="9"/>
      <c r="E72" s="8"/>
      <c r="F72" s="8"/>
    </row>
    <row r="73" spans="2:6">
      <c r="C73" s="8"/>
      <c r="D73" s="9"/>
      <c r="E73" s="8"/>
      <c r="F73" s="8"/>
    </row>
    <row r="74" spans="2:6">
      <c r="C74" s="8"/>
      <c r="D74" s="9"/>
      <c r="E74" s="8"/>
      <c r="F74" s="8"/>
    </row>
    <row r="75" spans="2:6">
      <c r="C75" s="8"/>
      <c r="D75" s="9"/>
      <c r="E75" s="8"/>
      <c r="F75" s="8"/>
    </row>
    <row r="76" spans="2:6">
      <c r="C76" s="8"/>
      <c r="D76" s="9"/>
      <c r="E76" s="8"/>
      <c r="F76" s="8"/>
    </row>
    <row r="77" spans="2:6">
      <c r="C77" s="8"/>
      <c r="D77" s="9"/>
      <c r="E77" s="8"/>
      <c r="F77" s="8"/>
    </row>
  </sheetData>
  <mergeCells count="12">
    <mergeCell ref="B59:C59"/>
    <mergeCell ref="B67:C67"/>
    <mergeCell ref="C3:F3"/>
    <mergeCell ref="D52:F53"/>
    <mergeCell ref="C5:F5"/>
    <mergeCell ref="D7:F8"/>
    <mergeCell ref="C50:F50"/>
    <mergeCell ref="C49:F49"/>
    <mergeCell ref="B7:C9"/>
    <mergeCell ref="B10:C10"/>
    <mergeCell ref="B40:C40"/>
    <mergeCell ref="B52:C54"/>
  </mergeCells>
  <printOptions horizontalCentered="1"/>
  <pageMargins left="0.51181102362204722" right="0.51181102362204722" top="0.70866141732283472" bottom="0.19685039370078741" header="0.51181102362204722" footer="0.27559055118110237"/>
  <pageSetup paperSize="9" scale="98" orientation="portrait" r:id="rId1"/>
  <headerFooter alignWithMargins="0">
    <oddHeader>&amp;R&amp;8&amp;D</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92D050"/>
  </sheetPr>
  <dimension ref="A1:BC134"/>
  <sheetViews>
    <sheetView zoomScaleNormal="100" zoomScaleSheetLayoutView="120" workbookViewId="0"/>
  </sheetViews>
  <sheetFormatPr baseColWidth="10" defaultColWidth="11.42578125" defaultRowHeight="16.5"/>
  <cols>
    <col min="1" max="1" width="19.85546875" style="1404" customWidth="1"/>
    <col min="2" max="2" width="49.42578125" style="1404" customWidth="1"/>
    <col min="3" max="3" width="17.140625" style="1404" customWidth="1"/>
    <col min="4" max="5" width="16.42578125" style="1404" customWidth="1"/>
    <col min="6" max="6" width="14.5703125" style="1404" customWidth="1"/>
    <col min="7" max="7" width="18.5703125" style="1404" customWidth="1"/>
    <col min="8" max="10" width="17.85546875" style="1404" customWidth="1"/>
    <col min="11" max="16384" width="11.42578125" style="1404"/>
  </cols>
  <sheetData>
    <row r="1" spans="1:55" ht="24.75" customHeight="1">
      <c r="A1" s="1599" t="s">
        <v>563</v>
      </c>
      <c r="B1" s="1424"/>
      <c r="C1" s="1424"/>
      <c r="D1" s="1424"/>
      <c r="E1" s="1424"/>
      <c r="F1" s="1424"/>
      <c r="G1" s="1424"/>
      <c r="H1" s="1424"/>
      <c r="I1" s="1424"/>
      <c r="J1" s="1424"/>
      <c r="K1" s="1410"/>
      <c r="L1" s="1410"/>
      <c r="M1" s="1410"/>
      <c r="N1" s="1410"/>
      <c r="O1" s="1410"/>
      <c r="P1" s="1410"/>
      <c r="Q1" s="1410"/>
      <c r="R1" s="1410"/>
      <c r="S1" s="1410"/>
      <c r="T1" s="1410"/>
      <c r="U1" s="1410"/>
      <c r="V1" s="1410"/>
      <c r="W1" s="1410"/>
      <c r="X1" s="1410"/>
      <c r="Y1" s="1410"/>
      <c r="Z1" s="1410"/>
      <c r="AA1" s="1410"/>
      <c r="AB1" s="1410"/>
      <c r="AC1" s="1410"/>
      <c r="AD1" s="1410"/>
      <c r="AE1" s="1410"/>
      <c r="AF1" s="1410"/>
      <c r="AG1" s="1410"/>
      <c r="AH1" s="1410"/>
      <c r="AI1" s="1410"/>
      <c r="AJ1" s="1410"/>
      <c r="AK1" s="1410"/>
      <c r="AL1" s="1410"/>
      <c r="AM1" s="1410"/>
      <c r="AN1" s="1410"/>
      <c r="AO1" s="1410"/>
      <c r="AP1" s="1410"/>
      <c r="AQ1" s="1410"/>
      <c r="AR1" s="1410"/>
      <c r="AS1" s="1410"/>
      <c r="AT1" s="1410"/>
      <c r="AU1" s="1410"/>
      <c r="AV1" s="1410"/>
      <c r="AW1" s="1410"/>
      <c r="AX1" s="1410"/>
      <c r="AY1" s="1410"/>
      <c r="AZ1" s="1410"/>
      <c r="BA1" s="1410"/>
      <c r="BB1" s="1410"/>
      <c r="BC1" s="1410"/>
    </row>
    <row r="2" spans="1:55" ht="66">
      <c r="A2" s="1706" t="s">
        <v>43</v>
      </c>
      <c r="B2" s="1760" t="s">
        <v>463</v>
      </c>
      <c r="C2" s="1761" t="s">
        <v>512</v>
      </c>
      <c r="D2" s="1419" t="s">
        <v>513</v>
      </c>
      <c r="E2" s="1419" t="s">
        <v>514</v>
      </c>
      <c r="F2" s="1419" t="s">
        <v>462</v>
      </c>
      <c r="G2" s="1761" t="s">
        <v>515</v>
      </c>
      <c r="H2" s="1419" t="s">
        <v>516</v>
      </c>
      <c r="I2" s="1419" t="s">
        <v>517</v>
      </c>
      <c r="J2" s="1419" t="s">
        <v>518</v>
      </c>
      <c r="K2" s="1410"/>
      <c r="L2" s="1410"/>
      <c r="M2" s="1410"/>
      <c r="N2" s="1410"/>
      <c r="O2" s="1410"/>
      <c r="P2" s="1410"/>
      <c r="Q2" s="1410"/>
      <c r="R2" s="1410"/>
      <c r="S2" s="1410"/>
      <c r="T2" s="1410"/>
      <c r="U2" s="1410"/>
      <c r="V2" s="1410"/>
      <c r="W2" s="1410"/>
      <c r="X2" s="1410"/>
      <c r="Y2" s="1410"/>
      <c r="Z2" s="1410"/>
      <c r="AA2" s="1410"/>
      <c r="AB2" s="1410"/>
      <c r="AC2" s="1410"/>
      <c r="AD2" s="1410"/>
      <c r="AE2" s="1410"/>
      <c r="AF2" s="1410"/>
      <c r="AG2" s="1410"/>
      <c r="AH2" s="1410"/>
      <c r="AI2" s="1410"/>
      <c r="AJ2" s="1410"/>
      <c r="AK2" s="1410"/>
      <c r="AL2" s="1410"/>
      <c r="AM2" s="1410"/>
      <c r="AN2" s="1410"/>
      <c r="AO2" s="1410"/>
      <c r="AP2" s="1410"/>
      <c r="AQ2" s="1410"/>
      <c r="AR2" s="1410"/>
      <c r="AS2" s="1410"/>
      <c r="AT2" s="1410"/>
      <c r="AU2" s="1410"/>
      <c r="AV2" s="1410"/>
      <c r="AW2" s="1410"/>
      <c r="AX2" s="1410"/>
      <c r="AY2" s="1410"/>
      <c r="AZ2" s="1410"/>
      <c r="BA2" s="1410"/>
      <c r="BB2" s="1410"/>
      <c r="BC2" s="1410"/>
    </row>
    <row r="3" spans="1:55">
      <c r="A3" s="1563" t="s">
        <v>437</v>
      </c>
      <c r="B3" s="1528" t="s">
        <v>233</v>
      </c>
      <c r="C3" s="1533">
        <v>3</v>
      </c>
      <c r="D3" s="1534">
        <v>0</v>
      </c>
      <c r="E3" s="1535">
        <v>3</v>
      </c>
      <c r="F3" s="1536">
        <v>3</v>
      </c>
      <c r="G3" s="1537">
        <v>0</v>
      </c>
      <c r="H3" s="1538">
        <v>0</v>
      </c>
      <c r="I3" s="1539">
        <v>0</v>
      </c>
      <c r="J3" s="1541">
        <v>0</v>
      </c>
      <c r="K3" s="1410"/>
      <c r="L3" s="1410"/>
      <c r="M3" s="1410"/>
      <c r="N3" s="1410"/>
      <c r="O3" s="1410"/>
      <c r="P3" s="1410"/>
      <c r="Q3" s="1410"/>
      <c r="R3" s="1410"/>
      <c r="S3" s="1410"/>
      <c r="T3" s="1410"/>
      <c r="U3" s="1410"/>
      <c r="V3" s="1410"/>
      <c r="W3" s="1410"/>
      <c r="X3" s="1410"/>
      <c r="Y3" s="1410"/>
      <c r="Z3" s="1410"/>
      <c r="AA3" s="1410"/>
      <c r="AB3" s="1410"/>
      <c r="AC3" s="1410"/>
      <c r="AD3" s="1410"/>
      <c r="AE3" s="1410"/>
      <c r="AF3" s="1410"/>
      <c r="AG3" s="1410"/>
      <c r="AH3" s="1410"/>
      <c r="AI3" s="1410"/>
      <c r="AJ3" s="1410"/>
      <c r="AK3" s="1410"/>
      <c r="AL3" s="1410"/>
      <c r="AM3" s="1410"/>
      <c r="AN3" s="1410"/>
      <c r="AO3" s="1410"/>
      <c r="AP3" s="1410"/>
      <c r="AQ3" s="1410"/>
      <c r="AR3" s="1410"/>
      <c r="AS3" s="1410"/>
      <c r="AT3" s="1410"/>
      <c r="AU3" s="1410"/>
      <c r="AV3" s="1410"/>
      <c r="AW3" s="1410"/>
      <c r="AX3" s="1410"/>
      <c r="AY3" s="1410"/>
      <c r="AZ3" s="1410"/>
      <c r="BA3" s="1410"/>
      <c r="BB3" s="1410"/>
      <c r="BC3" s="1410"/>
    </row>
    <row r="4" spans="1:55">
      <c r="A4" s="1896" t="s">
        <v>437</v>
      </c>
      <c r="B4" s="1528" t="s">
        <v>235</v>
      </c>
      <c r="C4" s="1533">
        <v>3</v>
      </c>
      <c r="D4" s="1534">
        <v>3</v>
      </c>
      <c r="E4" s="1535">
        <v>0</v>
      </c>
      <c r="F4" s="1536">
        <v>3</v>
      </c>
      <c r="G4" s="1537">
        <v>0</v>
      </c>
      <c r="H4" s="1538">
        <v>0</v>
      </c>
      <c r="I4" s="1539">
        <v>0</v>
      </c>
      <c r="J4" s="1541">
        <v>0</v>
      </c>
      <c r="K4" s="1410"/>
      <c r="L4" s="1410"/>
      <c r="M4" s="1410"/>
      <c r="N4" s="1410"/>
      <c r="O4" s="1410"/>
      <c r="P4" s="1410"/>
      <c r="Q4" s="1410"/>
      <c r="R4" s="1410"/>
      <c r="S4" s="1410"/>
      <c r="T4" s="1410"/>
      <c r="U4" s="1410"/>
      <c r="V4" s="1410"/>
      <c r="W4" s="1410"/>
      <c r="X4" s="1410"/>
      <c r="Y4" s="1410"/>
      <c r="Z4" s="1410"/>
      <c r="AA4" s="1410"/>
      <c r="AB4" s="1410"/>
      <c r="AC4" s="1410"/>
      <c r="AD4" s="1410"/>
      <c r="AE4" s="1410"/>
      <c r="AF4" s="1410"/>
      <c r="AG4" s="1410"/>
      <c r="AH4" s="1410"/>
      <c r="AI4" s="1410"/>
      <c r="AJ4" s="1410"/>
      <c r="AK4" s="1410"/>
      <c r="AL4" s="1410"/>
      <c r="AM4" s="1410"/>
      <c r="AN4" s="1410"/>
      <c r="AO4" s="1410"/>
      <c r="AP4" s="1410"/>
      <c r="AQ4" s="1410"/>
      <c r="AR4" s="1410"/>
      <c r="AS4" s="1410"/>
      <c r="AT4" s="1410"/>
      <c r="AU4" s="1410"/>
      <c r="AV4" s="1410"/>
      <c r="AW4" s="1410"/>
      <c r="AX4" s="1410"/>
      <c r="AY4" s="1410"/>
      <c r="AZ4" s="1410"/>
      <c r="BA4" s="1410"/>
      <c r="BB4" s="1410"/>
      <c r="BC4" s="1410"/>
    </row>
    <row r="5" spans="1:55">
      <c r="A5" s="1897" t="s">
        <v>437</v>
      </c>
      <c r="B5" s="1528" t="s">
        <v>260</v>
      </c>
      <c r="C5" s="1537">
        <v>24</v>
      </c>
      <c r="D5" s="1538">
        <v>21</v>
      </c>
      <c r="E5" s="1540">
        <v>0</v>
      </c>
      <c r="F5" s="1541">
        <v>18</v>
      </c>
      <c r="G5" s="1537">
        <v>3</v>
      </c>
      <c r="H5" s="1538">
        <v>3</v>
      </c>
      <c r="I5" s="1539">
        <v>0</v>
      </c>
      <c r="J5" s="1541">
        <v>3</v>
      </c>
      <c r="K5" s="1410"/>
      <c r="L5" s="1410"/>
      <c r="M5" s="1410"/>
      <c r="N5" s="1410"/>
      <c r="O5" s="1410"/>
      <c r="P5" s="1410"/>
      <c r="Q5" s="1410"/>
      <c r="R5" s="1410"/>
      <c r="S5" s="1410"/>
      <c r="T5" s="1410"/>
      <c r="U5" s="1410"/>
      <c r="V5" s="1410"/>
      <c r="W5" s="1410"/>
      <c r="X5" s="1410"/>
      <c r="Y5" s="1410"/>
      <c r="Z5" s="1410"/>
      <c r="AA5" s="1410"/>
      <c r="AB5" s="1410"/>
      <c r="AC5" s="1410"/>
      <c r="AD5" s="1410"/>
      <c r="AE5" s="1410"/>
      <c r="AF5" s="1410"/>
      <c r="AG5" s="1410"/>
      <c r="AH5" s="1410"/>
      <c r="AI5" s="1410"/>
      <c r="AJ5" s="1410"/>
      <c r="AK5" s="1410"/>
      <c r="AL5" s="1410"/>
      <c r="AM5" s="1410"/>
      <c r="AN5" s="1410"/>
      <c r="AO5" s="1410"/>
      <c r="AP5" s="1410"/>
      <c r="AQ5" s="1410"/>
      <c r="AR5" s="1410"/>
      <c r="AS5" s="1410"/>
      <c r="AT5" s="1410"/>
      <c r="AU5" s="1410"/>
      <c r="AV5" s="1410"/>
      <c r="AW5" s="1410"/>
      <c r="AX5" s="1410"/>
      <c r="AY5" s="1410"/>
      <c r="AZ5" s="1410"/>
      <c r="BA5" s="1410"/>
      <c r="BB5" s="1410"/>
      <c r="BC5" s="1410"/>
    </row>
    <row r="6" spans="1:55">
      <c r="A6" s="1564" t="s">
        <v>439</v>
      </c>
      <c r="B6" s="1778" t="s">
        <v>231</v>
      </c>
      <c r="C6" s="1763">
        <v>108</v>
      </c>
      <c r="D6" s="1779">
        <v>87</v>
      </c>
      <c r="E6" s="1780">
        <v>21</v>
      </c>
      <c r="F6" s="1781">
        <v>84</v>
      </c>
      <c r="G6" s="1782">
        <v>18</v>
      </c>
      <c r="H6" s="1783">
        <v>15</v>
      </c>
      <c r="I6" s="1784">
        <v>3</v>
      </c>
      <c r="J6" s="1899">
        <v>9</v>
      </c>
      <c r="K6" s="1410"/>
      <c r="L6" s="1410"/>
      <c r="M6" s="1410"/>
      <c r="N6" s="1410"/>
      <c r="O6" s="1410"/>
      <c r="P6" s="1410"/>
      <c r="Q6" s="1410"/>
      <c r="R6" s="1410"/>
      <c r="S6" s="1410"/>
      <c r="T6" s="1410"/>
      <c r="U6" s="1410"/>
      <c r="V6" s="1410"/>
      <c r="W6" s="1410"/>
      <c r="X6" s="1410"/>
      <c r="Y6" s="1410"/>
      <c r="Z6" s="1410"/>
      <c r="AA6" s="1410"/>
      <c r="AB6" s="1410"/>
      <c r="AC6" s="1410"/>
      <c r="AD6" s="1410"/>
      <c r="AE6" s="1410"/>
      <c r="AF6" s="1410"/>
      <c r="AG6" s="1410"/>
      <c r="AH6" s="1410"/>
      <c r="AI6" s="1410"/>
      <c r="AJ6" s="1410"/>
      <c r="AK6" s="1410"/>
      <c r="AL6" s="1410"/>
      <c r="AM6" s="1410"/>
      <c r="AN6" s="1410"/>
      <c r="AO6" s="1410"/>
      <c r="AP6" s="1410"/>
      <c r="AQ6" s="1410"/>
      <c r="AR6" s="1410"/>
      <c r="AS6" s="1410"/>
      <c r="AT6" s="1410"/>
      <c r="AU6" s="1410"/>
      <c r="AV6" s="1410"/>
      <c r="AW6" s="1410"/>
      <c r="AX6" s="1410"/>
      <c r="AY6" s="1410"/>
      <c r="AZ6" s="1410"/>
      <c r="BA6" s="1410"/>
      <c r="BB6" s="1410"/>
      <c r="BC6" s="1410"/>
    </row>
    <row r="7" spans="1:55">
      <c r="A7" s="1896" t="s">
        <v>439</v>
      </c>
      <c r="B7" s="1813" t="s">
        <v>245</v>
      </c>
      <c r="C7" s="1533">
        <v>21</v>
      </c>
      <c r="D7" s="1534">
        <v>18</v>
      </c>
      <c r="E7" s="1535">
        <v>0</v>
      </c>
      <c r="F7" s="1536">
        <v>18</v>
      </c>
      <c r="G7" s="1537">
        <v>3</v>
      </c>
      <c r="H7" s="1538">
        <v>3</v>
      </c>
      <c r="I7" s="1539">
        <v>0</v>
      </c>
      <c r="J7" s="1541">
        <v>0</v>
      </c>
      <c r="K7" s="1410"/>
      <c r="L7" s="1410"/>
      <c r="M7" s="1410"/>
      <c r="N7" s="1410"/>
      <c r="O7" s="1410"/>
      <c r="P7" s="1410"/>
      <c r="Q7" s="1410"/>
      <c r="R7" s="1410"/>
      <c r="S7" s="1410"/>
      <c r="T7" s="1410"/>
      <c r="U7" s="1410"/>
      <c r="V7" s="1410"/>
      <c r="W7" s="1410"/>
      <c r="X7" s="1410"/>
      <c r="Y7" s="1410"/>
      <c r="Z7" s="1410"/>
      <c r="AA7" s="1410"/>
      <c r="AB7" s="1410"/>
      <c r="AC7" s="1410"/>
      <c r="AD7" s="1410"/>
      <c r="AE7" s="1410"/>
      <c r="AF7" s="1410"/>
      <c r="AG7" s="1410"/>
      <c r="AH7" s="1410"/>
      <c r="AI7" s="1410"/>
      <c r="AJ7" s="1410"/>
      <c r="AK7" s="1410"/>
      <c r="AL7" s="1410"/>
      <c r="AM7" s="1410"/>
      <c r="AN7" s="1410"/>
      <c r="AO7" s="1410"/>
      <c r="AP7" s="1410"/>
      <c r="AQ7" s="1410"/>
      <c r="AR7" s="1410"/>
      <c r="AS7" s="1410"/>
      <c r="AT7" s="1410"/>
      <c r="AU7" s="1410"/>
      <c r="AV7" s="1410"/>
      <c r="AW7" s="1410"/>
      <c r="AX7" s="1410"/>
      <c r="AY7" s="1410"/>
      <c r="AZ7" s="1410"/>
      <c r="BA7" s="1410"/>
      <c r="BB7" s="1410"/>
      <c r="BC7" s="1410"/>
    </row>
    <row r="8" spans="1:55">
      <c r="A8" s="1896" t="s">
        <v>439</v>
      </c>
      <c r="B8" s="1813" t="s">
        <v>574</v>
      </c>
      <c r="C8" s="1537">
        <v>18</v>
      </c>
      <c r="D8" s="1538">
        <v>3</v>
      </c>
      <c r="E8" s="1540">
        <v>15</v>
      </c>
      <c r="F8" s="1541">
        <v>15</v>
      </c>
      <c r="G8" s="1537">
        <v>3</v>
      </c>
      <c r="H8" s="1538">
        <v>0</v>
      </c>
      <c r="I8" s="1539">
        <v>3</v>
      </c>
      <c r="J8" s="1541">
        <v>3</v>
      </c>
      <c r="K8" s="1410"/>
      <c r="L8" s="1410"/>
      <c r="M8" s="1410"/>
      <c r="N8" s="1410"/>
      <c r="O8" s="1410"/>
      <c r="P8" s="1410"/>
      <c r="Q8" s="1410"/>
      <c r="R8" s="1410"/>
      <c r="S8" s="1410"/>
      <c r="T8" s="1410"/>
      <c r="U8" s="1410"/>
      <c r="V8" s="1410"/>
      <c r="W8" s="1410"/>
      <c r="X8" s="1410"/>
      <c r="Y8" s="1410"/>
      <c r="Z8" s="1410"/>
      <c r="AA8" s="1410"/>
      <c r="AB8" s="1410"/>
      <c r="AC8" s="1410"/>
      <c r="AD8" s="1410"/>
      <c r="AE8" s="1410"/>
      <c r="AF8" s="1410"/>
      <c r="AG8" s="1410"/>
      <c r="AH8" s="1410"/>
      <c r="AI8" s="1410"/>
      <c r="AJ8" s="1410"/>
      <c r="AK8" s="1410"/>
      <c r="AL8" s="1410"/>
      <c r="AM8" s="1410"/>
      <c r="AN8" s="1410"/>
      <c r="AO8" s="1410"/>
      <c r="AP8" s="1410"/>
      <c r="AQ8" s="1410"/>
      <c r="AR8" s="1410"/>
      <c r="AS8" s="1410"/>
      <c r="AT8" s="1410"/>
      <c r="AU8" s="1410"/>
      <c r="AV8" s="1410"/>
      <c r="AW8" s="1410"/>
      <c r="AX8" s="1410"/>
      <c r="AY8" s="1410"/>
      <c r="AZ8" s="1410"/>
      <c r="BA8" s="1410"/>
      <c r="BB8" s="1410"/>
      <c r="BC8" s="1410"/>
    </row>
    <row r="9" spans="1:55">
      <c r="A9" s="1896" t="s">
        <v>439</v>
      </c>
      <c r="B9" s="1813" t="s">
        <v>575</v>
      </c>
      <c r="C9" s="1533">
        <v>3</v>
      </c>
      <c r="D9" s="1534">
        <v>0</v>
      </c>
      <c r="E9" s="1535">
        <v>3</v>
      </c>
      <c r="F9" s="1536">
        <v>3</v>
      </c>
      <c r="G9" s="1537">
        <v>0</v>
      </c>
      <c r="H9" s="1538">
        <v>0</v>
      </c>
      <c r="I9" s="1539">
        <v>0</v>
      </c>
      <c r="J9" s="1541">
        <v>0</v>
      </c>
      <c r="K9" s="1410"/>
      <c r="L9" s="1410"/>
      <c r="M9" s="1410"/>
      <c r="N9" s="1410"/>
      <c r="O9" s="1410"/>
      <c r="P9" s="1410"/>
      <c r="Q9" s="1410"/>
      <c r="R9" s="1410"/>
      <c r="S9" s="1410"/>
      <c r="T9" s="1410"/>
      <c r="U9" s="1410"/>
      <c r="V9" s="1410"/>
      <c r="W9" s="1410"/>
      <c r="X9" s="1410"/>
      <c r="Y9" s="1410"/>
      <c r="Z9" s="1410"/>
      <c r="AA9" s="1410"/>
      <c r="AB9" s="1410"/>
      <c r="AC9" s="1410"/>
      <c r="AD9" s="1410"/>
      <c r="AE9" s="1410"/>
      <c r="AF9" s="1410"/>
      <c r="AG9" s="1410"/>
      <c r="AH9" s="1410"/>
      <c r="AI9" s="1410"/>
      <c r="AJ9" s="1410"/>
      <c r="AK9" s="1410"/>
      <c r="AL9" s="1410"/>
      <c r="AM9" s="1410"/>
      <c r="AN9" s="1410"/>
      <c r="AO9" s="1410"/>
      <c r="AP9" s="1410"/>
      <c r="AQ9" s="1410"/>
      <c r="AR9" s="1410"/>
      <c r="AS9" s="1410"/>
      <c r="AT9" s="1410"/>
      <c r="AU9" s="1410"/>
      <c r="AV9" s="1410"/>
      <c r="AW9" s="1410"/>
      <c r="AX9" s="1410"/>
      <c r="AY9" s="1410"/>
      <c r="AZ9" s="1410"/>
      <c r="BA9" s="1410"/>
      <c r="BB9" s="1410"/>
      <c r="BC9" s="1410"/>
    </row>
    <row r="10" spans="1:55" ht="17.25" customHeight="1">
      <c r="A10" s="1896" t="s">
        <v>439</v>
      </c>
      <c r="B10" s="1813" t="s">
        <v>576</v>
      </c>
      <c r="C10" s="1533">
        <v>12</v>
      </c>
      <c r="D10" s="1534">
        <v>9</v>
      </c>
      <c r="E10" s="1535">
        <v>3</v>
      </c>
      <c r="F10" s="1536">
        <v>9</v>
      </c>
      <c r="G10" s="1537">
        <v>0</v>
      </c>
      <c r="H10" s="1538">
        <v>0</v>
      </c>
      <c r="I10" s="1539">
        <v>0</v>
      </c>
      <c r="J10" s="1541">
        <v>0</v>
      </c>
      <c r="K10" s="1410"/>
      <c r="L10" s="1410"/>
      <c r="M10" s="1410"/>
      <c r="N10" s="1410"/>
      <c r="O10" s="1410"/>
      <c r="P10" s="1410"/>
      <c r="Q10" s="1410"/>
      <c r="R10" s="1410"/>
      <c r="S10" s="1410"/>
      <c r="T10" s="1410"/>
      <c r="U10" s="1410"/>
      <c r="V10" s="1410"/>
      <c r="W10" s="1410"/>
      <c r="X10" s="1410"/>
      <c r="Y10" s="1410"/>
      <c r="Z10" s="1410"/>
      <c r="AA10" s="1410"/>
      <c r="AB10" s="1410"/>
      <c r="AC10" s="1410"/>
      <c r="AD10" s="1410"/>
      <c r="AE10" s="1410"/>
      <c r="AF10" s="1410"/>
      <c r="AG10" s="1410"/>
      <c r="AH10" s="1410"/>
      <c r="AI10" s="1410"/>
      <c r="AJ10" s="1410"/>
      <c r="AK10" s="1410"/>
      <c r="AL10" s="1410"/>
      <c r="AM10" s="1410"/>
      <c r="AN10" s="1410"/>
      <c r="AO10" s="1410"/>
      <c r="AP10" s="1410"/>
      <c r="AQ10" s="1410"/>
      <c r="AR10" s="1410"/>
      <c r="AS10" s="1410"/>
      <c r="AT10" s="1410"/>
      <c r="AU10" s="1410"/>
      <c r="AV10" s="1410"/>
      <c r="AW10" s="1410"/>
      <c r="AX10" s="1410"/>
      <c r="AY10" s="1410"/>
      <c r="AZ10" s="1410"/>
      <c r="BA10" s="1410"/>
      <c r="BB10" s="1410"/>
      <c r="BC10" s="1410"/>
    </row>
    <row r="11" spans="1:55">
      <c r="A11" s="1896" t="s">
        <v>439</v>
      </c>
      <c r="B11" s="1528" t="s">
        <v>246</v>
      </c>
      <c r="C11" s="1537">
        <v>18</v>
      </c>
      <c r="D11" s="1538">
        <v>15</v>
      </c>
      <c r="E11" s="1540">
        <v>3</v>
      </c>
      <c r="F11" s="1541">
        <v>15</v>
      </c>
      <c r="G11" s="1537">
        <v>6</v>
      </c>
      <c r="H11" s="1538">
        <v>3</v>
      </c>
      <c r="I11" s="1539">
        <v>3</v>
      </c>
      <c r="J11" s="1541">
        <v>3</v>
      </c>
      <c r="K11" s="1410"/>
      <c r="L11" s="1410"/>
      <c r="M11" s="1410"/>
      <c r="N11" s="1410"/>
      <c r="O11" s="1410"/>
      <c r="P11" s="1410"/>
      <c r="Q11" s="1410"/>
      <c r="R11" s="1410"/>
      <c r="S11" s="1410"/>
      <c r="T11" s="1410"/>
      <c r="U11" s="1410"/>
      <c r="V11" s="1410"/>
      <c r="W11" s="1410"/>
      <c r="X11" s="1410"/>
      <c r="Y11" s="1410"/>
      <c r="Z11" s="1410"/>
      <c r="AA11" s="1410"/>
      <c r="AB11" s="1410"/>
      <c r="AC11" s="1410"/>
      <c r="AD11" s="1410"/>
      <c r="AE11" s="1410"/>
      <c r="AF11" s="1410"/>
      <c r="AG11" s="1410"/>
      <c r="AH11" s="1410"/>
      <c r="AI11" s="1410"/>
      <c r="AJ11" s="1410"/>
      <c r="AK11" s="1410"/>
      <c r="AL11" s="1410"/>
      <c r="AM11" s="1410"/>
      <c r="AN11" s="1410"/>
      <c r="AO11" s="1410"/>
      <c r="AP11" s="1410"/>
      <c r="AQ11" s="1410"/>
      <c r="AR11" s="1410"/>
      <c r="AS11" s="1410"/>
      <c r="AT11" s="1410"/>
      <c r="AU11" s="1410"/>
      <c r="AV11" s="1410"/>
      <c r="AW11" s="1410"/>
      <c r="AX11" s="1410"/>
      <c r="AY11" s="1410"/>
      <c r="AZ11" s="1410"/>
      <c r="BA11" s="1410"/>
      <c r="BB11" s="1410"/>
      <c r="BC11" s="1410"/>
    </row>
    <row r="12" spans="1:55">
      <c r="A12" s="1896" t="s">
        <v>439</v>
      </c>
      <c r="B12" s="1528" t="s">
        <v>247</v>
      </c>
      <c r="C12" s="1533">
        <v>3</v>
      </c>
      <c r="D12" s="1534">
        <v>0</v>
      </c>
      <c r="E12" s="1535">
        <v>0</v>
      </c>
      <c r="F12" s="1536">
        <v>3</v>
      </c>
      <c r="G12" s="1537">
        <v>3</v>
      </c>
      <c r="H12" s="1538">
        <v>0</v>
      </c>
      <c r="I12" s="1539">
        <v>0</v>
      </c>
      <c r="J12" s="1541">
        <v>3</v>
      </c>
      <c r="K12" s="1410"/>
      <c r="L12" s="1410"/>
      <c r="M12" s="1410"/>
      <c r="N12" s="1410"/>
      <c r="O12" s="1410"/>
      <c r="P12" s="1410"/>
      <c r="Q12" s="1410"/>
      <c r="R12" s="1410"/>
      <c r="S12" s="1410"/>
      <c r="T12" s="1410"/>
      <c r="U12" s="1410"/>
      <c r="V12" s="1410"/>
      <c r="W12" s="1410"/>
      <c r="X12" s="1410"/>
      <c r="Y12" s="1410"/>
      <c r="Z12" s="1410"/>
      <c r="AA12" s="1410"/>
      <c r="AB12" s="1410"/>
      <c r="AC12" s="1410"/>
      <c r="AD12" s="1410"/>
      <c r="AE12" s="1410"/>
      <c r="AF12" s="1410"/>
      <c r="AG12" s="1410"/>
      <c r="AH12" s="1410"/>
      <c r="AI12" s="1410"/>
      <c r="AJ12" s="1410"/>
      <c r="AK12" s="1410"/>
      <c r="AL12" s="1410"/>
      <c r="AM12" s="1410"/>
      <c r="AN12" s="1410"/>
      <c r="AO12" s="1410"/>
      <c r="AP12" s="1410"/>
      <c r="AQ12" s="1410"/>
      <c r="AR12" s="1410"/>
      <c r="AS12" s="1410"/>
      <c r="AT12" s="1410"/>
      <c r="AU12" s="1410"/>
      <c r="AV12" s="1410"/>
      <c r="AW12" s="1410"/>
      <c r="AX12" s="1410"/>
      <c r="AY12" s="1410"/>
      <c r="AZ12" s="1410"/>
      <c r="BA12" s="1410"/>
      <c r="BB12" s="1410"/>
      <c r="BC12" s="1410"/>
    </row>
    <row r="13" spans="1:55" ht="16.5" customHeight="1">
      <c r="A13" s="1896" t="s">
        <v>439</v>
      </c>
      <c r="B13" s="1528" t="s">
        <v>577</v>
      </c>
      <c r="C13" s="1533">
        <v>12</v>
      </c>
      <c r="D13" s="1534">
        <v>12</v>
      </c>
      <c r="E13" s="1535">
        <v>0</v>
      </c>
      <c r="F13" s="1536">
        <v>9</v>
      </c>
      <c r="G13" s="1537">
        <v>0</v>
      </c>
      <c r="H13" s="1538">
        <v>0</v>
      </c>
      <c r="I13" s="1539">
        <v>0</v>
      </c>
      <c r="J13" s="1541">
        <v>0</v>
      </c>
      <c r="K13" s="1410"/>
      <c r="L13" s="1410"/>
      <c r="M13" s="1410"/>
      <c r="N13" s="1410"/>
      <c r="O13" s="1410"/>
      <c r="P13" s="1410"/>
      <c r="Q13" s="1410"/>
      <c r="R13" s="1410"/>
      <c r="S13" s="1410"/>
      <c r="T13" s="1410"/>
      <c r="U13" s="1410"/>
      <c r="V13" s="1410"/>
      <c r="W13" s="1410"/>
      <c r="X13" s="1410"/>
      <c r="Y13" s="1410"/>
      <c r="Z13" s="1410"/>
      <c r="AA13" s="1410"/>
      <c r="AB13" s="1410"/>
      <c r="AC13" s="1410"/>
      <c r="AD13" s="1410"/>
      <c r="AE13" s="1410"/>
      <c r="AF13" s="1410"/>
      <c r="AG13" s="1410"/>
      <c r="AH13" s="1410"/>
      <c r="AI13" s="1410"/>
      <c r="AJ13" s="1410"/>
      <c r="AK13" s="1410"/>
      <c r="AL13" s="1410"/>
      <c r="AM13" s="1410"/>
      <c r="AN13" s="1410"/>
      <c r="AO13" s="1410"/>
      <c r="AP13" s="1410"/>
      <c r="AQ13" s="1410"/>
      <c r="AR13" s="1410"/>
      <c r="AS13" s="1410"/>
      <c r="AT13" s="1410"/>
      <c r="AU13" s="1410"/>
      <c r="AV13" s="1410"/>
      <c r="AW13" s="1410"/>
      <c r="AX13" s="1410"/>
      <c r="AY13" s="1410"/>
      <c r="AZ13" s="1410"/>
      <c r="BA13" s="1410"/>
      <c r="BB13" s="1410"/>
      <c r="BC13" s="1410"/>
    </row>
    <row r="14" spans="1:55">
      <c r="A14" s="1896" t="s">
        <v>439</v>
      </c>
      <c r="B14" s="1528" t="s">
        <v>235</v>
      </c>
      <c r="C14" s="1537">
        <v>12</v>
      </c>
      <c r="D14" s="1538">
        <v>9</v>
      </c>
      <c r="E14" s="1540">
        <v>3</v>
      </c>
      <c r="F14" s="1541">
        <v>9</v>
      </c>
      <c r="G14" s="1537">
        <v>0</v>
      </c>
      <c r="H14" s="1538">
        <v>0</v>
      </c>
      <c r="I14" s="1539">
        <v>0</v>
      </c>
      <c r="J14" s="1541">
        <v>0</v>
      </c>
      <c r="K14" s="1410"/>
      <c r="L14" s="1410"/>
      <c r="M14" s="1410"/>
      <c r="N14" s="1410"/>
      <c r="O14" s="1410"/>
      <c r="P14" s="1410"/>
      <c r="Q14" s="1410"/>
      <c r="R14" s="1410"/>
      <c r="S14" s="1410"/>
      <c r="T14" s="1410"/>
      <c r="U14" s="1410"/>
      <c r="V14" s="1410"/>
      <c r="W14" s="1410"/>
      <c r="X14" s="1410"/>
      <c r="Y14" s="1410"/>
      <c r="Z14" s="1410"/>
      <c r="AA14" s="1410"/>
      <c r="AB14" s="1410"/>
      <c r="AC14" s="1410"/>
      <c r="AD14" s="1410"/>
      <c r="AE14" s="1410"/>
      <c r="AF14" s="1410"/>
      <c r="AG14" s="1410"/>
      <c r="AH14" s="1410"/>
      <c r="AI14" s="1410"/>
      <c r="AJ14" s="1410"/>
      <c r="AK14" s="1410"/>
      <c r="AL14" s="1410"/>
      <c r="AM14" s="1410"/>
      <c r="AN14" s="1410"/>
      <c r="AO14" s="1410"/>
      <c r="AP14" s="1410"/>
      <c r="AQ14" s="1410"/>
      <c r="AR14" s="1410"/>
      <c r="AS14" s="1410"/>
      <c r="AT14" s="1410"/>
      <c r="AU14" s="1410"/>
      <c r="AV14" s="1410"/>
      <c r="AW14" s="1410"/>
      <c r="AX14" s="1410"/>
      <c r="AY14" s="1410"/>
      <c r="AZ14" s="1410"/>
      <c r="BA14" s="1410"/>
      <c r="BB14" s="1410"/>
      <c r="BC14" s="1410"/>
    </row>
    <row r="15" spans="1:55">
      <c r="A15" s="1896" t="s">
        <v>439</v>
      </c>
      <c r="B15" s="1528" t="s">
        <v>236</v>
      </c>
      <c r="C15" s="1533">
        <v>18</v>
      </c>
      <c r="D15" s="1534">
        <v>18</v>
      </c>
      <c r="E15" s="1535">
        <v>0</v>
      </c>
      <c r="F15" s="1536">
        <v>18</v>
      </c>
      <c r="G15" s="1537">
        <v>0</v>
      </c>
      <c r="H15" s="1538">
        <v>0</v>
      </c>
      <c r="I15" s="1539">
        <v>0</v>
      </c>
      <c r="J15" s="1541">
        <v>0</v>
      </c>
      <c r="K15" s="1410"/>
      <c r="L15" s="1410"/>
      <c r="M15" s="1410"/>
      <c r="N15" s="1410"/>
      <c r="O15" s="1410"/>
      <c r="P15" s="1410"/>
      <c r="Q15" s="1410"/>
      <c r="R15" s="1410"/>
      <c r="S15" s="1410"/>
      <c r="T15" s="1410"/>
      <c r="U15" s="1410"/>
      <c r="V15" s="1410"/>
      <c r="W15" s="1410"/>
      <c r="X15" s="1410"/>
      <c r="Y15" s="1410"/>
      <c r="Z15" s="1410"/>
      <c r="AA15" s="1410"/>
      <c r="AB15" s="1410"/>
      <c r="AC15" s="1410"/>
      <c r="AD15" s="1410"/>
      <c r="AE15" s="1410"/>
      <c r="AF15" s="1410"/>
      <c r="AG15" s="1410"/>
      <c r="AH15" s="1410"/>
      <c r="AI15" s="1410"/>
      <c r="AJ15" s="1410"/>
      <c r="AK15" s="1410"/>
      <c r="AL15" s="1410"/>
      <c r="AM15" s="1410"/>
      <c r="AN15" s="1410"/>
      <c r="AO15" s="1410"/>
      <c r="AP15" s="1410"/>
      <c r="AQ15" s="1410"/>
      <c r="AR15" s="1410"/>
      <c r="AS15" s="1410"/>
      <c r="AT15" s="1410"/>
      <c r="AU15" s="1410"/>
      <c r="AV15" s="1410"/>
      <c r="AW15" s="1410"/>
      <c r="AX15" s="1410"/>
      <c r="AY15" s="1410"/>
      <c r="AZ15" s="1410"/>
      <c r="BA15" s="1410"/>
      <c r="BB15" s="1410"/>
      <c r="BC15" s="1410"/>
    </row>
    <row r="16" spans="1:55">
      <c r="A16" s="1896"/>
      <c r="B16" s="1528" t="s">
        <v>260</v>
      </c>
      <c r="C16" s="1533">
        <v>69</v>
      </c>
      <c r="D16" s="1534">
        <v>60</v>
      </c>
      <c r="E16" s="1535">
        <v>9</v>
      </c>
      <c r="F16" s="1536">
        <v>51</v>
      </c>
      <c r="G16" s="1537">
        <v>9</v>
      </c>
      <c r="H16" s="1538">
        <v>6</v>
      </c>
      <c r="I16" s="1539">
        <v>0</v>
      </c>
      <c r="J16" s="1541">
        <v>3</v>
      </c>
      <c r="K16" s="1410"/>
      <c r="L16" s="1410"/>
      <c r="M16" s="1410"/>
      <c r="N16" s="1410"/>
      <c r="O16" s="1410"/>
      <c r="P16" s="1410"/>
      <c r="Q16" s="1410"/>
      <c r="R16" s="1410"/>
      <c r="S16" s="1410"/>
      <c r="T16" s="1410"/>
      <c r="U16" s="1410"/>
      <c r="V16" s="1410"/>
      <c r="W16" s="1410"/>
      <c r="X16" s="1410"/>
      <c r="Y16" s="1410"/>
      <c r="Z16" s="1410"/>
      <c r="AA16" s="1410"/>
      <c r="AB16" s="1410"/>
      <c r="AC16" s="1410"/>
      <c r="AD16" s="1410"/>
      <c r="AE16" s="1410"/>
      <c r="AF16" s="1410"/>
      <c r="AG16" s="1410"/>
      <c r="AH16" s="1410"/>
      <c r="AI16" s="1410"/>
      <c r="AJ16" s="1410"/>
      <c r="AK16" s="1410"/>
      <c r="AL16" s="1410"/>
      <c r="AM16" s="1410"/>
      <c r="AN16" s="1410"/>
      <c r="AO16" s="1410"/>
      <c r="AP16" s="1410"/>
      <c r="AQ16" s="1410"/>
      <c r="AR16" s="1410"/>
      <c r="AS16" s="1410"/>
      <c r="AT16" s="1410"/>
      <c r="AU16" s="1410"/>
      <c r="AV16" s="1410"/>
      <c r="AW16" s="1410"/>
      <c r="AX16" s="1410"/>
      <c r="AY16" s="1410"/>
      <c r="AZ16" s="1410"/>
      <c r="BA16" s="1410"/>
      <c r="BB16" s="1410"/>
      <c r="BC16" s="1410"/>
    </row>
    <row r="17" spans="1:55">
      <c r="A17" s="1896"/>
      <c r="B17" s="1528" t="s">
        <v>578</v>
      </c>
      <c r="C17" s="1537">
        <v>12</v>
      </c>
      <c r="D17" s="1538">
        <v>12</v>
      </c>
      <c r="E17" s="1540">
        <v>3</v>
      </c>
      <c r="F17" s="1541">
        <v>12</v>
      </c>
      <c r="G17" s="1537">
        <v>0</v>
      </c>
      <c r="H17" s="1538">
        <v>0</v>
      </c>
      <c r="I17" s="1539">
        <v>0</v>
      </c>
      <c r="J17" s="1541">
        <v>0</v>
      </c>
      <c r="K17" s="1410"/>
      <c r="L17" s="1410"/>
      <c r="M17" s="1410"/>
      <c r="N17" s="1410"/>
      <c r="O17" s="1410"/>
      <c r="P17" s="1410"/>
      <c r="Q17" s="1410"/>
      <c r="R17" s="1410"/>
      <c r="S17" s="1410"/>
      <c r="T17" s="1410"/>
      <c r="U17" s="1410"/>
      <c r="V17" s="1410"/>
      <c r="W17" s="1410"/>
      <c r="X17" s="1410"/>
      <c r="Y17" s="1410"/>
      <c r="Z17" s="1410"/>
      <c r="AA17" s="1410"/>
      <c r="AB17" s="1410"/>
      <c r="AC17" s="1410"/>
      <c r="AD17" s="1410"/>
      <c r="AE17" s="1410"/>
      <c r="AF17" s="1410"/>
      <c r="AG17" s="1410"/>
      <c r="AH17" s="1410"/>
      <c r="AI17" s="1410"/>
      <c r="AJ17" s="1410"/>
      <c r="AK17" s="1410"/>
      <c r="AL17" s="1410"/>
      <c r="AM17" s="1410"/>
      <c r="AN17" s="1410"/>
      <c r="AO17" s="1410"/>
      <c r="AP17" s="1410"/>
      <c r="AQ17" s="1410"/>
      <c r="AR17" s="1410"/>
      <c r="AS17" s="1410"/>
      <c r="AT17" s="1410"/>
      <c r="AU17" s="1410"/>
      <c r="AV17" s="1410"/>
      <c r="AW17" s="1410"/>
      <c r="AX17" s="1410"/>
      <c r="AY17" s="1410"/>
      <c r="AZ17" s="1410"/>
      <c r="BA17" s="1410"/>
      <c r="BB17" s="1410"/>
      <c r="BC17" s="1410"/>
    </row>
    <row r="18" spans="1:55">
      <c r="A18" s="1896"/>
      <c r="B18" s="1528" t="s">
        <v>261</v>
      </c>
      <c r="C18" s="1533">
        <v>3</v>
      </c>
      <c r="D18" s="1534">
        <v>3</v>
      </c>
      <c r="E18" s="1535">
        <v>0</v>
      </c>
      <c r="F18" s="1536">
        <v>3</v>
      </c>
      <c r="G18" s="1537">
        <v>0</v>
      </c>
      <c r="H18" s="1538">
        <v>0</v>
      </c>
      <c r="I18" s="1539">
        <v>0</v>
      </c>
      <c r="J18" s="1541">
        <v>0</v>
      </c>
      <c r="K18" s="1410"/>
      <c r="L18" s="1410"/>
      <c r="M18" s="1410"/>
      <c r="N18" s="1410"/>
      <c r="O18" s="1410"/>
      <c r="P18" s="1410"/>
      <c r="Q18" s="1410"/>
      <c r="R18" s="1410"/>
      <c r="S18" s="1410"/>
      <c r="T18" s="1410"/>
      <c r="U18" s="1410"/>
      <c r="V18" s="1410"/>
      <c r="W18" s="1410"/>
      <c r="X18" s="1410"/>
      <c r="Y18" s="1410"/>
      <c r="Z18" s="1410"/>
      <c r="AA18" s="1410"/>
      <c r="AB18" s="1410"/>
      <c r="AC18" s="1410"/>
      <c r="AD18" s="1410"/>
      <c r="AE18" s="1410"/>
      <c r="AF18" s="1410"/>
      <c r="AG18" s="1410"/>
      <c r="AH18" s="1410"/>
      <c r="AI18" s="1410"/>
      <c r="AJ18" s="1410"/>
      <c r="AK18" s="1410"/>
      <c r="AL18" s="1410"/>
      <c r="AM18" s="1410"/>
      <c r="AN18" s="1410"/>
      <c r="AO18" s="1410"/>
      <c r="AP18" s="1410"/>
      <c r="AQ18" s="1410"/>
      <c r="AR18" s="1410"/>
      <c r="AS18" s="1410"/>
      <c r="AT18" s="1410"/>
      <c r="AU18" s="1410"/>
      <c r="AV18" s="1410"/>
      <c r="AW18" s="1410"/>
      <c r="AX18" s="1410"/>
      <c r="AY18" s="1410"/>
      <c r="AZ18" s="1410"/>
      <c r="BA18" s="1410"/>
      <c r="BB18" s="1410"/>
      <c r="BC18" s="1410"/>
    </row>
    <row r="19" spans="1:55">
      <c r="A19" s="1897"/>
      <c r="B19" s="1532" t="s">
        <v>289</v>
      </c>
      <c r="C19" s="1542">
        <v>15</v>
      </c>
      <c r="D19" s="1543">
        <v>12</v>
      </c>
      <c r="E19" s="1544">
        <v>3</v>
      </c>
      <c r="F19" s="1545">
        <v>15</v>
      </c>
      <c r="G19" s="1546">
        <v>0</v>
      </c>
      <c r="H19" s="1547">
        <v>0</v>
      </c>
      <c r="I19" s="1548">
        <v>0</v>
      </c>
      <c r="J19" s="1807">
        <v>0</v>
      </c>
      <c r="K19" s="1410"/>
      <c r="L19" s="1410"/>
      <c r="M19" s="1410"/>
      <c r="N19" s="1410"/>
      <c r="O19" s="1410"/>
      <c r="P19" s="1410"/>
      <c r="Q19" s="1410"/>
      <c r="R19" s="1410"/>
      <c r="S19" s="1410"/>
      <c r="T19" s="1410"/>
      <c r="U19" s="1410"/>
      <c r="V19" s="1410"/>
      <c r="W19" s="1410"/>
      <c r="X19" s="1410"/>
      <c r="Y19" s="1410"/>
      <c r="Z19" s="1410"/>
      <c r="AA19" s="1410"/>
      <c r="AB19" s="1410"/>
      <c r="AC19" s="1410"/>
      <c r="AD19" s="1410"/>
      <c r="AE19" s="1410"/>
      <c r="AF19" s="1410"/>
      <c r="AG19" s="1410"/>
      <c r="AH19" s="1410"/>
      <c r="AI19" s="1410"/>
      <c r="AJ19" s="1410"/>
      <c r="AK19" s="1410"/>
      <c r="AL19" s="1410"/>
      <c r="AM19" s="1410"/>
      <c r="AN19" s="1410"/>
      <c r="AO19" s="1410"/>
      <c r="AP19" s="1410"/>
      <c r="AQ19" s="1410"/>
      <c r="AR19" s="1410"/>
      <c r="AS19" s="1410"/>
      <c r="AT19" s="1410"/>
      <c r="AU19" s="1410"/>
      <c r="AV19" s="1410"/>
      <c r="AW19" s="1410"/>
      <c r="AX19" s="1410"/>
      <c r="AY19" s="1410"/>
      <c r="AZ19" s="1410"/>
      <c r="BA19" s="1410"/>
      <c r="BB19" s="1410"/>
      <c r="BC19" s="1410"/>
    </row>
    <row r="20" spans="1:55">
      <c r="A20" s="1564" t="s">
        <v>441</v>
      </c>
      <c r="B20" s="1528" t="s">
        <v>576</v>
      </c>
      <c r="C20" s="1533">
        <v>27</v>
      </c>
      <c r="D20" s="1534">
        <v>6</v>
      </c>
      <c r="E20" s="1535">
        <v>21</v>
      </c>
      <c r="F20" s="1536">
        <v>27</v>
      </c>
      <c r="G20" s="1537">
        <v>3</v>
      </c>
      <c r="H20" s="1538">
        <v>3</v>
      </c>
      <c r="I20" s="1539">
        <v>0</v>
      </c>
      <c r="J20" s="1541">
        <v>3</v>
      </c>
      <c r="K20" s="1410"/>
      <c r="L20" s="1410"/>
      <c r="M20" s="1410"/>
      <c r="N20" s="1410"/>
      <c r="O20" s="1410"/>
      <c r="P20" s="1410"/>
      <c r="Q20" s="1410"/>
      <c r="R20" s="1410"/>
      <c r="S20" s="1410"/>
      <c r="T20" s="1410"/>
      <c r="U20" s="1410"/>
      <c r="V20" s="1410"/>
      <c r="W20" s="1410"/>
      <c r="X20" s="1410"/>
      <c r="Y20" s="1410"/>
      <c r="Z20" s="1410"/>
      <c r="AA20" s="1410"/>
      <c r="AB20" s="1410"/>
      <c r="AC20" s="1410"/>
      <c r="AD20" s="1410"/>
      <c r="AE20" s="1410"/>
      <c r="AF20" s="1410"/>
      <c r="AG20" s="1410"/>
      <c r="AH20" s="1410"/>
      <c r="AI20" s="1410"/>
      <c r="AJ20" s="1410"/>
      <c r="AK20" s="1410"/>
      <c r="AL20" s="1410"/>
      <c r="AM20" s="1410"/>
      <c r="AN20" s="1410"/>
      <c r="AO20" s="1410"/>
      <c r="AP20" s="1410"/>
      <c r="AQ20" s="1410"/>
      <c r="AR20" s="1410"/>
      <c r="AS20" s="1410"/>
      <c r="AT20" s="1410"/>
      <c r="AU20" s="1410"/>
      <c r="AV20" s="1410"/>
      <c r="AW20" s="1410"/>
      <c r="AX20" s="1410"/>
      <c r="AY20" s="1410"/>
      <c r="AZ20" s="1410"/>
      <c r="BA20" s="1410"/>
      <c r="BB20" s="1410"/>
      <c r="BC20" s="1410"/>
    </row>
    <row r="21" spans="1:55">
      <c r="A21" s="1896" t="s">
        <v>441</v>
      </c>
      <c r="B21" s="1528" t="s">
        <v>230</v>
      </c>
      <c r="C21" s="1533">
        <v>18</v>
      </c>
      <c r="D21" s="1534">
        <v>18</v>
      </c>
      <c r="E21" s="1535">
        <v>0</v>
      </c>
      <c r="F21" s="1536">
        <v>18</v>
      </c>
      <c r="G21" s="1537">
        <v>0</v>
      </c>
      <c r="H21" s="1538">
        <v>0</v>
      </c>
      <c r="I21" s="1539">
        <v>0</v>
      </c>
      <c r="J21" s="1541">
        <v>0</v>
      </c>
      <c r="K21" s="1410"/>
      <c r="L21" s="1410"/>
      <c r="M21" s="1410"/>
      <c r="N21" s="1410"/>
      <c r="O21" s="1410"/>
      <c r="P21" s="1410"/>
      <c r="Q21" s="1410"/>
      <c r="R21" s="1410"/>
      <c r="S21" s="1410"/>
      <c r="T21" s="1410"/>
      <c r="U21" s="1410"/>
      <c r="V21" s="1410"/>
      <c r="W21" s="1410"/>
      <c r="X21" s="1410"/>
      <c r="Y21" s="1410"/>
      <c r="Z21" s="1410"/>
      <c r="AA21" s="1410"/>
      <c r="AB21" s="1410"/>
      <c r="AC21" s="1410"/>
      <c r="AD21" s="1410"/>
      <c r="AE21" s="1410"/>
      <c r="AF21" s="1410"/>
      <c r="AG21" s="1410"/>
      <c r="AH21" s="1410"/>
      <c r="AI21" s="1410"/>
      <c r="AJ21" s="1410"/>
      <c r="AK21" s="1410"/>
      <c r="AL21" s="1410"/>
      <c r="AM21" s="1410"/>
      <c r="AN21" s="1410"/>
      <c r="AO21" s="1410"/>
      <c r="AP21" s="1410"/>
      <c r="AQ21" s="1410"/>
      <c r="AR21" s="1410"/>
      <c r="AS21" s="1410"/>
      <c r="AT21" s="1410"/>
      <c r="AU21" s="1410"/>
      <c r="AV21" s="1410"/>
      <c r="AW21" s="1410"/>
      <c r="AX21" s="1410"/>
      <c r="AY21" s="1410"/>
      <c r="AZ21" s="1410"/>
      <c r="BA21" s="1410"/>
      <c r="BB21" s="1410"/>
      <c r="BC21" s="1410"/>
    </row>
    <row r="22" spans="1:55">
      <c r="A22" s="1896" t="s">
        <v>441</v>
      </c>
      <c r="B22" s="1528" t="s">
        <v>247</v>
      </c>
      <c r="C22" s="1537">
        <v>6</v>
      </c>
      <c r="D22" s="1538">
        <v>6</v>
      </c>
      <c r="E22" s="1540">
        <v>0</v>
      </c>
      <c r="F22" s="1541">
        <v>6</v>
      </c>
      <c r="G22" s="1537">
        <v>6</v>
      </c>
      <c r="H22" s="1538">
        <v>6</v>
      </c>
      <c r="I22" s="1539">
        <v>0</v>
      </c>
      <c r="J22" s="1541">
        <v>6</v>
      </c>
      <c r="K22" s="1410"/>
      <c r="L22" s="1410"/>
      <c r="M22" s="1410"/>
      <c r="N22" s="1410"/>
      <c r="O22" s="1410"/>
      <c r="P22" s="1410"/>
      <c r="Q22" s="1410"/>
      <c r="R22" s="1410"/>
      <c r="S22" s="1410"/>
      <c r="T22" s="1410"/>
      <c r="U22" s="1410"/>
      <c r="V22" s="1410"/>
      <c r="W22" s="1410"/>
      <c r="X22" s="1410"/>
      <c r="Y22" s="1410"/>
      <c r="Z22" s="1410"/>
      <c r="AA22" s="1410"/>
      <c r="AB22" s="1410"/>
      <c r="AC22" s="1410"/>
      <c r="AD22" s="1410"/>
      <c r="AE22" s="1410"/>
      <c r="AF22" s="1410"/>
      <c r="AG22" s="1410"/>
      <c r="AH22" s="1410"/>
      <c r="AI22" s="1410"/>
      <c r="AJ22" s="1410"/>
      <c r="AK22" s="1410"/>
      <c r="AL22" s="1410"/>
      <c r="AM22" s="1410"/>
      <c r="AN22" s="1410"/>
      <c r="AO22" s="1410"/>
      <c r="AP22" s="1410"/>
      <c r="AQ22" s="1410"/>
      <c r="AR22" s="1410"/>
      <c r="AS22" s="1410"/>
      <c r="AT22" s="1410"/>
      <c r="AU22" s="1410"/>
      <c r="AV22" s="1410"/>
      <c r="AW22" s="1410"/>
      <c r="AX22" s="1410"/>
      <c r="AY22" s="1410"/>
      <c r="AZ22" s="1410"/>
      <c r="BA22" s="1410"/>
      <c r="BB22" s="1410"/>
      <c r="BC22" s="1410"/>
    </row>
    <row r="23" spans="1:55">
      <c r="A23" s="1896" t="s">
        <v>441</v>
      </c>
      <c r="B23" s="1528" t="s">
        <v>187</v>
      </c>
      <c r="C23" s="1533">
        <v>24</v>
      </c>
      <c r="D23" s="1534">
        <v>21</v>
      </c>
      <c r="E23" s="1535">
        <v>3</v>
      </c>
      <c r="F23" s="1536">
        <v>21</v>
      </c>
      <c r="G23" s="1537">
        <v>0</v>
      </c>
      <c r="H23" s="1538">
        <v>0</v>
      </c>
      <c r="I23" s="1539">
        <v>0</v>
      </c>
      <c r="J23" s="1541">
        <v>0</v>
      </c>
      <c r="K23" s="1410"/>
      <c r="L23" s="1410"/>
      <c r="M23" s="1410"/>
      <c r="N23" s="1410"/>
      <c r="O23" s="1410"/>
      <c r="P23" s="1410"/>
      <c r="Q23" s="1410"/>
      <c r="R23" s="1410"/>
      <c r="S23" s="1410"/>
      <c r="T23" s="1410"/>
      <c r="U23" s="1410"/>
      <c r="V23" s="1410"/>
      <c r="W23" s="1410"/>
      <c r="X23" s="1410"/>
      <c r="Y23" s="1410"/>
      <c r="Z23" s="1410"/>
      <c r="AA23" s="1410"/>
      <c r="AB23" s="1410"/>
      <c r="AC23" s="1410"/>
      <c r="AD23" s="1410"/>
      <c r="AE23" s="1410"/>
      <c r="AF23" s="1410"/>
      <c r="AG23" s="1410"/>
      <c r="AH23" s="1410"/>
      <c r="AI23" s="1410"/>
      <c r="AJ23" s="1410"/>
      <c r="AK23" s="1410"/>
      <c r="AL23" s="1410"/>
      <c r="AM23" s="1410"/>
      <c r="AN23" s="1410"/>
      <c r="AO23" s="1410"/>
      <c r="AP23" s="1410"/>
      <c r="AQ23" s="1410"/>
      <c r="AR23" s="1410"/>
      <c r="AS23" s="1410"/>
      <c r="AT23" s="1410"/>
      <c r="AU23" s="1410"/>
      <c r="AV23" s="1410"/>
      <c r="AW23" s="1410"/>
      <c r="AX23" s="1410"/>
      <c r="AY23" s="1410"/>
      <c r="AZ23" s="1410"/>
      <c r="BA23" s="1410"/>
      <c r="BB23" s="1410"/>
      <c r="BC23" s="1410"/>
    </row>
    <row r="24" spans="1:55">
      <c r="A24" s="1896" t="s">
        <v>441</v>
      </c>
      <c r="B24" s="1565" t="s">
        <v>265</v>
      </c>
      <c r="C24" s="1533">
        <v>6</v>
      </c>
      <c r="D24" s="1534">
        <v>6</v>
      </c>
      <c r="E24" s="1535">
        <v>0</v>
      </c>
      <c r="F24" s="1536">
        <v>6</v>
      </c>
      <c r="G24" s="1537">
        <v>3</v>
      </c>
      <c r="H24" s="1538">
        <v>3</v>
      </c>
      <c r="I24" s="1539">
        <v>0</v>
      </c>
      <c r="J24" s="1541">
        <v>3</v>
      </c>
      <c r="K24" s="1410"/>
      <c r="L24" s="1410"/>
      <c r="M24" s="1410"/>
      <c r="N24" s="1410"/>
      <c r="O24" s="1410"/>
      <c r="P24" s="1410"/>
      <c r="Q24" s="1410"/>
      <c r="R24" s="1410"/>
      <c r="S24" s="1410"/>
      <c r="T24" s="1410"/>
      <c r="U24" s="1410"/>
      <c r="V24" s="1410"/>
      <c r="W24" s="1410"/>
      <c r="X24" s="1410"/>
      <c r="Y24" s="1410"/>
      <c r="Z24" s="1410"/>
      <c r="AA24" s="1410"/>
      <c r="AB24" s="1410"/>
      <c r="AC24" s="1410"/>
      <c r="AD24" s="1410"/>
      <c r="AE24" s="1410"/>
      <c r="AF24" s="1410"/>
      <c r="AG24" s="1410"/>
      <c r="AH24" s="1410"/>
      <c r="AI24" s="1410"/>
      <c r="AJ24" s="1410"/>
      <c r="AK24" s="1410"/>
      <c r="AL24" s="1410"/>
      <c r="AM24" s="1410"/>
      <c r="AN24" s="1410"/>
      <c r="AO24" s="1410"/>
      <c r="AP24" s="1410"/>
      <c r="AQ24" s="1410"/>
      <c r="AR24" s="1410"/>
      <c r="AS24" s="1410"/>
      <c r="AT24" s="1410"/>
      <c r="AU24" s="1410"/>
      <c r="AV24" s="1410"/>
      <c r="AW24" s="1410"/>
      <c r="AX24" s="1410"/>
      <c r="AY24" s="1410"/>
      <c r="AZ24" s="1410"/>
      <c r="BA24" s="1410"/>
      <c r="BB24" s="1410"/>
      <c r="BC24" s="1410"/>
    </row>
    <row r="25" spans="1:55">
      <c r="A25" s="1896" t="s">
        <v>441</v>
      </c>
      <c r="B25" s="1528" t="s">
        <v>233</v>
      </c>
      <c r="C25" s="1533">
        <v>12</v>
      </c>
      <c r="D25" s="1534">
        <v>9</v>
      </c>
      <c r="E25" s="1535">
        <v>0</v>
      </c>
      <c r="F25" s="1536">
        <v>9</v>
      </c>
      <c r="G25" s="1537">
        <v>0</v>
      </c>
      <c r="H25" s="1538">
        <v>0</v>
      </c>
      <c r="I25" s="1539">
        <v>0</v>
      </c>
      <c r="J25" s="1541">
        <v>0</v>
      </c>
      <c r="K25" s="1410"/>
      <c r="L25" s="1410"/>
      <c r="M25" s="1410"/>
      <c r="N25" s="1410"/>
      <c r="O25" s="1410"/>
      <c r="P25" s="1410"/>
      <c r="Q25" s="1410"/>
      <c r="R25" s="1410"/>
      <c r="S25" s="1410"/>
      <c r="T25" s="1410"/>
      <c r="U25" s="1410"/>
      <c r="V25" s="1410"/>
      <c r="W25" s="1410"/>
      <c r="X25" s="1410"/>
      <c r="Y25" s="1410"/>
      <c r="Z25" s="1410"/>
      <c r="AA25" s="1410"/>
      <c r="AB25" s="1410"/>
      <c r="AC25" s="1410"/>
      <c r="AD25" s="1410"/>
      <c r="AE25" s="1410"/>
      <c r="AF25" s="1410"/>
      <c r="AG25" s="1410"/>
      <c r="AH25" s="1410"/>
      <c r="AI25" s="1410"/>
      <c r="AJ25" s="1410"/>
      <c r="AK25" s="1410"/>
      <c r="AL25" s="1410"/>
      <c r="AM25" s="1410"/>
      <c r="AN25" s="1410"/>
      <c r="AO25" s="1410"/>
      <c r="AP25" s="1410"/>
      <c r="AQ25" s="1410"/>
      <c r="AR25" s="1410"/>
      <c r="AS25" s="1410"/>
      <c r="AT25" s="1410"/>
      <c r="AU25" s="1410"/>
      <c r="AV25" s="1410"/>
      <c r="AW25" s="1410"/>
      <c r="AX25" s="1410"/>
      <c r="AY25" s="1410"/>
      <c r="AZ25" s="1410"/>
      <c r="BA25" s="1410"/>
      <c r="BB25" s="1410"/>
      <c r="BC25" s="1410"/>
    </row>
    <row r="26" spans="1:55">
      <c r="A26" s="1896" t="s">
        <v>441</v>
      </c>
      <c r="B26" s="1565" t="s">
        <v>235</v>
      </c>
      <c r="C26" s="1533">
        <v>6</v>
      </c>
      <c r="D26" s="1534">
        <v>6</v>
      </c>
      <c r="E26" s="1535">
        <v>0</v>
      </c>
      <c r="F26" s="1536">
        <v>6</v>
      </c>
      <c r="G26" s="1537">
        <v>0</v>
      </c>
      <c r="H26" s="1538">
        <v>0</v>
      </c>
      <c r="I26" s="1539">
        <v>0</v>
      </c>
      <c r="J26" s="1541">
        <v>0</v>
      </c>
      <c r="K26" s="1410"/>
      <c r="L26" s="1410"/>
      <c r="M26" s="1410"/>
      <c r="N26" s="1410"/>
      <c r="O26" s="1410"/>
      <c r="P26" s="1410"/>
      <c r="Q26" s="1410"/>
      <c r="R26" s="1410"/>
      <c r="S26" s="1410"/>
      <c r="T26" s="1410"/>
      <c r="U26" s="1410"/>
      <c r="V26" s="1410"/>
      <c r="W26" s="1410"/>
      <c r="X26" s="1410"/>
      <c r="Y26" s="1410"/>
      <c r="Z26" s="1410"/>
      <c r="AA26" s="1410"/>
      <c r="AB26" s="1410"/>
      <c r="AC26" s="1410"/>
      <c r="AD26" s="1410"/>
      <c r="AE26" s="1410"/>
      <c r="AF26" s="1410"/>
      <c r="AG26" s="1410"/>
      <c r="AH26" s="1410"/>
      <c r="AI26" s="1410"/>
      <c r="AJ26" s="1410"/>
      <c r="AK26" s="1410"/>
      <c r="AL26" s="1410"/>
      <c r="AM26" s="1410"/>
      <c r="AN26" s="1410"/>
      <c r="AO26" s="1410"/>
      <c r="AP26" s="1410"/>
      <c r="AQ26" s="1410"/>
      <c r="AR26" s="1410"/>
      <c r="AS26" s="1410"/>
      <c r="AT26" s="1410"/>
      <c r="AU26" s="1410"/>
      <c r="AV26" s="1410"/>
      <c r="AW26" s="1410"/>
      <c r="AX26" s="1410"/>
      <c r="AY26" s="1410"/>
      <c r="AZ26" s="1410"/>
      <c r="BA26" s="1410"/>
      <c r="BB26" s="1410"/>
      <c r="BC26" s="1410"/>
    </row>
    <row r="27" spans="1:55">
      <c r="A27" s="1896" t="s">
        <v>441</v>
      </c>
      <c r="B27" s="1528" t="s">
        <v>260</v>
      </c>
      <c r="C27" s="1533">
        <v>159</v>
      </c>
      <c r="D27" s="1534">
        <v>147</v>
      </c>
      <c r="E27" s="1535">
        <v>12</v>
      </c>
      <c r="F27" s="1536">
        <v>105</v>
      </c>
      <c r="G27" s="1537">
        <v>24</v>
      </c>
      <c r="H27" s="1538">
        <v>24</v>
      </c>
      <c r="I27" s="1539">
        <v>0</v>
      </c>
      <c r="J27" s="1541">
        <v>18</v>
      </c>
      <c r="K27" s="1410"/>
      <c r="L27" s="1410"/>
      <c r="M27" s="1410"/>
      <c r="N27" s="1410"/>
      <c r="O27" s="1410"/>
      <c r="P27" s="1410"/>
      <c r="Q27" s="1410"/>
      <c r="R27" s="1410"/>
      <c r="S27" s="1410"/>
      <c r="T27" s="1410"/>
      <c r="U27" s="1410"/>
      <c r="V27" s="1410"/>
      <c r="W27" s="1410"/>
      <c r="X27" s="1410"/>
      <c r="Y27" s="1410"/>
      <c r="Z27" s="1410"/>
      <c r="AA27" s="1410"/>
      <c r="AB27" s="1410"/>
      <c r="AC27" s="1410"/>
      <c r="AD27" s="1410"/>
      <c r="AE27" s="1410"/>
      <c r="AF27" s="1410"/>
      <c r="AG27" s="1410"/>
      <c r="AH27" s="1410"/>
      <c r="AI27" s="1410"/>
      <c r="AJ27" s="1410"/>
      <c r="AK27" s="1410"/>
      <c r="AL27" s="1410"/>
      <c r="AM27" s="1410"/>
      <c r="AN27" s="1410"/>
      <c r="AO27" s="1410"/>
      <c r="AP27" s="1410"/>
      <c r="AQ27" s="1410"/>
      <c r="AR27" s="1410"/>
      <c r="AS27" s="1410"/>
      <c r="AT27" s="1410"/>
      <c r="AU27" s="1410"/>
      <c r="AV27" s="1410"/>
      <c r="AW27" s="1410"/>
      <c r="AX27" s="1410"/>
      <c r="AY27" s="1410"/>
      <c r="AZ27" s="1410"/>
      <c r="BA27" s="1410"/>
      <c r="BB27" s="1410"/>
      <c r="BC27" s="1410"/>
    </row>
    <row r="28" spans="1:55">
      <c r="A28" s="1896" t="s">
        <v>441</v>
      </c>
      <c r="B28" s="1528" t="s">
        <v>237</v>
      </c>
      <c r="C28" s="1537">
        <v>12</v>
      </c>
      <c r="D28" s="1538">
        <v>6</v>
      </c>
      <c r="E28" s="1540">
        <v>6</v>
      </c>
      <c r="F28" s="1541">
        <v>9</v>
      </c>
      <c r="G28" s="1537">
        <v>0</v>
      </c>
      <c r="H28" s="1538">
        <v>0</v>
      </c>
      <c r="I28" s="1539">
        <v>0</v>
      </c>
      <c r="J28" s="1541">
        <v>0</v>
      </c>
      <c r="K28" s="1410"/>
      <c r="L28" s="1410"/>
      <c r="M28" s="1410"/>
      <c r="N28" s="1410"/>
      <c r="O28" s="1410"/>
      <c r="P28" s="1410"/>
      <c r="Q28" s="1410"/>
      <c r="R28" s="1410"/>
      <c r="S28" s="1410"/>
      <c r="T28" s="1410"/>
      <c r="U28" s="1410"/>
      <c r="V28" s="1410"/>
      <c r="W28" s="1410"/>
      <c r="X28" s="1410"/>
      <c r="Y28" s="1410"/>
      <c r="Z28" s="1410"/>
      <c r="AA28" s="1410"/>
      <c r="AB28" s="1410"/>
      <c r="AC28" s="1410"/>
      <c r="AD28" s="1410"/>
      <c r="AE28" s="1410"/>
      <c r="AF28" s="1410"/>
      <c r="AG28" s="1410"/>
      <c r="AH28" s="1410"/>
      <c r="AI28" s="1410"/>
      <c r="AJ28" s="1410"/>
      <c r="AK28" s="1410"/>
      <c r="AL28" s="1410"/>
      <c r="AM28" s="1410"/>
      <c r="AN28" s="1410"/>
      <c r="AO28" s="1410"/>
      <c r="AP28" s="1410"/>
      <c r="AQ28" s="1410"/>
      <c r="AR28" s="1410"/>
      <c r="AS28" s="1410"/>
      <c r="AT28" s="1410"/>
      <c r="AU28" s="1410"/>
      <c r="AV28" s="1410"/>
      <c r="AW28" s="1410"/>
      <c r="AX28" s="1410"/>
      <c r="AY28" s="1410"/>
      <c r="AZ28" s="1410"/>
      <c r="BA28" s="1410"/>
      <c r="BB28" s="1410"/>
      <c r="BC28" s="1410"/>
    </row>
    <row r="29" spans="1:55">
      <c r="A29" s="1896" t="s">
        <v>441</v>
      </c>
      <c r="B29" s="1528" t="s">
        <v>261</v>
      </c>
      <c r="C29" s="1533">
        <v>6</v>
      </c>
      <c r="D29" s="1534">
        <v>6</v>
      </c>
      <c r="E29" s="1535">
        <v>0</v>
      </c>
      <c r="F29" s="1536">
        <v>6</v>
      </c>
      <c r="G29" s="1537">
        <v>0</v>
      </c>
      <c r="H29" s="1538">
        <v>0</v>
      </c>
      <c r="I29" s="1539">
        <v>0</v>
      </c>
      <c r="J29" s="1541">
        <v>0</v>
      </c>
      <c r="K29" s="1410"/>
      <c r="L29" s="1410"/>
      <c r="M29" s="1410"/>
      <c r="N29" s="1410"/>
      <c r="O29" s="1410"/>
      <c r="P29" s="1410"/>
      <c r="Q29" s="1410"/>
      <c r="R29" s="1410"/>
      <c r="S29" s="1410"/>
      <c r="T29" s="1410"/>
      <c r="U29" s="1410"/>
      <c r="V29" s="1410"/>
      <c r="W29" s="1410"/>
      <c r="X29" s="1410"/>
      <c r="Y29" s="1410"/>
      <c r="Z29" s="1410"/>
      <c r="AA29" s="1410"/>
      <c r="AB29" s="1410"/>
      <c r="AC29" s="1410"/>
      <c r="AD29" s="1410"/>
      <c r="AE29" s="1410"/>
      <c r="AF29" s="1410"/>
      <c r="AG29" s="1410"/>
      <c r="AH29" s="1410"/>
      <c r="AI29" s="1410"/>
      <c r="AJ29" s="1410"/>
      <c r="AK29" s="1410"/>
      <c r="AL29" s="1410"/>
      <c r="AM29" s="1410"/>
      <c r="AN29" s="1410"/>
      <c r="AO29" s="1410"/>
      <c r="AP29" s="1410"/>
      <c r="AQ29" s="1410"/>
      <c r="AR29" s="1410"/>
      <c r="AS29" s="1410"/>
      <c r="AT29" s="1410"/>
      <c r="AU29" s="1410"/>
      <c r="AV29" s="1410"/>
      <c r="AW29" s="1410"/>
      <c r="AX29" s="1410"/>
      <c r="AY29" s="1410"/>
      <c r="AZ29" s="1410"/>
      <c r="BA29" s="1410"/>
      <c r="BB29" s="1410"/>
      <c r="BC29" s="1410"/>
    </row>
    <row r="30" spans="1:55">
      <c r="A30" s="1812" t="s">
        <v>442</v>
      </c>
      <c r="B30" s="1809" t="s">
        <v>247</v>
      </c>
      <c r="C30" s="1556">
        <v>0</v>
      </c>
      <c r="D30" s="1557">
        <v>0</v>
      </c>
      <c r="E30" s="1558">
        <v>0</v>
      </c>
      <c r="F30" s="1559">
        <v>0</v>
      </c>
      <c r="G30" s="1560">
        <v>0</v>
      </c>
      <c r="H30" s="1561">
        <v>0</v>
      </c>
      <c r="I30" s="1562">
        <v>0</v>
      </c>
      <c r="J30" s="1898">
        <v>0</v>
      </c>
      <c r="K30" s="1410"/>
      <c r="L30" s="1410"/>
      <c r="M30" s="1410"/>
      <c r="N30" s="1410"/>
      <c r="O30" s="1410"/>
      <c r="P30" s="1410"/>
      <c r="Q30" s="1410"/>
      <c r="R30" s="1410"/>
      <c r="S30" s="1410"/>
      <c r="T30" s="1410"/>
      <c r="U30" s="1410"/>
      <c r="V30" s="1410"/>
      <c r="W30" s="1410"/>
      <c r="X30" s="1410"/>
      <c r="Y30" s="1410"/>
      <c r="Z30" s="1410"/>
      <c r="AA30" s="1410"/>
      <c r="AB30" s="1410"/>
      <c r="AC30" s="1410"/>
      <c r="AD30" s="1410"/>
      <c r="AE30" s="1410"/>
      <c r="AF30" s="1410"/>
      <c r="AG30" s="1410"/>
      <c r="AH30" s="1410"/>
      <c r="AI30" s="1410"/>
      <c r="AJ30" s="1410"/>
      <c r="AK30" s="1410"/>
      <c r="AL30" s="1410"/>
      <c r="AM30" s="1410"/>
      <c r="AN30" s="1410"/>
      <c r="AO30" s="1410"/>
      <c r="AP30" s="1410"/>
      <c r="AQ30" s="1410"/>
      <c r="AR30" s="1410"/>
      <c r="AS30" s="1410"/>
      <c r="AT30" s="1410"/>
      <c r="AU30" s="1410"/>
      <c r="AV30" s="1410"/>
      <c r="AW30" s="1410"/>
      <c r="AX30" s="1410"/>
      <c r="AY30" s="1410"/>
      <c r="AZ30" s="1410"/>
      <c r="BA30" s="1410"/>
      <c r="BB30" s="1410"/>
      <c r="BC30" s="1410"/>
    </row>
    <row r="31" spans="1:55">
      <c r="A31" s="1563" t="s">
        <v>443</v>
      </c>
      <c r="B31" s="1810" t="s">
        <v>231</v>
      </c>
      <c r="C31" s="1763">
        <v>6</v>
      </c>
      <c r="D31" s="1779">
        <v>6</v>
      </c>
      <c r="E31" s="1780">
        <v>0</v>
      </c>
      <c r="F31" s="1781">
        <v>6</v>
      </c>
      <c r="G31" s="1782">
        <v>6</v>
      </c>
      <c r="H31" s="1783">
        <v>6</v>
      </c>
      <c r="I31" s="1784">
        <v>0</v>
      </c>
      <c r="J31" s="1899">
        <v>6</v>
      </c>
      <c r="K31" s="1410"/>
      <c r="L31" s="1410"/>
      <c r="M31" s="1410"/>
      <c r="N31" s="1410"/>
      <c r="O31" s="1410"/>
      <c r="P31" s="1410"/>
      <c r="Q31" s="1410"/>
      <c r="R31" s="1410"/>
      <c r="S31" s="1410"/>
      <c r="T31" s="1410"/>
      <c r="U31" s="1410"/>
      <c r="V31" s="1410"/>
      <c r="W31" s="1410"/>
      <c r="X31" s="1410"/>
      <c r="Y31" s="1410"/>
      <c r="Z31" s="1410"/>
      <c r="AA31" s="1410"/>
      <c r="AB31" s="1410"/>
      <c r="AC31" s="1410"/>
      <c r="AD31" s="1410"/>
      <c r="AE31" s="1410"/>
      <c r="AF31" s="1410"/>
      <c r="AG31" s="1410"/>
      <c r="AH31" s="1410"/>
      <c r="AI31" s="1410"/>
      <c r="AJ31" s="1410"/>
      <c r="AK31" s="1410"/>
      <c r="AL31" s="1410"/>
      <c r="AM31" s="1410"/>
      <c r="AN31" s="1410"/>
      <c r="AO31" s="1410"/>
      <c r="AP31" s="1410"/>
      <c r="AQ31" s="1410"/>
      <c r="AR31" s="1410"/>
      <c r="AS31" s="1410"/>
      <c r="AT31" s="1410"/>
      <c r="AU31" s="1410"/>
      <c r="AV31" s="1410"/>
      <c r="AW31" s="1410"/>
      <c r="AX31" s="1410"/>
      <c r="AY31" s="1410"/>
      <c r="AZ31" s="1410"/>
      <c r="BA31" s="1410"/>
      <c r="BB31" s="1410"/>
      <c r="BC31" s="1410"/>
    </row>
    <row r="32" spans="1:55">
      <c r="A32" s="1896" t="s">
        <v>444</v>
      </c>
      <c r="B32" s="1528" t="s">
        <v>248</v>
      </c>
      <c r="C32" s="1533">
        <v>15</v>
      </c>
      <c r="D32" s="1534">
        <v>12</v>
      </c>
      <c r="E32" s="1535">
        <v>3</v>
      </c>
      <c r="F32" s="1536">
        <v>9</v>
      </c>
      <c r="G32" s="1537">
        <v>3</v>
      </c>
      <c r="H32" s="1538">
        <v>0</v>
      </c>
      <c r="I32" s="1539">
        <v>0</v>
      </c>
      <c r="J32" s="1541">
        <v>3</v>
      </c>
      <c r="K32" s="1410"/>
      <c r="L32" s="1410"/>
      <c r="M32" s="1410"/>
      <c r="N32" s="1410"/>
      <c r="O32" s="1410"/>
      <c r="P32" s="1410"/>
      <c r="Q32" s="1410"/>
      <c r="R32" s="1410"/>
      <c r="S32" s="1410"/>
      <c r="T32" s="1410"/>
      <c r="U32" s="1410"/>
      <c r="V32" s="1410"/>
      <c r="W32" s="1410"/>
      <c r="X32" s="1410"/>
      <c r="Y32" s="1410"/>
      <c r="Z32" s="1410"/>
      <c r="AA32" s="1410"/>
      <c r="AB32" s="1410"/>
      <c r="AC32" s="1410"/>
      <c r="AD32" s="1410"/>
      <c r="AE32" s="1410"/>
      <c r="AF32" s="1410"/>
      <c r="AG32" s="1410"/>
      <c r="AH32" s="1410"/>
      <c r="AI32" s="1410"/>
      <c r="AJ32" s="1410"/>
      <c r="AK32" s="1410"/>
      <c r="AL32" s="1410"/>
      <c r="AM32" s="1410"/>
      <c r="AN32" s="1410"/>
      <c r="AO32" s="1410"/>
      <c r="AP32" s="1410"/>
      <c r="AQ32" s="1410"/>
      <c r="AR32" s="1410"/>
      <c r="AS32" s="1410"/>
      <c r="AT32" s="1410"/>
      <c r="AU32" s="1410"/>
      <c r="AV32" s="1410"/>
      <c r="AW32" s="1410"/>
      <c r="AX32" s="1410"/>
      <c r="AY32" s="1410"/>
      <c r="AZ32" s="1410"/>
      <c r="BA32" s="1410"/>
      <c r="BB32" s="1410"/>
      <c r="BC32" s="1410"/>
    </row>
    <row r="33" spans="1:55">
      <c r="A33" s="1896" t="s">
        <v>444</v>
      </c>
      <c r="B33" s="1528" t="s">
        <v>234</v>
      </c>
      <c r="C33" s="1537">
        <v>12</v>
      </c>
      <c r="D33" s="1538">
        <v>12</v>
      </c>
      <c r="E33" s="1540">
        <v>0</v>
      </c>
      <c r="F33" s="1541">
        <v>12</v>
      </c>
      <c r="G33" s="1537">
        <v>0</v>
      </c>
      <c r="H33" s="1538">
        <v>0</v>
      </c>
      <c r="I33" s="1539">
        <v>0</v>
      </c>
      <c r="J33" s="1541">
        <v>0</v>
      </c>
      <c r="K33" s="1410"/>
      <c r="L33" s="1410"/>
      <c r="M33" s="1410"/>
      <c r="N33" s="1410"/>
      <c r="O33" s="1410"/>
      <c r="P33" s="1410"/>
      <c r="Q33" s="1410"/>
      <c r="R33" s="1410"/>
      <c r="S33" s="1410"/>
      <c r="T33" s="1410"/>
      <c r="U33" s="1410"/>
      <c r="V33" s="1410"/>
      <c r="W33" s="1410"/>
      <c r="X33" s="1410"/>
      <c r="Y33" s="1410"/>
      <c r="Z33" s="1410"/>
      <c r="AA33" s="1410"/>
      <c r="AB33" s="1410"/>
      <c r="AC33" s="1410"/>
      <c r="AD33" s="1410"/>
      <c r="AE33" s="1410"/>
      <c r="AF33" s="1410"/>
      <c r="AG33" s="1410"/>
      <c r="AH33" s="1410"/>
      <c r="AI33" s="1410"/>
      <c r="AJ33" s="1410"/>
      <c r="AK33" s="1410"/>
      <c r="AL33" s="1410"/>
      <c r="AM33" s="1410"/>
      <c r="AN33" s="1410"/>
      <c r="AO33" s="1410"/>
      <c r="AP33" s="1410"/>
      <c r="AQ33" s="1410"/>
      <c r="AR33" s="1410"/>
      <c r="AS33" s="1410"/>
      <c r="AT33" s="1410"/>
      <c r="AU33" s="1410"/>
      <c r="AV33" s="1410"/>
      <c r="AW33" s="1410"/>
      <c r="AX33" s="1410"/>
      <c r="AY33" s="1410"/>
      <c r="AZ33" s="1410"/>
      <c r="BA33" s="1410"/>
      <c r="BB33" s="1410"/>
      <c r="BC33" s="1410"/>
    </row>
    <row r="34" spans="1:55">
      <c r="A34" s="1896" t="s">
        <v>444</v>
      </c>
      <c r="B34" s="1528" t="s">
        <v>236</v>
      </c>
      <c r="C34" s="1533">
        <v>15</v>
      </c>
      <c r="D34" s="1534">
        <v>12</v>
      </c>
      <c r="E34" s="1535">
        <v>3</v>
      </c>
      <c r="F34" s="1536">
        <v>12</v>
      </c>
      <c r="G34" s="1537">
        <v>0</v>
      </c>
      <c r="H34" s="1538">
        <v>0</v>
      </c>
      <c r="I34" s="1539">
        <v>0</v>
      </c>
      <c r="J34" s="1541">
        <v>0</v>
      </c>
      <c r="K34" s="1410"/>
      <c r="L34" s="1410"/>
      <c r="M34" s="1410"/>
      <c r="N34" s="1410"/>
      <c r="O34" s="1410"/>
      <c r="P34" s="1410"/>
      <c r="Q34" s="1410"/>
      <c r="R34" s="1410"/>
      <c r="S34" s="1410"/>
      <c r="T34" s="1410"/>
      <c r="U34" s="1410"/>
      <c r="V34" s="1410"/>
      <c r="W34" s="1410"/>
      <c r="X34" s="1410"/>
      <c r="Y34" s="1410"/>
      <c r="Z34" s="1410"/>
      <c r="AA34" s="1410"/>
      <c r="AB34" s="1410"/>
      <c r="AC34" s="1410"/>
      <c r="AD34" s="1410"/>
      <c r="AE34" s="1410"/>
      <c r="AF34" s="1410"/>
      <c r="AG34" s="1410"/>
      <c r="AH34" s="1410"/>
      <c r="AI34" s="1410"/>
      <c r="AJ34" s="1410"/>
      <c r="AK34" s="1410"/>
      <c r="AL34" s="1410"/>
      <c r="AM34" s="1410"/>
      <c r="AN34" s="1410"/>
      <c r="AO34" s="1410"/>
      <c r="AP34" s="1410"/>
      <c r="AQ34" s="1410"/>
      <c r="AR34" s="1410"/>
      <c r="AS34" s="1410"/>
      <c r="AT34" s="1410"/>
      <c r="AU34" s="1410"/>
      <c r="AV34" s="1410"/>
      <c r="AW34" s="1410"/>
      <c r="AX34" s="1410"/>
      <c r="AY34" s="1410"/>
      <c r="AZ34" s="1410"/>
      <c r="BA34" s="1410"/>
      <c r="BB34" s="1410"/>
      <c r="BC34" s="1410"/>
    </row>
    <row r="35" spans="1:55">
      <c r="A35" s="1897" t="s">
        <v>444</v>
      </c>
      <c r="B35" s="1532" t="s">
        <v>261</v>
      </c>
      <c r="C35" s="1542">
        <v>3</v>
      </c>
      <c r="D35" s="1543">
        <v>3</v>
      </c>
      <c r="E35" s="1544">
        <v>0</v>
      </c>
      <c r="F35" s="1545">
        <v>0</v>
      </c>
      <c r="G35" s="1546">
        <v>3</v>
      </c>
      <c r="H35" s="1547">
        <v>3</v>
      </c>
      <c r="I35" s="1548">
        <v>0</v>
      </c>
      <c r="J35" s="1807">
        <v>0</v>
      </c>
      <c r="K35" s="1410"/>
      <c r="L35" s="1410"/>
      <c r="M35" s="1410"/>
      <c r="N35" s="1410"/>
      <c r="O35" s="1410"/>
      <c r="P35" s="1410"/>
      <c r="Q35" s="1410"/>
      <c r="R35" s="1410"/>
      <c r="S35" s="1410"/>
      <c r="T35" s="1410"/>
      <c r="U35" s="1410"/>
      <c r="V35" s="1410"/>
      <c r="W35" s="1410"/>
      <c r="X35" s="1410"/>
      <c r="Y35" s="1410"/>
      <c r="Z35" s="1410"/>
      <c r="AA35" s="1410"/>
      <c r="AB35" s="1410"/>
      <c r="AC35" s="1410"/>
      <c r="AD35" s="1410"/>
      <c r="AE35" s="1410"/>
      <c r="AF35" s="1410"/>
      <c r="AG35" s="1410"/>
      <c r="AH35" s="1410"/>
      <c r="AI35" s="1410"/>
      <c r="AJ35" s="1410"/>
      <c r="AK35" s="1410"/>
      <c r="AL35" s="1410"/>
      <c r="AM35" s="1410"/>
      <c r="AN35" s="1410"/>
      <c r="AO35" s="1410"/>
      <c r="AP35" s="1410"/>
      <c r="AQ35" s="1410"/>
      <c r="AR35" s="1410"/>
      <c r="AS35" s="1410"/>
      <c r="AT35" s="1410"/>
      <c r="AU35" s="1410"/>
      <c r="AV35" s="1410"/>
      <c r="AW35" s="1410"/>
      <c r="AX35" s="1410"/>
      <c r="AY35" s="1410"/>
      <c r="AZ35" s="1410"/>
      <c r="BA35" s="1410"/>
      <c r="BB35" s="1410"/>
      <c r="BC35" s="1410"/>
    </row>
    <row r="36" spans="1:55">
      <c r="A36" s="1563" t="s">
        <v>444</v>
      </c>
      <c r="B36" s="1528" t="s">
        <v>231</v>
      </c>
      <c r="C36" s="1533">
        <v>33</v>
      </c>
      <c r="D36" s="1534">
        <v>30</v>
      </c>
      <c r="E36" s="1535">
        <v>3</v>
      </c>
      <c r="F36" s="1536">
        <v>33</v>
      </c>
      <c r="G36" s="1537">
        <v>0</v>
      </c>
      <c r="H36" s="1538">
        <v>0</v>
      </c>
      <c r="I36" s="1539">
        <v>0</v>
      </c>
      <c r="J36" s="1541">
        <v>0</v>
      </c>
      <c r="K36" s="1410"/>
      <c r="L36" s="1410"/>
      <c r="M36" s="1410"/>
      <c r="N36" s="1410"/>
      <c r="O36" s="1410"/>
      <c r="P36" s="1410"/>
      <c r="Q36" s="1410"/>
      <c r="R36" s="1410"/>
      <c r="S36" s="1410"/>
      <c r="T36" s="1410"/>
      <c r="U36" s="1410"/>
      <c r="V36" s="1410"/>
      <c r="W36" s="1410"/>
      <c r="X36" s="1410"/>
      <c r="Y36" s="1410"/>
      <c r="Z36" s="1410"/>
      <c r="AA36" s="1410"/>
      <c r="AB36" s="1410"/>
      <c r="AC36" s="1410"/>
      <c r="AD36" s="1410"/>
      <c r="AE36" s="1410"/>
      <c r="AF36" s="1410"/>
      <c r="AG36" s="1410"/>
      <c r="AH36" s="1410"/>
      <c r="AI36" s="1410"/>
      <c r="AJ36" s="1410"/>
      <c r="AK36" s="1410"/>
      <c r="AL36" s="1410"/>
      <c r="AM36" s="1410"/>
      <c r="AN36" s="1410"/>
      <c r="AO36" s="1410"/>
      <c r="AP36" s="1410"/>
      <c r="AQ36" s="1410"/>
      <c r="AR36" s="1410"/>
      <c r="AS36" s="1410"/>
      <c r="AT36" s="1410"/>
      <c r="AU36" s="1410"/>
      <c r="AV36" s="1410"/>
      <c r="AW36" s="1410"/>
      <c r="AX36" s="1410"/>
      <c r="AY36" s="1410"/>
      <c r="AZ36" s="1410"/>
      <c r="BA36" s="1410"/>
      <c r="BB36" s="1410"/>
      <c r="BC36" s="1410"/>
    </row>
    <row r="37" spans="1:55">
      <c r="A37" s="1896" t="s">
        <v>444</v>
      </c>
      <c r="B37" s="1528" t="s">
        <v>574</v>
      </c>
      <c r="C37" s="1533">
        <v>6</v>
      </c>
      <c r="D37" s="1534">
        <v>0</v>
      </c>
      <c r="E37" s="1535">
        <v>6</v>
      </c>
      <c r="F37" s="1536">
        <v>3</v>
      </c>
      <c r="G37" s="1537">
        <v>0</v>
      </c>
      <c r="H37" s="1538">
        <v>0</v>
      </c>
      <c r="I37" s="1539">
        <v>0</v>
      </c>
      <c r="J37" s="1541">
        <v>0</v>
      </c>
      <c r="K37" s="1410"/>
      <c r="L37" s="1410"/>
      <c r="M37" s="1410"/>
      <c r="N37" s="1410"/>
      <c r="O37" s="1410"/>
      <c r="P37" s="1410"/>
      <c r="Q37" s="1410"/>
      <c r="R37" s="1410"/>
      <c r="S37" s="1410"/>
      <c r="T37" s="1410"/>
      <c r="U37" s="1410"/>
      <c r="V37" s="1410"/>
      <c r="W37" s="1410"/>
      <c r="X37" s="1410"/>
      <c r="Y37" s="1410"/>
      <c r="Z37" s="1410"/>
      <c r="AA37" s="1410"/>
      <c r="AB37" s="1410"/>
      <c r="AC37" s="1410"/>
      <c r="AD37" s="1410"/>
      <c r="AE37" s="1410"/>
      <c r="AF37" s="1410"/>
      <c r="AG37" s="1410"/>
      <c r="AH37" s="1410"/>
      <c r="AI37" s="1410"/>
      <c r="AJ37" s="1410"/>
      <c r="AK37" s="1410"/>
      <c r="AL37" s="1410"/>
      <c r="AM37" s="1410"/>
      <c r="AN37" s="1410"/>
      <c r="AO37" s="1410"/>
      <c r="AP37" s="1410"/>
      <c r="AQ37" s="1410"/>
      <c r="AR37" s="1410"/>
      <c r="AS37" s="1410"/>
      <c r="AT37" s="1410"/>
      <c r="AU37" s="1410"/>
      <c r="AV37" s="1410"/>
      <c r="AW37" s="1410"/>
      <c r="AX37" s="1410"/>
      <c r="AY37" s="1410"/>
      <c r="AZ37" s="1410"/>
      <c r="BA37" s="1410"/>
      <c r="BB37" s="1410"/>
      <c r="BC37" s="1410"/>
    </row>
    <row r="38" spans="1:55">
      <c r="A38" s="1896" t="s">
        <v>444</v>
      </c>
      <c r="B38" s="1528" t="s">
        <v>579</v>
      </c>
      <c r="C38" s="1533">
        <v>3</v>
      </c>
      <c r="D38" s="1534">
        <v>0</v>
      </c>
      <c r="E38" s="1535">
        <v>3</v>
      </c>
      <c r="F38" s="1536">
        <v>0</v>
      </c>
      <c r="G38" s="1537">
        <v>0</v>
      </c>
      <c r="H38" s="1538">
        <v>0</v>
      </c>
      <c r="I38" s="1539">
        <v>0</v>
      </c>
      <c r="J38" s="1541">
        <v>0</v>
      </c>
      <c r="K38" s="1410"/>
      <c r="L38" s="1410"/>
      <c r="M38" s="1410"/>
      <c r="N38" s="1410"/>
      <c r="O38" s="1410"/>
      <c r="P38" s="1410"/>
      <c r="Q38" s="1410"/>
      <c r="R38" s="1410"/>
      <c r="S38" s="1410"/>
      <c r="T38" s="1410"/>
      <c r="U38" s="1410"/>
      <c r="V38" s="1410"/>
      <c r="W38" s="1410"/>
      <c r="X38" s="1410"/>
      <c r="Y38" s="1410"/>
      <c r="Z38" s="1410"/>
      <c r="AA38" s="1410"/>
      <c r="AB38" s="1410"/>
      <c r="AC38" s="1410"/>
      <c r="AD38" s="1410"/>
      <c r="AE38" s="1410"/>
      <c r="AF38" s="1410"/>
      <c r="AG38" s="1410"/>
      <c r="AH38" s="1410"/>
      <c r="AI38" s="1410"/>
      <c r="AJ38" s="1410"/>
      <c r="AK38" s="1410"/>
      <c r="AL38" s="1410"/>
      <c r="AM38" s="1410"/>
      <c r="AN38" s="1410"/>
      <c r="AO38" s="1410"/>
      <c r="AP38" s="1410"/>
      <c r="AQ38" s="1410"/>
      <c r="AR38" s="1410"/>
      <c r="AS38" s="1410"/>
      <c r="AT38" s="1410"/>
      <c r="AU38" s="1410"/>
      <c r="AV38" s="1410"/>
      <c r="AW38" s="1410"/>
      <c r="AX38" s="1410"/>
      <c r="AY38" s="1410"/>
      <c r="AZ38" s="1410"/>
      <c r="BA38" s="1410"/>
      <c r="BB38" s="1410"/>
      <c r="BC38" s="1410"/>
    </row>
    <row r="39" spans="1:55">
      <c r="A39" s="1896" t="s">
        <v>444</v>
      </c>
      <c r="B39" s="1565" t="s">
        <v>247</v>
      </c>
      <c r="C39" s="1537">
        <v>24</v>
      </c>
      <c r="D39" s="1538">
        <v>24</v>
      </c>
      <c r="E39" s="1540">
        <v>0</v>
      </c>
      <c r="F39" s="1541">
        <v>21</v>
      </c>
      <c r="G39" s="1537">
        <v>0</v>
      </c>
      <c r="H39" s="1538">
        <v>0</v>
      </c>
      <c r="I39" s="1539">
        <v>0</v>
      </c>
      <c r="J39" s="1541">
        <v>0</v>
      </c>
      <c r="K39" s="1410"/>
      <c r="L39" s="1410"/>
      <c r="M39" s="1410"/>
      <c r="N39" s="1410"/>
      <c r="O39" s="1410"/>
      <c r="P39" s="1410"/>
      <c r="Q39" s="1410"/>
      <c r="R39" s="1410"/>
      <c r="S39" s="1410"/>
      <c r="T39" s="1410"/>
      <c r="U39" s="1410"/>
      <c r="V39" s="1410"/>
      <c r="W39" s="1410"/>
      <c r="X39" s="1410"/>
      <c r="Y39" s="1410"/>
      <c r="Z39" s="1410"/>
      <c r="AA39" s="1410"/>
      <c r="AB39" s="1410"/>
      <c r="AC39" s="1410"/>
      <c r="AD39" s="1410"/>
      <c r="AE39" s="1410"/>
      <c r="AF39" s="1410"/>
      <c r="AG39" s="1410"/>
      <c r="AH39" s="1410"/>
      <c r="AI39" s="1410"/>
      <c r="AJ39" s="1410"/>
      <c r="AK39" s="1410"/>
      <c r="AL39" s="1410"/>
      <c r="AM39" s="1410"/>
      <c r="AN39" s="1410"/>
      <c r="AO39" s="1410"/>
      <c r="AP39" s="1410"/>
      <c r="AQ39" s="1410"/>
      <c r="AR39" s="1410"/>
      <c r="AS39" s="1410"/>
      <c r="AT39" s="1410"/>
      <c r="AU39" s="1410"/>
      <c r="AV39" s="1410"/>
      <c r="AW39" s="1410"/>
      <c r="AX39" s="1410"/>
      <c r="AY39" s="1410"/>
      <c r="AZ39" s="1410"/>
      <c r="BA39" s="1410"/>
      <c r="BB39" s="1410"/>
      <c r="BC39" s="1410"/>
    </row>
    <row r="40" spans="1:55">
      <c r="A40" s="1896" t="s">
        <v>444</v>
      </c>
      <c r="B40" s="1528" t="s">
        <v>262</v>
      </c>
      <c r="C40" s="1533">
        <v>0</v>
      </c>
      <c r="D40" s="1534">
        <v>0</v>
      </c>
      <c r="E40" s="1535">
        <v>0</v>
      </c>
      <c r="F40" s="1536">
        <v>0</v>
      </c>
      <c r="G40" s="1537">
        <v>0</v>
      </c>
      <c r="H40" s="1538">
        <v>0</v>
      </c>
      <c r="I40" s="1539">
        <v>0</v>
      </c>
      <c r="J40" s="1541">
        <v>0</v>
      </c>
      <c r="K40" s="1410"/>
      <c r="L40" s="1410"/>
      <c r="M40" s="1410"/>
      <c r="N40" s="1410"/>
      <c r="O40" s="1410"/>
      <c r="P40" s="1410"/>
      <c r="Q40" s="1410"/>
      <c r="R40" s="1410"/>
      <c r="S40" s="1410"/>
      <c r="T40" s="1410"/>
      <c r="U40" s="1410"/>
      <c r="V40" s="1410"/>
      <c r="W40" s="1410"/>
      <c r="X40" s="1410"/>
      <c r="Y40" s="1410"/>
      <c r="Z40" s="1410"/>
      <c r="AA40" s="1410"/>
      <c r="AB40" s="1410"/>
      <c r="AC40" s="1410"/>
      <c r="AD40" s="1410"/>
      <c r="AE40" s="1410"/>
      <c r="AF40" s="1410"/>
      <c r="AG40" s="1410"/>
      <c r="AH40" s="1410"/>
      <c r="AI40" s="1410"/>
      <c r="AJ40" s="1410"/>
      <c r="AK40" s="1410"/>
      <c r="AL40" s="1410"/>
      <c r="AM40" s="1410"/>
      <c r="AN40" s="1410"/>
      <c r="AO40" s="1410"/>
      <c r="AP40" s="1410"/>
      <c r="AQ40" s="1410"/>
      <c r="AR40" s="1410"/>
      <c r="AS40" s="1410"/>
      <c r="AT40" s="1410"/>
      <c r="AU40" s="1410"/>
      <c r="AV40" s="1410"/>
      <c r="AW40" s="1410"/>
      <c r="AX40" s="1410"/>
      <c r="AY40" s="1410"/>
      <c r="AZ40" s="1410"/>
      <c r="BA40" s="1410"/>
      <c r="BB40" s="1410"/>
      <c r="BC40" s="1410"/>
    </row>
    <row r="41" spans="1:55">
      <c r="A41" s="1896"/>
      <c r="B41" s="1528" t="s">
        <v>233</v>
      </c>
      <c r="C41" s="1533">
        <v>18</v>
      </c>
      <c r="D41" s="1534">
        <v>12</v>
      </c>
      <c r="E41" s="1535">
        <v>6</v>
      </c>
      <c r="F41" s="1536">
        <v>18</v>
      </c>
      <c r="G41" s="1537">
        <v>0</v>
      </c>
      <c r="H41" s="1538">
        <v>0</v>
      </c>
      <c r="I41" s="1539">
        <v>0</v>
      </c>
      <c r="J41" s="1541">
        <v>0</v>
      </c>
      <c r="K41" s="1410"/>
      <c r="L41" s="1410"/>
      <c r="M41" s="1410"/>
      <c r="N41" s="1410"/>
      <c r="O41" s="1410"/>
      <c r="P41" s="1410"/>
      <c r="Q41" s="1410"/>
      <c r="R41" s="1410"/>
      <c r="S41" s="1410"/>
      <c r="T41" s="1410"/>
      <c r="U41" s="1410"/>
      <c r="V41" s="1410"/>
      <c r="W41" s="1410"/>
      <c r="X41" s="1410"/>
      <c r="Y41" s="1410"/>
      <c r="Z41" s="1410"/>
      <c r="AA41" s="1410"/>
      <c r="AB41" s="1410"/>
      <c r="AC41" s="1410"/>
      <c r="AD41" s="1410"/>
      <c r="AE41" s="1410"/>
      <c r="AF41" s="1410"/>
      <c r="AG41" s="1410"/>
      <c r="AH41" s="1410"/>
      <c r="AI41" s="1410"/>
      <c r="AJ41" s="1410"/>
      <c r="AK41" s="1410"/>
      <c r="AL41" s="1410"/>
      <c r="AM41" s="1410"/>
      <c r="AN41" s="1410"/>
      <c r="AO41" s="1410"/>
      <c r="AP41" s="1410"/>
      <c r="AQ41" s="1410"/>
      <c r="AR41" s="1410"/>
      <c r="AS41" s="1410"/>
      <c r="AT41" s="1410"/>
      <c r="AU41" s="1410"/>
      <c r="AV41" s="1410"/>
      <c r="AW41" s="1410"/>
      <c r="AX41" s="1410"/>
      <c r="AY41" s="1410"/>
      <c r="AZ41" s="1410"/>
      <c r="BA41" s="1410"/>
      <c r="BB41" s="1410"/>
      <c r="BC41" s="1410"/>
    </row>
    <row r="42" spans="1:55">
      <c r="A42" s="1896" t="s">
        <v>444</v>
      </c>
      <c r="B42" s="1528" t="s">
        <v>234</v>
      </c>
      <c r="C42" s="1533">
        <v>21</v>
      </c>
      <c r="D42" s="1534">
        <v>15</v>
      </c>
      <c r="E42" s="1535">
        <v>6</v>
      </c>
      <c r="F42" s="1536">
        <v>21</v>
      </c>
      <c r="G42" s="1537">
        <v>0</v>
      </c>
      <c r="H42" s="1538">
        <v>0</v>
      </c>
      <c r="I42" s="1539">
        <v>0</v>
      </c>
      <c r="J42" s="1541">
        <v>0</v>
      </c>
      <c r="K42" s="1410"/>
      <c r="L42" s="1410"/>
      <c r="M42" s="1410"/>
      <c r="N42" s="1410"/>
      <c r="O42" s="1410"/>
      <c r="P42" s="1410"/>
      <c r="Q42" s="1410"/>
      <c r="R42" s="1410"/>
      <c r="S42" s="1410"/>
      <c r="T42" s="1410"/>
      <c r="U42" s="1410"/>
      <c r="V42" s="1410"/>
      <c r="W42" s="1410"/>
      <c r="X42" s="1410"/>
      <c r="Y42" s="1410"/>
      <c r="Z42" s="1410"/>
      <c r="AA42" s="1410"/>
      <c r="AB42" s="1410"/>
      <c r="AC42" s="1410"/>
      <c r="AD42" s="1410"/>
      <c r="AE42" s="1410"/>
      <c r="AF42" s="1410"/>
      <c r="AG42" s="1410"/>
      <c r="AH42" s="1410"/>
      <c r="AI42" s="1410"/>
      <c r="AJ42" s="1410"/>
      <c r="AK42" s="1410"/>
      <c r="AL42" s="1410"/>
      <c r="AM42" s="1410"/>
      <c r="AN42" s="1410"/>
      <c r="AO42" s="1410"/>
      <c r="AP42" s="1410"/>
      <c r="AQ42" s="1410"/>
      <c r="AR42" s="1410"/>
      <c r="AS42" s="1410"/>
      <c r="AT42" s="1410"/>
      <c r="AU42" s="1410"/>
      <c r="AV42" s="1410"/>
      <c r="AW42" s="1410"/>
      <c r="AX42" s="1410"/>
      <c r="AY42" s="1410"/>
      <c r="AZ42" s="1410"/>
      <c r="BA42" s="1410"/>
      <c r="BB42" s="1410"/>
      <c r="BC42" s="1410"/>
    </row>
    <row r="43" spans="1:55">
      <c r="A43" s="1896" t="s">
        <v>444</v>
      </c>
      <c r="B43" s="1528" t="s">
        <v>235</v>
      </c>
      <c r="C43" s="1533">
        <v>0</v>
      </c>
      <c r="D43" s="1534">
        <v>0</v>
      </c>
      <c r="E43" s="1535">
        <v>0</v>
      </c>
      <c r="F43" s="1536">
        <v>0</v>
      </c>
      <c r="G43" s="1537">
        <v>0</v>
      </c>
      <c r="H43" s="1538">
        <v>0</v>
      </c>
      <c r="I43" s="1539">
        <v>0</v>
      </c>
      <c r="J43" s="1541">
        <v>0</v>
      </c>
      <c r="K43" s="1410"/>
      <c r="L43" s="1410"/>
      <c r="M43" s="1410"/>
      <c r="N43" s="1410"/>
      <c r="O43" s="1410"/>
      <c r="P43" s="1410"/>
      <c r="Q43" s="1410"/>
      <c r="R43" s="1410"/>
      <c r="S43" s="1410"/>
      <c r="T43" s="1410"/>
      <c r="U43" s="1410"/>
      <c r="V43" s="1410"/>
      <c r="W43" s="1410"/>
      <c r="X43" s="1410"/>
      <c r="Y43" s="1410"/>
      <c r="Z43" s="1410"/>
      <c r="AA43" s="1410"/>
      <c r="AB43" s="1410"/>
      <c r="AC43" s="1410"/>
      <c r="AD43" s="1410"/>
      <c r="AE43" s="1410"/>
      <c r="AF43" s="1410"/>
      <c r="AG43" s="1410"/>
      <c r="AH43" s="1410"/>
      <c r="AI43" s="1410"/>
      <c r="AJ43" s="1410"/>
      <c r="AK43" s="1410"/>
      <c r="AL43" s="1410"/>
      <c r="AM43" s="1410"/>
      <c r="AN43" s="1410"/>
      <c r="AO43" s="1410"/>
      <c r="AP43" s="1410"/>
      <c r="AQ43" s="1410"/>
      <c r="AR43" s="1410"/>
      <c r="AS43" s="1410"/>
      <c r="AT43" s="1410"/>
      <c r="AU43" s="1410"/>
      <c r="AV43" s="1410"/>
      <c r="AW43" s="1410"/>
      <c r="AX43" s="1410"/>
      <c r="AY43" s="1410"/>
      <c r="AZ43" s="1410"/>
      <c r="BA43" s="1410"/>
      <c r="BB43" s="1410"/>
      <c r="BC43" s="1410"/>
    </row>
    <row r="44" spans="1:55">
      <c r="A44" s="1896" t="s">
        <v>444</v>
      </c>
      <c r="B44" s="1528" t="s">
        <v>260</v>
      </c>
      <c r="C44" s="1533">
        <v>105</v>
      </c>
      <c r="D44" s="1534">
        <v>90</v>
      </c>
      <c r="E44" s="1535">
        <v>15</v>
      </c>
      <c r="F44" s="1536">
        <v>96</v>
      </c>
      <c r="G44" s="1537">
        <v>3</v>
      </c>
      <c r="H44" s="1538">
        <v>3</v>
      </c>
      <c r="I44" s="1539">
        <v>0</v>
      </c>
      <c r="J44" s="1541">
        <v>3</v>
      </c>
      <c r="K44" s="1410"/>
      <c r="L44" s="1410"/>
      <c r="M44" s="1410"/>
      <c r="N44" s="1410"/>
      <c r="O44" s="1410"/>
      <c r="P44" s="1410"/>
      <c r="Q44" s="1410"/>
      <c r="R44" s="1410"/>
      <c r="S44" s="1410"/>
      <c r="T44" s="1410"/>
      <c r="U44" s="1410"/>
      <c r="V44" s="1410"/>
      <c r="W44" s="1410"/>
      <c r="X44" s="1410"/>
      <c r="Y44" s="1410"/>
      <c r="Z44" s="1410"/>
      <c r="AA44" s="1410"/>
      <c r="AB44" s="1410"/>
      <c r="AC44" s="1410"/>
      <c r="AD44" s="1410"/>
      <c r="AE44" s="1410"/>
      <c r="AF44" s="1410"/>
      <c r="AG44" s="1410"/>
      <c r="AH44" s="1410"/>
      <c r="AI44" s="1410"/>
      <c r="AJ44" s="1410"/>
      <c r="AK44" s="1410"/>
      <c r="AL44" s="1410"/>
      <c r="AM44" s="1410"/>
      <c r="AN44" s="1410"/>
      <c r="AO44" s="1410"/>
      <c r="AP44" s="1410"/>
      <c r="AQ44" s="1410"/>
      <c r="AR44" s="1410"/>
      <c r="AS44" s="1410"/>
      <c r="AT44" s="1410"/>
      <c r="AU44" s="1410"/>
      <c r="AV44" s="1410"/>
      <c r="AW44" s="1410"/>
      <c r="AX44" s="1410"/>
      <c r="AY44" s="1410"/>
      <c r="AZ44" s="1410"/>
      <c r="BA44" s="1410"/>
      <c r="BB44" s="1410"/>
      <c r="BC44" s="1410"/>
    </row>
    <row r="45" spans="1:55">
      <c r="A45" s="1564"/>
      <c r="B45" s="1528" t="s">
        <v>237</v>
      </c>
      <c r="C45" s="1533">
        <v>3</v>
      </c>
      <c r="D45" s="1534">
        <v>3</v>
      </c>
      <c r="E45" s="1535">
        <v>0</v>
      </c>
      <c r="F45" s="1536">
        <v>3</v>
      </c>
      <c r="G45" s="1537">
        <v>0</v>
      </c>
      <c r="H45" s="1538">
        <v>0</v>
      </c>
      <c r="I45" s="1539">
        <v>0</v>
      </c>
      <c r="J45" s="1541">
        <v>0</v>
      </c>
      <c r="K45" s="1410"/>
      <c r="L45" s="1410"/>
      <c r="M45" s="1410"/>
      <c r="N45" s="1410"/>
      <c r="O45" s="1410"/>
      <c r="P45" s="1410"/>
      <c r="Q45" s="1410"/>
      <c r="R45" s="1410"/>
      <c r="S45" s="1410"/>
      <c r="T45" s="1410"/>
      <c r="U45" s="1410"/>
      <c r="V45" s="1410"/>
      <c r="W45" s="1410"/>
      <c r="X45" s="1410"/>
      <c r="Y45" s="1410"/>
      <c r="Z45" s="1410"/>
      <c r="AA45" s="1410"/>
      <c r="AB45" s="1410"/>
      <c r="AC45" s="1410"/>
      <c r="AD45" s="1410"/>
      <c r="AE45" s="1410"/>
      <c r="AF45" s="1410"/>
      <c r="AG45" s="1410"/>
      <c r="AH45" s="1410"/>
      <c r="AI45" s="1410"/>
      <c r="AJ45" s="1410"/>
      <c r="AK45" s="1410"/>
      <c r="AL45" s="1410"/>
      <c r="AM45" s="1410"/>
      <c r="AN45" s="1410"/>
      <c r="AO45" s="1410"/>
      <c r="AP45" s="1410"/>
      <c r="AQ45" s="1410"/>
      <c r="AR45" s="1410"/>
      <c r="AS45" s="1410"/>
      <c r="AT45" s="1410"/>
      <c r="AU45" s="1410"/>
      <c r="AV45" s="1410"/>
      <c r="AW45" s="1410"/>
      <c r="AX45" s="1410"/>
      <c r="AY45" s="1410"/>
      <c r="AZ45" s="1410"/>
      <c r="BA45" s="1410"/>
      <c r="BB45" s="1410"/>
      <c r="BC45" s="1410"/>
    </row>
    <row r="46" spans="1:55">
      <c r="A46" s="1896" t="s">
        <v>445</v>
      </c>
      <c r="B46" s="1528" t="s">
        <v>238</v>
      </c>
      <c r="C46" s="1533">
        <v>6</v>
      </c>
      <c r="D46" s="1534">
        <v>3</v>
      </c>
      <c r="E46" s="1535">
        <v>6</v>
      </c>
      <c r="F46" s="1536">
        <v>6</v>
      </c>
      <c r="G46" s="1537">
        <v>0</v>
      </c>
      <c r="H46" s="1538">
        <v>0</v>
      </c>
      <c r="I46" s="1539">
        <v>0</v>
      </c>
      <c r="J46" s="1541">
        <v>0</v>
      </c>
      <c r="K46" s="1410"/>
      <c r="L46" s="1410"/>
      <c r="M46" s="1410"/>
      <c r="N46" s="1410"/>
      <c r="O46" s="1410"/>
      <c r="P46" s="1410"/>
      <c r="Q46" s="1410"/>
      <c r="R46" s="1410"/>
      <c r="S46" s="1410"/>
      <c r="T46" s="1410"/>
      <c r="U46" s="1410"/>
      <c r="V46" s="1410"/>
      <c r="W46" s="1410"/>
      <c r="X46" s="1410"/>
      <c r="Y46" s="1410"/>
      <c r="Z46" s="1410"/>
      <c r="AA46" s="1410"/>
      <c r="AB46" s="1410"/>
      <c r="AC46" s="1410"/>
      <c r="AD46" s="1410"/>
      <c r="AE46" s="1410"/>
      <c r="AF46" s="1410"/>
      <c r="AG46" s="1410"/>
      <c r="AH46" s="1410"/>
      <c r="AI46" s="1410"/>
      <c r="AJ46" s="1410"/>
      <c r="AK46" s="1410"/>
      <c r="AL46" s="1410"/>
      <c r="AM46" s="1410"/>
      <c r="AN46" s="1410"/>
      <c r="AO46" s="1410"/>
      <c r="AP46" s="1410"/>
      <c r="AQ46" s="1410"/>
      <c r="AR46" s="1410"/>
      <c r="AS46" s="1410"/>
      <c r="AT46" s="1410"/>
      <c r="AU46" s="1410"/>
      <c r="AV46" s="1410"/>
      <c r="AW46" s="1410"/>
      <c r="AX46" s="1410"/>
      <c r="AY46" s="1410"/>
      <c r="AZ46" s="1410"/>
      <c r="BA46" s="1410"/>
      <c r="BB46" s="1410"/>
      <c r="BC46" s="1410"/>
    </row>
    <row r="47" spans="1:55">
      <c r="A47" s="1896" t="s">
        <v>445</v>
      </c>
      <c r="B47" s="1528" t="s">
        <v>578</v>
      </c>
      <c r="C47" s="1537">
        <v>15</v>
      </c>
      <c r="D47" s="1538">
        <v>9</v>
      </c>
      <c r="E47" s="1540">
        <v>3</v>
      </c>
      <c r="F47" s="1541">
        <v>15</v>
      </c>
      <c r="G47" s="1537">
        <v>0</v>
      </c>
      <c r="H47" s="1538">
        <v>0</v>
      </c>
      <c r="I47" s="1539">
        <v>0</v>
      </c>
      <c r="J47" s="1541">
        <v>0</v>
      </c>
      <c r="K47" s="1410"/>
      <c r="L47" s="1410"/>
      <c r="M47" s="1410"/>
      <c r="N47" s="1410"/>
      <c r="O47" s="1410"/>
      <c r="P47" s="1410"/>
      <c r="Q47" s="1410"/>
      <c r="R47" s="1410"/>
      <c r="S47" s="1410"/>
      <c r="T47" s="1410"/>
      <c r="U47" s="1410"/>
      <c r="V47" s="1410"/>
      <c r="W47" s="1410"/>
      <c r="X47" s="1410"/>
      <c r="Y47" s="1410"/>
      <c r="Z47" s="1410"/>
      <c r="AA47" s="1410"/>
      <c r="AB47" s="1410"/>
      <c r="AC47" s="1410"/>
      <c r="AD47" s="1410"/>
      <c r="AE47" s="1410"/>
      <c r="AF47" s="1410"/>
      <c r="AG47" s="1410"/>
      <c r="AH47" s="1410"/>
      <c r="AI47" s="1410"/>
      <c r="AJ47" s="1410"/>
      <c r="AK47" s="1410"/>
      <c r="AL47" s="1410"/>
      <c r="AM47" s="1410"/>
      <c r="AN47" s="1410"/>
      <c r="AO47" s="1410"/>
      <c r="AP47" s="1410"/>
      <c r="AQ47" s="1410"/>
      <c r="AR47" s="1410"/>
      <c r="AS47" s="1410"/>
      <c r="AT47" s="1410"/>
      <c r="AU47" s="1410"/>
      <c r="AV47" s="1410"/>
      <c r="AW47" s="1410"/>
      <c r="AX47" s="1410"/>
      <c r="AY47" s="1410"/>
      <c r="AZ47" s="1410"/>
      <c r="BA47" s="1410"/>
      <c r="BB47" s="1410"/>
      <c r="BC47" s="1410"/>
    </row>
    <row r="48" spans="1:55">
      <c r="A48" s="1896" t="s">
        <v>445</v>
      </c>
      <c r="B48" s="1528" t="s">
        <v>239</v>
      </c>
      <c r="C48" s="1533">
        <v>18</v>
      </c>
      <c r="D48" s="1534">
        <v>0</v>
      </c>
      <c r="E48" s="1535">
        <v>18</v>
      </c>
      <c r="F48" s="1536">
        <v>18</v>
      </c>
      <c r="G48" s="1537">
        <v>3</v>
      </c>
      <c r="H48" s="1538">
        <v>0</v>
      </c>
      <c r="I48" s="1539">
        <v>3</v>
      </c>
      <c r="J48" s="1807">
        <v>3</v>
      </c>
      <c r="K48" s="1410"/>
      <c r="L48" s="1410"/>
      <c r="M48" s="1410"/>
      <c r="N48" s="1410"/>
      <c r="O48" s="1410"/>
      <c r="P48" s="1410"/>
      <c r="Q48" s="1410"/>
      <c r="R48" s="1410"/>
      <c r="S48" s="1410"/>
      <c r="T48" s="1410"/>
      <c r="U48" s="1410"/>
      <c r="V48" s="1410"/>
      <c r="W48" s="1410"/>
      <c r="X48" s="1410"/>
      <c r="Y48" s="1410"/>
      <c r="Z48" s="1410"/>
      <c r="AA48" s="1410"/>
      <c r="AB48" s="1410"/>
      <c r="AC48" s="1410"/>
      <c r="AD48" s="1410"/>
      <c r="AE48" s="1410"/>
      <c r="AF48" s="1410"/>
      <c r="AG48" s="1410"/>
      <c r="AH48" s="1410"/>
      <c r="AI48" s="1410"/>
      <c r="AJ48" s="1410"/>
      <c r="AK48" s="1410"/>
      <c r="AL48" s="1410"/>
      <c r="AM48" s="1410"/>
      <c r="AN48" s="1410"/>
      <c r="AO48" s="1410"/>
      <c r="AP48" s="1410"/>
      <c r="AQ48" s="1410"/>
      <c r="AR48" s="1410"/>
      <c r="AS48" s="1410"/>
      <c r="AT48" s="1410"/>
      <c r="AU48" s="1410"/>
      <c r="AV48" s="1410"/>
      <c r="AW48" s="1410"/>
      <c r="AX48" s="1410"/>
      <c r="AY48" s="1410"/>
      <c r="AZ48" s="1410"/>
      <c r="BA48" s="1410"/>
      <c r="BB48" s="1410"/>
      <c r="BC48" s="1410"/>
    </row>
    <row r="49" spans="1:55">
      <c r="A49" s="1563" t="s">
        <v>445</v>
      </c>
      <c r="B49" s="1778" t="s">
        <v>231</v>
      </c>
      <c r="C49" s="1763">
        <v>372</v>
      </c>
      <c r="D49" s="1779">
        <v>324</v>
      </c>
      <c r="E49" s="1780">
        <v>48</v>
      </c>
      <c r="F49" s="1781">
        <v>288</v>
      </c>
      <c r="G49" s="1782">
        <v>21</v>
      </c>
      <c r="H49" s="1783">
        <v>18</v>
      </c>
      <c r="I49" s="1784">
        <v>6</v>
      </c>
      <c r="J49" s="1541">
        <v>15</v>
      </c>
      <c r="K49" s="1410"/>
      <c r="L49" s="1410"/>
      <c r="M49" s="1410"/>
      <c r="N49" s="1410"/>
      <c r="O49" s="1410"/>
      <c r="P49" s="1410"/>
      <c r="Q49" s="1410"/>
      <c r="R49" s="1410"/>
      <c r="S49" s="1410"/>
      <c r="T49" s="1410"/>
      <c r="U49" s="1410"/>
      <c r="V49" s="1410"/>
      <c r="W49" s="1410"/>
      <c r="X49" s="1410"/>
      <c r="Y49" s="1410"/>
      <c r="Z49" s="1410"/>
      <c r="AA49" s="1410"/>
      <c r="AB49" s="1410"/>
      <c r="AC49" s="1410"/>
      <c r="AD49" s="1410"/>
      <c r="AE49" s="1410"/>
      <c r="AF49" s="1410"/>
      <c r="AG49" s="1410"/>
      <c r="AH49" s="1410"/>
      <c r="AI49" s="1410"/>
      <c r="AJ49" s="1410"/>
      <c r="AK49" s="1410"/>
      <c r="AL49" s="1410"/>
      <c r="AM49" s="1410"/>
      <c r="AN49" s="1410"/>
      <c r="AO49" s="1410"/>
      <c r="AP49" s="1410"/>
      <c r="AQ49" s="1410"/>
      <c r="AR49" s="1410"/>
      <c r="AS49" s="1410"/>
      <c r="AT49" s="1410"/>
      <c r="AU49" s="1410"/>
      <c r="AV49" s="1410"/>
      <c r="AW49" s="1410"/>
      <c r="AX49" s="1410"/>
      <c r="AY49" s="1410"/>
      <c r="AZ49" s="1410"/>
      <c r="BA49" s="1410"/>
      <c r="BB49" s="1410"/>
      <c r="BC49" s="1410"/>
    </row>
    <row r="50" spans="1:55">
      <c r="A50" s="1896" t="s">
        <v>445</v>
      </c>
      <c r="B50" s="1528" t="s">
        <v>245</v>
      </c>
      <c r="C50" s="1533">
        <v>12</v>
      </c>
      <c r="D50" s="1534">
        <v>12</v>
      </c>
      <c r="E50" s="1535">
        <v>0</v>
      </c>
      <c r="F50" s="1536">
        <v>12</v>
      </c>
      <c r="G50" s="1537">
        <v>0</v>
      </c>
      <c r="H50" s="1538">
        <v>0</v>
      </c>
      <c r="I50" s="1539">
        <v>0</v>
      </c>
      <c r="J50" s="1541">
        <v>0</v>
      </c>
      <c r="K50" s="1410"/>
      <c r="L50" s="1410"/>
      <c r="M50" s="1410"/>
      <c r="N50" s="1410"/>
      <c r="O50" s="1410"/>
      <c r="P50" s="1410"/>
      <c r="Q50" s="1410"/>
      <c r="R50" s="1410"/>
      <c r="S50" s="1410"/>
      <c r="T50" s="1410"/>
      <c r="U50" s="1410"/>
      <c r="V50" s="1410"/>
      <c r="W50" s="1410"/>
      <c r="X50" s="1410"/>
      <c r="Y50" s="1410"/>
      <c r="Z50" s="1410"/>
      <c r="AA50" s="1410"/>
      <c r="AB50" s="1410"/>
      <c r="AC50" s="1410"/>
      <c r="AD50" s="1410"/>
      <c r="AE50" s="1410"/>
      <c r="AF50" s="1410"/>
      <c r="AG50" s="1410"/>
      <c r="AH50" s="1410"/>
      <c r="AI50" s="1410"/>
      <c r="AJ50" s="1410"/>
      <c r="AK50" s="1410"/>
      <c r="AL50" s="1410"/>
      <c r="AM50" s="1410"/>
      <c r="AN50" s="1410"/>
      <c r="AO50" s="1410"/>
      <c r="AP50" s="1410"/>
      <c r="AQ50" s="1410"/>
      <c r="AR50" s="1410"/>
      <c r="AS50" s="1410"/>
      <c r="AT50" s="1410"/>
      <c r="AU50" s="1410"/>
      <c r="AV50" s="1410"/>
      <c r="AW50" s="1410"/>
      <c r="AX50" s="1410"/>
      <c r="AY50" s="1410"/>
      <c r="AZ50" s="1410"/>
      <c r="BA50" s="1410"/>
      <c r="BB50" s="1410"/>
      <c r="BC50" s="1410"/>
    </row>
    <row r="51" spans="1:55">
      <c r="A51" s="1896" t="s">
        <v>445</v>
      </c>
      <c r="B51" s="1528" t="s">
        <v>257</v>
      </c>
      <c r="C51" s="1533">
        <v>9</v>
      </c>
      <c r="D51" s="1534">
        <v>9</v>
      </c>
      <c r="E51" s="1535">
        <v>0</v>
      </c>
      <c r="F51" s="1536">
        <v>3</v>
      </c>
      <c r="G51" s="1537">
        <v>3</v>
      </c>
      <c r="H51" s="1538">
        <v>3</v>
      </c>
      <c r="I51" s="1539">
        <v>0</v>
      </c>
      <c r="J51" s="1541">
        <v>0</v>
      </c>
      <c r="K51" s="1410"/>
      <c r="L51" s="1410"/>
      <c r="M51" s="1410"/>
      <c r="N51" s="1410"/>
      <c r="O51" s="1410"/>
      <c r="P51" s="1410"/>
      <c r="Q51" s="1410"/>
      <c r="R51" s="1410"/>
      <c r="S51" s="1410"/>
      <c r="T51" s="1410"/>
      <c r="U51" s="1410"/>
      <c r="V51" s="1410"/>
      <c r="W51" s="1410"/>
      <c r="X51" s="1410"/>
      <c r="Y51" s="1410"/>
      <c r="Z51" s="1410"/>
      <c r="AA51" s="1410"/>
      <c r="AB51" s="1410"/>
      <c r="AC51" s="1410"/>
      <c r="AD51" s="1410"/>
      <c r="AE51" s="1410"/>
      <c r="AF51" s="1410"/>
      <c r="AG51" s="1410"/>
      <c r="AH51" s="1410"/>
      <c r="AI51" s="1410"/>
      <c r="AJ51" s="1410"/>
      <c r="AK51" s="1410"/>
      <c r="AL51" s="1410"/>
      <c r="AM51" s="1410"/>
      <c r="AN51" s="1410"/>
      <c r="AO51" s="1410"/>
      <c r="AP51" s="1410"/>
      <c r="AQ51" s="1410"/>
      <c r="AR51" s="1410"/>
      <c r="AS51" s="1410"/>
      <c r="AT51" s="1410"/>
      <c r="AU51" s="1410"/>
      <c r="AV51" s="1410"/>
      <c r="AW51" s="1410"/>
      <c r="AX51" s="1410"/>
      <c r="AY51" s="1410"/>
      <c r="AZ51" s="1410"/>
      <c r="BA51" s="1410"/>
      <c r="BB51" s="1410"/>
      <c r="BC51" s="1410"/>
    </row>
    <row r="52" spans="1:55">
      <c r="A52" s="1896" t="s">
        <v>445</v>
      </c>
      <c r="B52" s="1528" t="s">
        <v>574</v>
      </c>
      <c r="C52" s="1533">
        <v>9</v>
      </c>
      <c r="D52" s="1534">
        <v>3</v>
      </c>
      <c r="E52" s="1535">
        <v>6</v>
      </c>
      <c r="F52" s="1536">
        <v>9</v>
      </c>
      <c r="G52" s="1537">
        <v>0</v>
      </c>
      <c r="H52" s="1538">
        <v>0</v>
      </c>
      <c r="I52" s="1539">
        <v>0</v>
      </c>
      <c r="J52" s="1541">
        <v>0</v>
      </c>
      <c r="K52" s="1410"/>
      <c r="L52" s="1410"/>
      <c r="M52" s="1410"/>
      <c r="N52" s="1410"/>
      <c r="O52" s="1410"/>
      <c r="P52" s="1410"/>
      <c r="Q52" s="1410"/>
      <c r="R52" s="1410"/>
      <c r="S52" s="1410"/>
      <c r="T52" s="1410"/>
      <c r="U52" s="1410"/>
      <c r="V52" s="1410"/>
      <c r="W52" s="1410"/>
      <c r="X52" s="1410"/>
      <c r="Y52" s="1410"/>
      <c r="Z52" s="1410"/>
      <c r="AA52" s="1410"/>
      <c r="AB52" s="1410"/>
      <c r="AC52" s="1410"/>
      <c r="AD52" s="1410"/>
      <c r="AE52" s="1410"/>
      <c r="AF52" s="1410"/>
      <c r="AG52" s="1410"/>
      <c r="AH52" s="1410"/>
      <c r="AI52" s="1410"/>
      <c r="AJ52" s="1410"/>
      <c r="AK52" s="1410"/>
      <c r="AL52" s="1410"/>
      <c r="AM52" s="1410"/>
      <c r="AN52" s="1410"/>
      <c r="AO52" s="1410"/>
      <c r="AP52" s="1410"/>
      <c r="AQ52" s="1410"/>
      <c r="AR52" s="1410"/>
      <c r="AS52" s="1410"/>
      <c r="AT52" s="1410"/>
      <c r="AU52" s="1410"/>
      <c r="AV52" s="1410"/>
      <c r="AW52" s="1410"/>
      <c r="AX52" s="1410"/>
      <c r="AY52" s="1410"/>
      <c r="AZ52" s="1410"/>
      <c r="BA52" s="1410"/>
      <c r="BB52" s="1410"/>
      <c r="BC52" s="1410"/>
    </row>
    <row r="53" spans="1:55">
      <c r="A53" s="1896" t="s">
        <v>445</v>
      </c>
      <c r="B53" s="1528" t="s">
        <v>575</v>
      </c>
      <c r="C53" s="1537">
        <v>3</v>
      </c>
      <c r="D53" s="1538">
        <v>0</v>
      </c>
      <c r="E53" s="1540">
        <v>0</v>
      </c>
      <c r="F53" s="1541">
        <v>0</v>
      </c>
      <c r="G53" s="1537">
        <v>0</v>
      </c>
      <c r="H53" s="1538">
        <v>0</v>
      </c>
      <c r="I53" s="1539">
        <v>0</v>
      </c>
      <c r="J53" s="1541">
        <v>0</v>
      </c>
      <c r="K53" s="1410"/>
      <c r="L53" s="1410"/>
      <c r="M53" s="1410"/>
      <c r="N53" s="1410"/>
      <c r="O53" s="1410"/>
      <c r="P53" s="1410"/>
      <c r="Q53" s="1410"/>
      <c r="R53" s="1410"/>
      <c r="S53" s="1410"/>
      <c r="T53" s="1410"/>
      <c r="U53" s="1410"/>
      <c r="V53" s="1410"/>
      <c r="W53" s="1410"/>
      <c r="X53" s="1410"/>
      <c r="Y53" s="1410"/>
      <c r="Z53" s="1410"/>
      <c r="AA53" s="1410"/>
      <c r="AB53" s="1410"/>
      <c r="AC53" s="1410"/>
      <c r="AD53" s="1410"/>
      <c r="AE53" s="1410"/>
      <c r="AF53" s="1410"/>
      <c r="AG53" s="1410"/>
      <c r="AH53" s="1410"/>
      <c r="AI53" s="1410"/>
      <c r="AJ53" s="1410"/>
      <c r="AK53" s="1410"/>
      <c r="AL53" s="1410"/>
      <c r="AM53" s="1410"/>
      <c r="AN53" s="1410"/>
      <c r="AO53" s="1410"/>
      <c r="AP53" s="1410"/>
      <c r="AQ53" s="1410"/>
      <c r="AR53" s="1410"/>
      <c r="AS53" s="1410"/>
      <c r="AT53" s="1410"/>
      <c r="AU53" s="1410"/>
      <c r="AV53" s="1410"/>
      <c r="AW53" s="1410"/>
      <c r="AX53" s="1410"/>
      <c r="AY53" s="1410"/>
      <c r="AZ53" s="1410"/>
      <c r="BA53" s="1410"/>
      <c r="BB53" s="1410"/>
      <c r="BC53" s="1410"/>
    </row>
    <row r="54" spans="1:55">
      <c r="A54" s="1896" t="s">
        <v>445</v>
      </c>
      <c r="B54" s="1528" t="s">
        <v>576</v>
      </c>
      <c r="C54" s="1533">
        <v>6</v>
      </c>
      <c r="D54" s="1534">
        <v>3</v>
      </c>
      <c r="E54" s="1535">
        <v>3</v>
      </c>
      <c r="F54" s="1536">
        <v>3</v>
      </c>
      <c r="G54" s="1537">
        <v>3</v>
      </c>
      <c r="H54" s="1538">
        <v>0</v>
      </c>
      <c r="I54" s="1539">
        <v>3</v>
      </c>
      <c r="J54" s="1541">
        <v>3</v>
      </c>
      <c r="K54" s="1410"/>
      <c r="L54" s="1410"/>
      <c r="M54" s="1410"/>
      <c r="N54" s="1410"/>
      <c r="O54" s="1410"/>
      <c r="P54" s="1410"/>
      <c r="Q54" s="1410"/>
      <c r="R54" s="1410"/>
      <c r="S54" s="1410"/>
      <c r="T54" s="1410"/>
      <c r="U54" s="1410"/>
      <c r="V54" s="1410"/>
      <c r="W54" s="1410"/>
      <c r="X54" s="1410"/>
      <c r="Y54" s="1410"/>
      <c r="Z54" s="1410"/>
      <c r="AA54" s="1410"/>
      <c r="AB54" s="1410"/>
      <c r="AC54" s="1410"/>
      <c r="AD54" s="1410"/>
      <c r="AE54" s="1410"/>
      <c r="AF54" s="1410"/>
      <c r="AG54" s="1410"/>
      <c r="AH54" s="1410"/>
      <c r="AI54" s="1410"/>
      <c r="AJ54" s="1410"/>
      <c r="AK54" s="1410"/>
      <c r="AL54" s="1410"/>
      <c r="AM54" s="1410"/>
      <c r="AN54" s="1410"/>
      <c r="AO54" s="1410"/>
      <c r="AP54" s="1410"/>
      <c r="AQ54" s="1410"/>
      <c r="AR54" s="1410"/>
      <c r="AS54" s="1410"/>
      <c r="AT54" s="1410"/>
      <c r="AU54" s="1410"/>
      <c r="AV54" s="1410"/>
      <c r="AW54" s="1410"/>
      <c r="AX54" s="1410"/>
      <c r="AY54" s="1410"/>
      <c r="AZ54" s="1410"/>
      <c r="BA54" s="1410"/>
      <c r="BB54" s="1410"/>
      <c r="BC54" s="1410"/>
    </row>
    <row r="55" spans="1:55">
      <c r="A55" s="1896" t="s">
        <v>445</v>
      </c>
      <c r="B55" s="1528" t="s">
        <v>579</v>
      </c>
      <c r="C55" s="1533">
        <v>0</v>
      </c>
      <c r="D55" s="1534">
        <v>0</v>
      </c>
      <c r="E55" s="1535">
        <v>0</v>
      </c>
      <c r="F55" s="1536">
        <v>0</v>
      </c>
      <c r="G55" s="1537">
        <v>0</v>
      </c>
      <c r="H55" s="1538">
        <v>0</v>
      </c>
      <c r="I55" s="1539">
        <v>0</v>
      </c>
      <c r="J55" s="1541">
        <v>0</v>
      </c>
      <c r="K55" s="1410"/>
      <c r="L55" s="1410"/>
      <c r="M55" s="1410"/>
      <c r="N55" s="1410"/>
      <c r="O55" s="1410"/>
      <c r="P55" s="1410"/>
      <c r="Q55" s="1410"/>
      <c r="R55" s="1410"/>
      <c r="S55" s="1410"/>
      <c r="T55" s="1410"/>
      <c r="U55" s="1410"/>
      <c r="V55" s="1410"/>
      <c r="W55" s="1410"/>
      <c r="X55" s="1410"/>
      <c r="Y55" s="1410"/>
      <c r="Z55" s="1410"/>
      <c r="AA55" s="1410"/>
      <c r="AB55" s="1410"/>
      <c r="AC55" s="1410"/>
      <c r="AD55" s="1410"/>
      <c r="AE55" s="1410"/>
      <c r="AF55" s="1410"/>
      <c r="AG55" s="1410"/>
      <c r="AH55" s="1410"/>
      <c r="AI55" s="1410"/>
      <c r="AJ55" s="1410"/>
      <c r="AK55" s="1410"/>
      <c r="AL55" s="1410"/>
      <c r="AM55" s="1410"/>
      <c r="AN55" s="1410"/>
      <c r="AO55" s="1410"/>
      <c r="AP55" s="1410"/>
      <c r="AQ55" s="1410"/>
      <c r="AR55" s="1410"/>
      <c r="AS55" s="1410"/>
      <c r="AT55" s="1410"/>
      <c r="AU55" s="1410"/>
      <c r="AV55" s="1410"/>
      <c r="AW55" s="1410"/>
      <c r="AX55" s="1410"/>
      <c r="AY55" s="1410"/>
      <c r="AZ55" s="1410"/>
      <c r="BA55" s="1410"/>
      <c r="BB55" s="1410"/>
      <c r="BC55" s="1410"/>
    </row>
    <row r="56" spans="1:55">
      <c r="A56" s="1896" t="s">
        <v>445</v>
      </c>
      <c r="B56" s="1528" t="s">
        <v>291</v>
      </c>
      <c r="C56" s="1533">
        <v>15</v>
      </c>
      <c r="D56" s="1534">
        <v>12</v>
      </c>
      <c r="E56" s="1535">
        <v>3</v>
      </c>
      <c r="F56" s="1536">
        <v>12</v>
      </c>
      <c r="G56" s="1537">
        <v>0</v>
      </c>
      <c r="H56" s="1538">
        <v>0</v>
      </c>
      <c r="I56" s="1539">
        <v>0</v>
      </c>
      <c r="J56" s="1541">
        <v>0</v>
      </c>
      <c r="K56" s="1410"/>
      <c r="L56" s="1410"/>
      <c r="M56" s="1410"/>
      <c r="N56" s="1410"/>
      <c r="O56" s="1410"/>
      <c r="P56" s="1410"/>
      <c r="Q56" s="1410"/>
      <c r="R56" s="1410"/>
      <c r="S56" s="1410"/>
      <c r="T56" s="1410"/>
      <c r="U56" s="1410"/>
      <c r="V56" s="1410"/>
      <c r="W56" s="1410"/>
      <c r="X56" s="1410"/>
      <c r="Y56" s="1410"/>
      <c r="Z56" s="1410"/>
      <c r="AA56" s="1410"/>
      <c r="AB56" s="1410"/>
      <c r="AC56" s="1410"/>
      <c r="AD56" s="1410"/>
      <c r="AE56" s="1410"/>
      <c r="AF56" s="1410"/>
      <c r="AG56" s="1410"/>
      <c r="AH56" s="1410"/>
      <c r="AI56" s="1410"/>
      <c r="AJ56" s="1410"/>
      <c r="AK56" s="1410"/>
      <c r="AL56" s="1410"/>
      <c r="AM56" s="1410"/>
      <c r="AN56" s="1410"/>
      <c r="AO56" s="1410"/>
      <c r="AP56" s="1410"/>
      <c r="AQ56" s="1410"/>
      <c r="AR56" s="1410"/>
      <c r="AS56" s="1410"/>
      <c r="AT56" s="1410"/>
      <c r="AU56" s="1410"/>
      <c r="AV56" s="1410"/>
      <c r="AW56" s="1410"/>
      <c r="AX56" s="1410"/>
      <c r="AY56" s="1410"/>
      <c r="AZ56" s="1410"/>
      <c r="BA56" s="1410"/>
      <c r="BB56" s="1410"/>
      <c r="BC56" s="1410"/>
    </row>
    <row r="57" spans="1:55">
      <c r="A57" s="1896" t="s">
        <v>445</v>
      </c>
      <c r="B57" s="1528" t="s">
        <v>292</v>
      </c>
      <c r="C57" s="1533">
        <v>6</v>
      </c>
      <c r="D57" s="1534">
        <v>6</v>
      </c>
      <c r="E57" s="1535">
        <v>0</v>
      </c>
      <c r="F57" s="1536">
        <v>3</v>
      </c>
      <c r="G57" s="1537">
        <v>3</v>
      </c>
      <c r="H57" s="1538">
        <v>3</v>
      </c>
      <c r="I57" s="1539">
        <v>0</v>
      </c>
      <c r="J57" s="1541">
        <v>0</v>
      </c>
      <c r="K57" s="1410"/>
      <c r="L57" s="1410"/>
      <c r="M57" s="1410"/>
      <c r="N57" s="1410"/>
      <c r="O57" s="1410"/>
      <c r="P57" s="1410"/>
      <c r="Q57" s="1410"/>
      <c r="R57" s="1410"/>
      <c r="S57" s="1410"/>
      <c r="T57" s="1410"/>
      <c r="U57" s="1410"/>
      <c r="V57" s="1410"/>
      <c r="W57" s="1410"/>
      <c r="X57" s="1410"/>
      <c r="Y57" s="1410"/>
      <c r="Z57" s="1410"/>
      <c r="AA57" s="1410"/>
      <c r="AB57" s="1410"/>
      <c r="AC57" s="1410"/>
      <c r="AD57" s="1410"/>
      <c r="AE57" s="1410"/>
      <c r="AF57" s="1410"/>
      <c r="AG57" s="1410"/>
      <c r="AH57" s="1410"/>
      <c r="AI57" s="1410"/>
      <c r="AJ57" s="1410"/>
      <c r="AK57" s="1410"/>
      <c r="AL57" s="1410"/>
      <c r="AM57" s="1410"/>
      <c r="AN57" s="1410"/>
      <c r="AO57" s="1410"/>
      <c r="AP57" s="1410"/>
      <c r="AQ57" s="1410"/>
      <c r="AR57" s="1410"/>
      <c r="AS57" s="1410"/>
      <c r="AT57" s="1410"/>
      <c r="AU57" s="1410"/>
      <c r="AV57" s="1410"/>
      <c r="AW57" s="1410"/>
      <c r="AX57" s="1410"/>
      <c r="AY57" s="1410"/>
      <c r="AZ57" s="1410"/>
      <c r="BA57" s="1410"/>
      <c r="BB57" s="1410"/>
      <c r="BC57" s="1410"/>
    </row>
    <row r="58" spans="1:55">
      <c r="A58" s="1896" t="s">
        <v>445</v>
      </c>
      <c r="B58" s="1528" t="s">
        <v>248</v>
      </c>
      <c r="C58" s="1533">
        <v>0</v>
      </c>
      <c r="D58" s="1534">
        <v>0</v>
      </c>
      <c r="E58" s="1535">
        <v>0</v>
      </c>
      <c r="F58" s="1536">
        <v>0</v>
      </c>
      <c r="G58" s="1537">
        <v>0</v>
      </c>
      <c r="H58" s="1538">
        <v>0</v>
      </c>
      <c r="I58" s="1539">
        <v>0</v>
      </c>
      <c r="J58" s="1541">
        <v>0</v>
      </c>
      <c r="K58" s="1410"/>
      <c r="L58" s="1410"/>
      <c r="M58" s="1410"/>
      <c r="N58" s="1410"/>
      <c r="O58" s="1410"/>
      <c r="P58" s="1410"/>
      <c r="Q58" s="1410"/>
      <c r="R58" s="1410"/>
      <c r="S58" s="1410"/>
      <c r="T58" s="1410"/>
      <c r="U58" s="1410"/>
      <c r="V58" s="1410"/>
      <c r="W58" s="1410"/>
      <c r="X58" s="1410"/>
      <c r="Y58" s="1410"/>
      <c r="Z58" s="1410"/>
      <c r="AA58" s="1410"/>
      <c r="AB58" s="1410"/>
      <c r="AC58" s="1410"/>
      <c r="AD58" s="1410"/>
      <c r="AE58" s="1410"/>
      <c r="AF58" s="1410"/>
      <c r="AG58" s="1410"/>
      <c r="AH58" s="1410"/>
      <c r="AI58" s="1410"/>
      <c r="AJ58" s="1410"/>
      <c r="AK58" s="1410"/>
      <c r="AL58" s="1410"/>
      <c r="AM58" s="1410"/>
      <c r="AN58" s="1410"/>
      <c r="AO58" s="1410"/>
      <c r="AP58" s="1410"/>
      <c r="AQ58" s="1410"/>
      <c r="AR58" s="1410"/>
      <c r="AS58" s="1410"/>
      <c r="AT58" s="1410"/>
      <c r="AU58" s="1410"/>
      <c r="AV58" s="1410"/>
      <c r="AW58" s="1410"/>
      <c r="AX58" s="1410"/>
      <c r="AY58" s="1410"/>
      <c r="AZ58" s="1410"/>
      <c r="BA58" s="1410"/>
      <c r="BB58" s="1410"/>
      <c r="BC58" s="1410"/>
    </row>
    <row r="59" spans="1:55">
      <c r="A59" s="1896" t="s">
        <v>445</v>
      </c>
      <c r="B59" s="1528" t="s">
        <v>230</v>
      </c>
      <c r="C59" s="1537">
        <v>39</v>
      </c>
      <c r="D59" s="1538">
        <v>27</v>
      </c>
      <c r="E59" s="1540">
        <v>12</v>
      </c>
      <c r="F59" s="1541">
        <v>39</v>
      </c>
      <c r="G59" s="1537">
        <v>3</v>
      </c>
      <c r="H59" s="1538">
        <v>0</v>
      </c>
      <c r="I59" s="1539">
        <v>0</v>
      </c>
      <c r="J59" s="1541">
        <v>3</v>
      </c>
      <c r="K59" s="1410"/>
      <c r="L59" s="1410"/>
      <c r="M59" s="1410"/>
      <c r="N59" s="1410"/>
      <c r="O59" s="1410"/>
      <c r="P59" s="1410"/>
      <c r="Q59" s="1410"/>
      <c r="R59" s="1410"/>
      <c r="S59" s="1410"/>
      <c r="T59" s="1410"/>
      <c r="U59" s="1410"/>
      <c r="V59" s="1410"/>
      <c r="W59" s="1410"/>
      <c r="X59" s="1410"/>
      <c r="Y59" s="1410"/>
      <c r="Z59" s="1410"/>
      <c r="AA59" s="1410"/>
      <c r="AB59" s="1410"/>
      <c r="AC59" s="1410"/>
      <c r="AD59" s="1410"/>
      <c r="AE59" s="1410"/>
      <c r="AF59" s="1410"/>
      <c r="AG59" s="1410"/>
      <c r="AH59" s="1410"/>
      <c r="AI59" s="1410"/>
      <c r="AJ59" s="1410"/>
      <c r="AK59" s="1410"/>
      <c r="AL59" s="1410"/>
      <c r="AM59" s="1410"/>
      <c r="AN59" s="1410"/>
      <c r="AO59" s="1410"/>
      <c r="AP59" s="1410"/>
      <c r="AQ59" s="1410"/>
      <c r="AR59" s="1410"/>
      <c r="AS59" s="1410"/>
      <c r="AT59" s="1410"/>
      <c r="AU59" s="1410"/>
      <c r="AV59" s="1410"/>
      <c r="AW59" s="1410"/>
      <c r="AX59" s="1410"/>
      <c r="AY59" s="1410"/>
      <c r="AZ59" s="1410"/>
      <c r="BA59" s="1410"/>
      <c r="BB59" s="1410"/>
      <c r="BC59" s="1410"/>
    </row>
    <row r="60" spans="1:55">
      <c r="A60" s="1896" t="s">
        <v>445</v>
      </c>
      <c r="B60" s="1528" t="s">
        <v>247</v>
      </c>
      <c r="C60" s="1533">
        <v>0</v>
      </c>
      <c r="D60" s="1534">
        <v>0</v>
      </c>
      <c r="E60" s="1535">
        <v>0</v>
      </c>
      <c r="F60" s="1536">
        <v>0</v>
      </c>
      <c r="G60" s="1537">
        <v>0</v>
      </c>
      <c r="H60" s="1538">
        <v>0</v>
      </c>
      <c r="I60" s="1539">
        <v>0</v>
      </c>
      <c r="J60" s="1541">
        <v>0</v>
      </c>
      <c r="K60" s="1410"/>
      <c r="L60" s="1410"/>
      <c r="M60" s="1410"/>
      <c r="N60" s="1410"/>
      <c r="O60" s="1410"/>
      <c r="P60" s="1410"/>
      <c r="Q60" s="1410"/>
      <c r="R60" s="1410"/>
      <c r="S60" s="1410"/>
      <c r="T60" s="1410"/>
      <c r="U60" s="1410"/>
      <c r="V60" s="1410"/>
      <c r="W60" s="1410"/>
      <c r="X60" s="1410"/>
      <c r="Y60" s="1410"/>
      <c r="Z60" s="1410"/>
      <c r="AA60" s="1410"/>
      <c r="AB60" s="1410"/>
      <c r="AC60" s="1410"/>
      <c r="AD60" s="1410"/>
      <c r="AE60" s="1410"/>
      <c r="AF60" s="1410"/>
      <c r="AG60" s="1410"/>
      <c r="AH60" s="1410"/>
      <c r="AI60" s="1410"/>
      <c r="AJ60" s="1410"/>
      <c r="AK60" s="1410"/>
      <c r="AL60" s="1410"/>
      <c r="AM60" s="1410"/>
      <c r="AN60" s="1410"/>
      <c r="AO60" s="1410"/>
      <c r="AP60" s="1410"/>
      <c r="AQ60" s="1410"/>
      <c r="AR60" s="1410"/>
      <c r="AS60" s="1410"/>
      <c r="AT60" s="1410"/>
      <c r="AU60" s="1410"/>
      <c r="AV60" s="1410"/>
      <c r="AW60" s="1410"/>
      <c r="AX60" s="1410"/>
      <c r="AY60" s="1410"/>
      <c r="AZ60" s="1410"/>
      <c r="BA60" s="1410"/>
      <c r="BB60" s="1410"/>
      <c r="BC60" s="1410"/>
    </row>
    <row r="61" spans="1:55">
      <c r="A61" s="1896" t="s">
        <v>445</v>
      </c>
      <c r="B61" s="1528" t="s">
        <v>187</v>
      </c>
      <c r="C61" s="1533">
        <v>18</v>
      </c>
      <c r="D61" s="1534">
        <v>18</v>
      </c>
      <c r="E61" s="1535">
        <v>0</v>
      </c>
      <c r="F61" s="1536">
        <v>15</v>
      </c>
      <c r="G61" s="1537">
        <v>0</v>
      </c>
      <c r="H61" s="1538">
        <v>0</v>
      </c>
      <c r="I61" s="1539">
        <v>0</v>
      </c>
      <c r="J61" s="1541">
        <v>0</v>
      </c>
      <c r="K61" s="1410"/>
      <c r="L61" s="1410"/>
      <c r="M61" s="1410"/>
      <c r="N61" s="1410"/>
      <c r="O61" s="1410"/>
      <c r="P61" s="1410"/>
      <c r="Q61" s="1410"/>
      <c r="R61" s="1410"/>
      <c r="S61" s="1410"/>
      <c r="T61" s="1410"/>
      <c r="U61" s="1410"/>
      <c r="V61" s="1410"/>
      <c r="W61" s="1410"/>
      <c r="X61" s="1410"/>
      <c r="Y61" s="1410"/>
      <c r="Z61" s="1410"/>
      <c r="AA61" s="1410"/>
      <c r="AB61" s="1410"/>
      <c r="AC61" s="1410"/>
      <c r="AD61" s="1410"/>
      <c r="AE61" s="1410"/>
      <c r="AF61" s="1410"/>
      <c r="AG61" s="1410"/>
      <c r="AH61" s="1410"/>
      <c r="AI61" s="1410"/>
      <c r="AJ61" s="1410"/>
      <c r="AK61" s="1410"/>
      <c r="AL61" s="1410"/>
      <c r="AM61" s="1410"/>
      <c r="AN61" s="1410"/>
      <c r="AO61" s="1410"/>
      <c r="AP61" s="1410"/>
      <c r="AQ61" s="1410"/>
      <c r="AR61" s="1410"/>
      <c r="AS61" s="1410"/>
      <c r="AT61" s="1410"/>
      <c r="AU61" s="1410"/>
      <c r="AV61" s="1410"/>
      <c r="AW61" s="1410"/>
      <c r="AX61" s="1410"/>
      <c r="AY61" s="1410"/>
      <c r="AZ61" s="1410"/>
      <c r="BA61" s="1410"/>
      <c r="BB61" s="1410"/>
      <c r="BC61" s="1410"/>
    </row>
    <row r="62" spans="1:55">
      <c r="A62" s="1896" t="s">
        <v>445</v>
      </c>
      <c r="B62" s="1528" t="s">
        <v>265</v>
      </c>
      <c r="C62" s="1533">
        <v>9</v>
      </c>
      <c r="D62" s="1534">
        <v>6</v>
      </c>
      <c r="E62" s="1535">
        <v>0</v>
      </c>
      <c r="F62" s="1536">
        <v>9</v>
      </c>
      <c r="G62" s="1537">
        <v>0</v>
      </c>
      <c r="H62" s="1538">
        <v>0</v>
      </c>
      <c r="I62" s="1539">
        <v>0</v>
      </c>
      <c r="J62" s="1541">
        <v>0</v>
      </c>
      <c r="K62" s="1410"/>
      <c r="L62" s="1410"/>
      <c r="M62" s="1410"/>
      <c r="N62" s="1410"/>
      <c r="O62" s="1410"/>
      <c r="P62" s="1410"/>
      <c r="Q62" s="1410"/>
      <c r="R62" s="1410"/>
      <c r="S62" s="1410"/>
      <c r="T62" s="1410"/>
      <c r="U62" s="1410"/>
      <c r="V62" s="1410"/>
      <c r="W62" s="1410"/>
      <c r="X62" s="1410"/>
      <c r="Y62" s="1410"/>
      <c r="Z62" s="1410"/>
      <c r="AA62" s="1410"/>
      <c r="AB62" s="1410"/>
      <c r="AC62" s="1410"/>
      <c r="AD62" s="1410"/>
      <c r="AE62" s="1410"/>
      <c r="AF62" s="1410"/>
      <c r="AG62" s="1410"/>
      <c r="AH62" s="1410"/>
      <c r="AI62" s="1410"/>
      <c r="AJ62" s="1410"/>
      <c r="AK62" s="1410"/>
      <c r="AL62" s="1410"/>
      <c r="AM62" s="1410"/>
      <c r="AN62" s="1410"/>
      <c r="AO62" s="1410"/>
      <c r="AP62" s="1410"/>
      <c r="AQ62" s="1410"/>
      <c r="AR62" s="1410"/>
      <c r="AS62" s="1410"/>
      <c r="AT62" s="1410"/>
      <c r="AU62" s="1410"/>
      <c r="AV62" s="1410"/>
      <c r="AW62" s="1410"/>
      <c r="AX62" s="1410"/>
      <c r="AY62" s="1410"/>
      <c r="AZ62" s="1410"/>
      <c r="BA62" s="1410"/>
      <c r="BB62" s="1410"/>
      <c r="BC62" s="1410"/>
    </row>
    <row r="63" spans="1:55">
      <c r="A63" s="1896" t="s">
        <v>445</v>
      </c>
      <c r="B63" s="1528" t="s">
        <v>262</v>
      </c>
      <c r="C63" s="1533">
        <v>18</v>
      </c>
      <c r="D63" s="1534">
        <v>15</v>
      </c>
      <c r="E63" s="1535">
        <v>3</v>
      </c>
      <c r="F63" s="1536">
        <v>12</v>
      </c>
      <c r="G63" s="1537">
        <v>0</v>
      </c>
      <c r="H63" s="1538">
        <v>0</v>
      </c>
      <c r="I63" s="1539">
        <v>0</v>
      </c>
      <c r="J63" s="1541">
        <v>0</v>
      </c>
      <c r="K63" s="1410"/>
      <c r="L63" s="1410"/>
      <c r="M63" s="1410"/>
      <c r="N63" s="1410"/>
      <c r="O63" s="1410"/>
      <c r="P63" s="1410"/>
      <c r="Q63" s="1410"/>
      <c r="R63" s="1410"/>
      <c r="S63" s="1410"/>
      <c r="T63" s="1410"/>
      <c r="U63" s="1410"/>
      <c r="V63" s="1410"/>
      <c r="W63" s="1410"/>
      <c r="X63" s="1410"/>
      <c r="Y63" s="1410"/>
      <c r="Z63" s="1410"/>
      <c r="AA63" s="1410"/>
      <c r="AB63" s="1410"/>
      <c r="AC63" s="1410"/>
      <c r="AD63" s="1410"/>
      <c r="AE63" s="1410"/>
      <c r="AF63" s="1410"/>
      <c r="AG63" s="1410"/>
      <c r="AH63" s="1410"/>
      <c r="AI63" s="1410"/>
      <c r="AJ63" s="1410"/>
      <c r="AK63" s="1410"/>
      <c r="AL63" s="1410"/>
      <c r="AM63" s="1410"/>
      <c r="AN63" s="1410"/>
      <c r="AO63" s="1410"/>
      <c r="AP63" s="1410"/>
      <c r="AQ63" s="1410"/>
      <c r="AR63" s="1410"/>
      <c r="AS63" s="1410"/>
      <c r="AT63" s="1410"/>
      <c r="AU63" s="1410"/>
      <c r="AV63" s="1410"/>
      <c r="AW63" s="1410"/>
      <c r="AX63" s="1410"/>
      <c r="AY63" s="1410"/>
      <c r="AZ63" s="1410"/>
      <c r="BA63" s="1410"/>
      <c r="BB63" s="1410"/>
      <c r="BC63" s="1410"/>
    </row>
    <row r="64" spans="1:55">
      <c r="A64" s="1896"/>
      <c r="B64" s="1528" t="s">
        <v>295</v>
      </c>
      <c r="C64" s="1533">
        <v>3</v>
      </c>
      <c r="D64" s="1534">
        <v>3</v>
      </c>
      <c r="E64" s="1535">
        <v>0</v>
      </c>
      <c r="F64" s="1536">
        <v>3</v>
      </c>
      <c r="G64" s="1537">
        <v>0</v>
      </c>
      <c r="H64" s="1538">
        <v>0</v>
      </c>
      <c r="I64" s="1539">
        <v>0</v>
      </c>
      <c r="J64" s="1541">
        <v>0</v>
      </c>
      <c r="K64" s="1410"/>
      <c r="L64" s="1410"/>
      <c r="M64" s="1410"/>
      <c r="N64" s="1410"/>
      <c r="O64" s="1410"/>
      <c r="P64" s="1410"/>
      <c r="Q64" s="1410"/>
      <c r="R64" s="1410"/>
      <c r="S64" s="1410"/>
      <c r="T64" s="1410"/>
      <c r="U64" s="1410"/>
      <c r="V64" s="1410"/>
      <c r="W64" s="1410"/>
      <c r="X64" s="1410"/>
      <c r="Y64" s="1410"/>
      <c r="Z64" s="1410"/>
      <c r="AA64" s="1410"/>
      <c r="AB64" s="1410"/>
      <c r="AC64" s="1410"/>
      <c r="AD64" s="1410"/>
      <c r="AE64" s="1410"/>
      <c r="AF64" s="1410"/>
      <c r="AG64" s="1410"/>
      <c r="AH64" s="1410"/>
      <c r="AI64" s="1410"/>
      <c r="AJ64" s="1410"/>
      <c r="AK64" s="1410"/>
      <c r="AL64" s="1410"/>
      <c r="AM64" s="1410"/>
      <c r="AN64" s="1410"/>
      <c r="AO64" s="1410"/>
      <c r="AP64" s="1410"/>
      <c r="AQ64" s="1410"/>
      <c r="AR64" s="1410"/>
      <c r="AS64" s="1410"/>
      <c r="AT64" s="1410"/>
      <c r="AU64" s="1410"/>
      <c r="AV64" s="1410"/>
      <c r="AW64" s="1410"/>
      <c r="AX64" s="1410"/>
      <c r="AY64" s="1410"/>
      <c r="AZ64" s="1410"/>
      <c r="BA64" s="1410"/>
      <c r="BB64" s="1410"/>
      <c r="BC64" s="1410"/>
    </row>
    <row r="65" spans="1:55">
      <c r="A65" s="1896"/>
      <c r="B65" s="1528" t="s">
        <v>233</v>
      </c>
      <c r="C65" s="1537">
        <v>12</v>
      </c>
      <c r="D65" s="1538">
        <v>6</v>
      </c>
      <c r="E65" s="1540">
        <v>6</v>
      </c>
      <c r="F65" s="1541">
        <v>12</v>
      </c>
      <c r="G65" s="1537">
        <v>0</v>
      </c>
      <c r="H65" s="1538">
        <v>0</v>
      </c>
      <c r="I65" s="1539">
        <v>0</v>
      </c>
      <c r="J65" s="1541">
        <v>0</v>
      </c>
      <c r="K65" s="1410"/>
      <c r="L65" s="1410"/>
      <c r="M65" s="1410"/>
      <c r="N65" s="1410"/>
      <c r="O65" s="1410"/>
      <c r="P65" s="1410"/>
      <c r="Q65" s="1410"/>
      <c r="R65" s="1410"/>
      <c r="S65" s="1410"/>
      <c r="T65" s="1410"/>
      <c r="U65" s="1410"/>
      <c r="V65" s="1410"/>
      <c r="W65" s="1410"/>
      <c r="X65" s="1410"/>
      <c r="Y65" s="1410"/>
      <c r="Z65" s="1410"/>
      <c r="AA65" s="1410"/>
      <c r="AB65" s="1410"/>
      <c r="AC65" s="1410"/>
      <c r="AD65" s="1410"/>
      <c r="AE65" s="1410"/>
      <c r="AF65" s="1410"/>
      <c r="AG65" s="1410"/>
      <c r="AH65" s="1410"/>
      <c r="AI65" s="1410"/>
      <c r="AJ65" s="1410"/>
      <c r="AK65" s="1410"/>
      <c r="AL65" s="1410"/>
      <c r="AM65" s="1410"/>
      <c r="AN65" s="1410"/>
      <c r="AO65" s="1410"/>
      <c r="AP65" s="1410"/>
      <c r="AQ65" s="1410"/>
      <c r="AR65" s="1410"/>
      <c r="AS65" s="1410"/>
      <c r="AT65" s="1410"/>
      <c r="AU65" s="1410"/>
      <c r="AV65" s="1410"/>
      <c r="AW65" s="1410"/>
      <c r="AX65" s="1410"/>
      <c r="AY65" s="1410"/>
      <c r="AZ65" s="1410"/>
      <c r="BA65" s="1410"/>
      <c r="BB65" s="1410"/>
      <c r="BC65" s="1410"/>
    </row>
    <row r="66" spans="1:55">
      <c r="A66" s="1896" t="s">
        <v>445</v>
      </c>
      <c r="B66" s="1565" t="s">
        <v>234</v>
      </c>
      <c r="C66" s="1533">
        <v>21</v>
      </c>
      <c r="D66" s="1534">
        <v>15</v>
      </c>
      <c r="E66" s="1535">
        <v>6</v>
      </c>
      <c r="F66" s="1536">
        <v>21</v>
      </c>
      <c r="G66" s="1537">
        <v>0</v>
      </c>
      <c r="H66" s="1538">
        <v>0</v>
      </c>
      <c r="I66" s="1539">
        <v>0</v>
      </c>
      <c r="J66" s="1541">
        <v>0</v>
      </c>
      <c r="K66" s="1410"/>
      <c r="L66" s="1410"/>
      <c r="M66" s="1410"/>
      <c r="N66" s="1410"/>
      <c r="O66" s="1410"/>
      <c r="P66" s="1410"/>
      <c r="Q66" s="1410"/>
      <c r="R66" s="1410"/>
      <c r="S66" s="1410"/>
      <c r="T66" s="1410"/>
      <c r="U66" s="1410"/>
      <c r="V66" s="1410"/>
      <c r="W66" s="1410"/>
      <c r="X66" s="1410"/>
      <c r="Y66" s="1410"/>
      <c r="Z66" s="1410"/>
      <c r="AA66" s="1410"/>
      <c r="AB66" s="1410"/>
      <c r="AC66" s="1410"/>
      <c r="AD66" s="1410"/>
      <c r="AE66" s="1410"/>
      <c r="AF66" s="1410"/>
      <c r="AG66" s="1410"/>
      <c r="AH66" s="1410"/>
      <c r="AI66" s="1410"/>
      <c r="AJ66" s="1410"/>
      <c r="AK66" s="1410"/>
      <c r="AL66" s="1410"/>
      <c r="AM66" s="1410"/>
      <c r="AN66" s="1410"/>
      <c r="AO66" s="1410"/>
      <c r="AP66" s="1410"/>
      <c r="AQ66" s="1410"/>
      <c r="AR66" s="1410"/>
      <c r="AS66" s="1410"/>
      <c r="AT66" s="1410"/>
      <c r="AU66" s="1410"/>
      <c r="AV66" s="1410"/>
      <c r="AW66" s="1410"/>
      <c r="AX66" s="1410"/>
      <c r="AY66" s="1410"/>
      <c r="AZ66" s="1410"/>
      <c r="BA66" s="1410"/>
      <c r="BB66" s="1410"/>
      <c r="BC66" s="1410"/>
    </row>
    <row r="67" spans="1:55">
      <c r="A67" s="1896" t="s">
        <v>445</v>
      </c>
      <c r="B67" s="1528" t="s">
        <v>235</v>
      </c>
      <c r="C67" s="1533">
        <v>12</v>
      </c>
      <c r="D67" s="1534">
        <v>9</v>
      </c>
      <c r="E67" s="1535">
        <v>3</v>
      </c>
      <c r="F67" s="1536">
        <v>9</v>
      </c>
      <c r="G67" s="1537">
        <v>0</v>
      </c>
      <c r="H67" s="1538">
        <v>0</v>
      </c>
      <c r="I67" s="1539">
        <v>0</v>
      </c>
      <c r="J67" s="1541">
        <v>0</v>
      </c>
      <c r="K67" s="1410"/>
      <c r="L67" s="1410"/>
      <c r="M67" s="1410"/>
      <c r="N67" s="1410"/>
      <c r="O67" s="1410"/>
      <c r="P67" s="1410"/>
      <c r="Q67" s="1410"/>
      <c r="R67" s="1410"/>
      <c r="S67" s="1410"/>
      <c r="T67" s="1410"/>
      <c r="U67" s="1410"/>
      <c r="V67" s="1410"/>
      <c r="W67" s="1410"/>
      <c r="X67" s="1410"/>
      <c r="Y67" s="1410"/>
      <c r="Z67" s="1410"/>
      <c r="AA67" s="1410"/>
      <c r="AB67" s="1410"/>
      <c r="AC67" s="1410"/>
      <c r="AD67" s="1410"/>
      <c r="AE67" s="1410"/>
      <c r="AF67" s="1410"/>
      <c r="AG67" s="1410"/>
      <c r="AH67" s="1410"/>
      <c r="AI67" s="1410"/>
      <c r="AJ67" s="1410"/>
      <c r="AK67" s="1410"/>
      <c r="AL67" s="1410"/>
      <c r="AM67" s="1410"/>
      <c r="AN67" s="1410"/>
      <c r="AO67" s="1410"/>
      <c r="AP67" s="1410"/>
      <c r="AQ67" s="1410"/>
      <c r="AR67" s="1410"/>
      <c r="AS67" s="1410"/>
      <c r="AT67" s="1410"/>
      <c r="AU67" s="1410"/>
      <c r="AV67" s="1410"/>
      <c r="AW67" s="1410"/>
      <c r="AX67" s="1410"/>
      <c r="AY67" s="1410"/>
      <c r="AZ67" s="1410"/>
      <c r="BA67" s="1410"/>
      <c r="BB67" s="1410"/>
      <c r="BC67" s="1410"/>
    </row>
    <row r="68" spans="1:55" ht="15.75" customHeight="1">
      <c r="A68" s="1896" t="s">
        <v>445</v>
      </c>
      <c r="B68" s="1565" t="s">
        <v>260</v>
      </c>
      <c r="C68" s="1902">
        <v>120</v>
      </c>
      <c r="D68" s="1903">
        <v>108</v>
      </c>
      <c r="E68" s="1904">
        <v>12</v>
      </c>
      <c r="F68" s="1905">
        <v>102</v>
      </c>
      <c r="G68" s="1906">
        <v>6</v>
      </c>
      <c r="H68" s="1907">
        <v>6</v>
      </c>
      <c r="I68" s="1908">
        <v>0</v>
      </c>
      <c r="J68" s="1909">
        <v>3</v>
      </c>
      <c r="K68" s="1410"/>
      <c r="L68" s="1410"/>
      <c r="M68" s="1410"/>
      <c r="N68" s="1410"/>
      <c r="O68" s="1410"/>
      <c r="P68" s="1410"/>
      <c r="Q68" s="1410"/>
      <c r="R68" s="1410"/>
      <c r="S68" s="1410"/>
      <c r="T68" s="1410"/>
      <c r="U68" s="1410"/>
      <c r="V68" s="1410"/>
      <c r="W68" s="1410"/>
      <c r="X68" s="1410"/>
      <c r="Y68" s="1410"/>
      <c r="Z68" s="1410"/>
      <c r="AA68" s="1410"/>
      <c r="AB68" s="1410"/>
      <c r="AC68" s="1410"/>
      <c r="AD68" s="1410"/>
      <c r="AE68" s="1410"/>
      <c r="AF68" s="1410"/>
      <c r="AG68" s="1410"/>
      <c r="AH68" s="1410"/>
      <c r="AI68" s="1410"/>
      <c r="AJ68" s="1410"/>
      <c r="AK68" s="1410"/>
      <c r="AL68" s="1410"/>
      <c r="AM68" s="1410"/>
      <c r="AN68" s="1410"/>
      <c r="AO68" s="1410"/>
      <c r="AP68" s="1410"/>
      <c r="AQ68" s="1410"/>
      <c r="AR68" s="1410"/>
      <c r="AS68" s="1410"/>
      <c r="AT68" s="1410"/>
      <c r="AU68" s="1410"/>
      <c r="AV68" s="1410"/>
      <c r="AW68" s="1410"/>
      <c r="AX68" s="1410"/>
      <c r="AY68" s="1410"/>
      <c r="AZ68" s="1410"/>
      <c r="BA68" s="1410"/>
      <c r="BB68" s="1410"/>
      <c r="BC68" s="1410"/>
    </row>
    <row r="69" spans="1:55">
      <c r="A69" s="1564"/>
      <c r="B69" s="1813" t="s">
        <v>238</v>
      </c>
      <c r="C69" s="1533">
        <v>3</v>
      </c>
      <c r="D69" s="1534">
        <v>0</v>
      </c>
      <c r="E69" s="1535">
        <v>3</v>
      </c>
      <c r="F69" s="1536">
        <v>3</v>
      </c>
      <c r="G69" s="1537">
        <v>0</v>
      </c>
      <c r="H69" s="1538">
        <v>0</v>
      </c>
      <c r="I69" s="1539">
        <v>0</v>
      </c>
      <c r="J69" s="1541">
        <v>0</v>
      </c>
      <c r="K69" s="1410"/>
      <c r="L69" s="1410"/>
      <c r="M69" s="1410"/>
      <c r="N69" s="1410"/>
      <c r="O69" s="1410"/>
      <c r="P69" s="1410"/>
      <c r="Q69" s="1410"/>
      <c r="R69" s="1410"/>
      <c r="S69" s="1410"/>
      <c r="T69" s="1410"/>
      <c r="U69" s="1410"/>
      <c r="V69" s="1410"/>
      <c r="W69" s="1410"/>
      <c r="X69" s="1410"/>
      <c r="Y69" s="1410"/>
      <c r="Z69" s="1410"/>
      <c r="AA69" s="1410"/>
      <c r="AB69" s="1410"/>
      <c r="AC69" s="1410"/>
      <c r="AD69" s="1410"/>
      <c r="AE69" s="1410"/>
      <c r="AF69" s="1410"/>
      <c r="AG69" s="1410"/>
      <c r="AH69" s="1410"/>
      <c r="AI69" s="1410"/>
      <c r="AJ69" s="1410"/>
      <c r="AK69" s="1410"/>
      <c r="AL69" s="1410"/>
      <c r="AM69" s="1410"/>
      <c r="AN69" s="1410"/>
      <c r="AO69" s="1410"/>
      <c r="AP69" s="1410"/>
      <c r="AQ69" s="1410"/>
      <c r="AR69" s="1410"/>
      <c r="AS69" s="1410"/>
      <c r="AT69" s="1410"/>
      <c r="AU69" s="1410"/>
      <c r="AV69" s="1410"/>
      <c r="AW69" s="1410"/>
      <c r="AX69" s="1410"/>
      <c r="AY69" s="1410"/>
      <c r="AZ69" s="1410"/>
      <c r="BA69" s="1410"/>
      <c r="BB69" s="1410"/>
      <c r="BC69" s="1410"/>
    </row>
    <row r="70" spans="1:55">
      <c r="A70" s="1564"/>
      <c r="B70" s="1528" t="s">
        <v>578</v>
      </c>
      <c r="C70" s="1533">
        <v>21</v>
      </c>
      <c r="D70" s="1534">
        <v>18</v>
      </c>
      <c r="E70" s="1535">
        <v>3</v>
      </c>
      <c r="F70" s="1536">
        <v>15</v>
      </c>
      <c r="G70" s="1537">
        <v>9</v>
      </c>
      <c r="H70" s="1538">
        <v>6</v>
      </c>
      <c r="I70" s="1539">
        <v>3</v>
      </c>
      <c r="J70" s="1541">
        <v>9</v>
      </c>
      <c r="K70" s="1410"/>
      <c r="L70" s="1410"/>
      <c r="M70" s="1410"/>
      <c r="N70" s="1410"/>
      <c r="O70" s="1410"/>
      <c r="P70" s="1410"/>
      <c r="Q70" s="1410"/>
      <c r="R70" s="1410"/>
      <c r="S70" s="1410"/>
      <c r="T70" s="1410"/>
      <c r="U70" s="1410"/>
      <c r="V70" s="1410"/>
      <c r="W70" s="1410"/>
      <c r="X70" s="1410"/>
      <c r="Y70" s="1410"/>
      <c r="Z70" s="1410"/>
      <c r="AA70" s="1410"/>
      <c r="AB70" s="1410"/>
      <c r="AC70" s="1410"/>
      <c r="AD70" s="1410"/>
      <c r="AE70" s="1410"/>
      <c r="AF70" s="1410"/>
      <c r="AG70" s="1410"/>
      <c r="AH70" s="1410"/>
      <c r="AI70" s="1410"/>
      <c r="AJ70" s="1410"/>
      <c r="AK70" s="1410"/>
      <c r="AL70" s="1410"/>
      <c r="AM70" s="1410"/>
      <c r="AN70" s="1410"/>
      <c r="AO70" s="1410"/>
      <c r="AP70" s="1410"/>
      <c r="AQ70" s="1410"/>
      <c r="AR70" s="1410"/>
      <c r="AS70" s="1410"/>
      <c r="AT70" s="1410"/>
      <c r="AU70" s="1410"/>
      <c r="AV70" s="1410"/>
      <c r="AW70" s="1410"/>
      <c r="AX70" s="1410"/>
      <c r="AY70" s="1410"/>
      <c r="AZ70" s="1410"/>
      <c r="BA70" s="1410"/>
      <c r="BB70" s="1410"/>
      <c r="BC70" s="1410"/>
    </row>
    <row r="71" spans="1:55">
      <c r="A71" s="1564"/>
      <c r="B71" s="1528" t="s">
        <v>580</v>
      </c>
      <c r="C71" s="1533">
        <v>21</v>
      </c>
      <c r="D71" s="1534">
        <v>6</v>
      </c>
      <c r="E71" s="1535">
        <v>15</v>
      </c>
      <c r="F71" s="1536">
        <v>21</v>
      </c>
      <c r="G71" s="1537">
        <v>0</v>
      </c>
      <c r="H71" s="1538">
        <v>0</v>
      </c>
      <c r="I71" s="1539">
        <v>0</v>
      </c>
      <c r="J71" s="1541">
        <v>0</v>
      </c>
      <c r="K71" s="1410"/>
      <c r="L71" s="1410"/>
      <c r="M71" s="1410"/>
      <c r="N71" s="1410"/>
      <c r="O71" s="1410"/>
      <c r="P71" s="1410"/>
      <c r="Q71" s="1410"/>
      <c r="R71" s="1410"/>
      <c r="S71" s="1410"/>
      <c r="T71" s="1410"/>
      <c r="U71" s="1410"/>
      <c r="V71" s="1410"/>
      <c r="W71" s="1410"/>
      <c r="X71" s="1410"/>
      <c r="Y71" s="1410"/>
      <c r="Z71" s="1410"/>
      <c r="AA71" s="1410"/>
      <c r="AB71" s="1410"/>
      <c r="AC71" s="1410"/>
      <c r="AD71" s="1410"/>
      <c r="AE71" s="1410"/>
      <c r="AF71" s="1410"/>
      <c r="AG71" s="1410"/>
      <c r="AH71" s="1410"/>
      <c r="AI71" s="1410"/>
      <c r="AJ71" s="1410"/>
      <c r="AK71" s="1410"/>
      <c r="AL71" s="1410"/>
      <c r="AM71" s="1410"/>
      <c r="AN71" s="1410"/>
      <c r="AO71" s="1410"/>
      <c r="AP71" s="1410"/>
      <c r="AQ71" s="1410"/>
      <c r="AR71" s="1410"/>
      <c r="AS71" s="1410"/>
      <c r="AT71" s="1410"/>
      <c r="AU71" s="1410"/>
      <c r="AV71" s="1410"/>
      <c r="AW71" s="1410"/>
      <c r="AX71" s="1410"/>
      <c r="AY71" s="1410"/>
      <c r="AZ71" s="1410"/>
      <c r="BA71" s="1410"/>
      <c r="BB71" s="1410"/>
      <c r="BC71" s="1410"/>
    </row>
    <row r="72" spans="1:55">
      <c r="A72" s="1564"/>
      <c r="B72" s="1532" t="s">
        <v>244</v>
      </c>
      <c r="C72" s="1546">
        <v>21</v>
      </c>
      <c r="D72" s="1547">
        <v>12</v>
      </c>
      <c r="E72" s="1806">
        <v>9</v>
      </c>
      <c r="F72" s="1807">
        <v>21</v>
      </c>
      <c r="G72" s="1546">
        <v>0</v>
      </c>
      <c r="H72" s="1547">
        <v>0</v>
      </c>
      <c r="I72" s="1548">
        <v>0</v>
      </c>
      <c r="J72" s="1807">
        <v>0</v>
      </c>
      <c r="K72" s="1410"/>
      <c r="L72" s="1410"/>
      <c r="M72" s="1410"/>
      <c r="N72" s="1410"/>
      <c r="O72" s="1410"/>
      <c r="P72" s="1410"/>
      <c r="Q72" s="1410"/>
      <c r="R72" s="1410"/>
      <c r="S72" s="1410"/>
      <c r="T72" s="1410"/>
      <c r="U72" s="1410"/>
      <c r="V72" s="1410"/>
      <c r="W72" s="1410"/>
      <c r="X72" s="1410"/>
      <c r="Y72" s="1410"/>
      <c r="Z72" s="1410"/>
      <c r="AA72" s="1410"/>
      <c r="AB72" s="1410"/>
      <c r="AC72" s="1410"/>
      <c r="AD72" s="1410"/>
      <c r="AE72" s="1410"/>
      <c r="AF72" s="1410"/>
      <c r="AG72" s="1410"/>
      <c r="AH72" s="1410"/>
      <c r="AI72" s="1410"/>
      <c r="AJ72" s="1410"/>
      <c r="AK72" s="1410"/>
      <c r="AL72" s="1410"/>
      <c r="AM72" s="1410"/>
      <c r="AN72" s="1410"/>
      <c r="AO72" s="1410"/>
      <c r="AP72" s="1410"/>
      <c r="AQ72" s="1410"/>
      <c r="AR72" s="1410"/>
      <c r="AS72" s="1410"/>
      <c r="AT72" s="1410"/>
      <c r="AU72" s="1410"/>
      <c r="AV72" s="1410"/>
      <c r="AW72" s="1410"/>
      <c r="AX72" s="1410"/>
      <c r="AY72" s="1410"/>
      <c r="AZ72" s="1410"/>
      <c r="BA72" s="1410"/>
      <c r="BB72" s="1410"/>
      <c r="BC72" s="1410"/>
    </row>
    <row r="73" spans="1:55">
      <c r="A73" s="1563" t="s">
        <v>447</v>
      </c>
      <c r="B73" s="1528" t="s">
        <v>260</v>
      </c>
      <c r="C73" s="1533">
        <v>15</v>
      </c>
      <c r="D73" s="1534">
        <v>12</v>
      </c>
      <c r="E73" s="1535">
        <v>6</v>
      </c>
      <c r="F73" s="1536">
        <v>12</v>
      </c>
      <c r="G73" s="1537">
        <v>6</v>
      </c>
      <c r="H73" s="1538">
        <v>3</v>
      </c>
      <c r="I73" s="1539">
        <v>3</v>
      </c>
      <c r="J73" s="1541">
        <v>6</v>
      </c>
      <c r="K73" s="1410"/>
      <c r="L73" s="1410"/>
      <c r="M73" s="1410"/>
      <c r="N73" s="1410"/>
      <c r="O73" s="1410"/>
      <c r="P73" s="1410"/>
      <c r="Q73" s="1410"/>
      <c r="R73" s="1410"/>
      <c r="S73" s="1410"/>
      <c r="T73" s="1410"/>
      <c r="U73" s="1410"/>
      <c r="V73" s="1410"/>
      <c r="W73" s="1410"/>
      <c r="X73" s="1410"/>
      <c r="Y73" s="1410"/>
      <c r="Z73" s="1410"/>
      <c r="AA73" s="1410"/>
      <c r="AB73" s="1410"/>
      <c r="AC73" s="1410"/>
      <c r="AD73" s="1410"/>
      <c r="AE73" s="1410"/>
      <c r="AF73" s="1410"/>
      <c r="AG73" s="1410"/>
      <c r="AH73" s="1410"/>
      <c r="AI73" s="1410"/>
      <c r="AJ73" s="1410"/>
      <c r="AK73" s="1410"/>
      <c r="AL73" s="1410"/>
      <c r="AM73" s="1410"/>
      <c r="AN73" s="1410"/>
      <c r="AO73" s="1410"/>
      <c r="AP73" s="1410"/>
      <c r="AQ73" s="1410"/>
      <c r="AR73" s="1410"/>
      <c r="AS73" s="1410"/>
      <c r="AT73" s="1410"/>
      <c r="AU73" s="1410"/>
      <c r="AV73" s="1410"/>
      <c r="AW73" s="1410"/>
      <c r="AX73" s="1410"/>
      <c r="AY73" s="1410"/>
      <c r="AZ73" s="1410"/>
      <c r="BA73" s="1410"/>
      <c r="BB73" s="1410"/>
      <c r="BC73" s="1410"/>
    </row>
    <row r="74" spans="1:55">
      <c r="A74" s="1696"/>
      <c r="B74" s="1532" t="s">
        <v>237</v>
      </c>
      <c r="C74" s="1546">
        <v>3</v>
      </c>
      <c r="D74" s="1547">
        <v>3</v>
      </c>
      <c r="E74" s="1806">
        <v>3</v>
      </c>
      <c r="F74" s="1807">
        <v>3</v>
      </c>
      <c r="G74" s="1546">
        <v>0</v>
      </c>
      <c r="H74" s="1547">
        <v>0</v>
      </c>
      <c r="I74" s="1548">
        <v>0</v>
      </c>
      <c r="J74" s="1807">
        <v>0</v>
      </c>
      <c r="K74" s="1410"/>
      <c r="L74" s="1410"/>
      <c r="M74" s="1410"/>
      <c r="N74" s="1410"/>
      <c r="O74" s="1410"/>
      <c r="P74" s="1410"/>
      <c r="Q74" s="1410"/>
      <c r="R74" s="1410"/>
      <c r="S74" s="1410"/>
      <c r="T74" s="1410"/>
      <c r="U74" s="1410"/>
      <c r="V74" s="1410"/>
      <c r="W74" s="1410"/>
      <c r="X74" s="1410"/>
      <c r="Y74" s="1410"/>
      <c r="Z74" s="1410"/>
      <c r="AA74" s="1410"/>
      <c r="AB74" s="1410"/>
      <c r="AC74" s="1410"/>
      <c r="AD74" s="1410"/>
      <c r="AE74" s="1410"/>
      <c r="AF74" s="1410"/>
      <c r="AG74" s="1410"/>
      <c r="AH74" s="1410"/>
      <c r="AI74" s="1410"/>
      <c r="AJ74" s="1410"/>
      <c r="AK74" s="1410"/>
      <c r="AL74" s="1410"/>
      <c r="AM74" s="1410"/>
      <c r="AN74" s="1410"/>
      <c r="AO74" s="1410"/>
      <c r="AP74" s="1410"/>
      <c r="AQ74" s="1410"/>
      <c r="AR74" s="1410"/>
      <c r="AS74" s="1410"/>
      <c r="AT74" s="1410"/>
      <c r="AU74" s="1410"/>
      <c r="AV74" s="1410"/>
      <c r="AW74" s="1410"/>
      <c r="AX74" s="1410"/>
      <c r="AY74" s="1410"/>
      <c r="AZ74" s="1410"/>
      <c r="BA74" s="1410"/>
      <c r="BB74" s="1410"/>
      <c r="BC74" s="1410"/>
    </row>
    <row r="75" spans="1:55">
      <c r="A75" s="1564" t="s">
        <v>448</v>
      </c>
      <c r="B75" s="1528" t="s">
        <v>231</v>
      </c>
      <c r="C75" s="1533">
        <v>21</v>
      </c>
      <c r="D75" s="1534">
        <v>21</v>
      </c>
      <c r="E75" s="1535">
        <v>3</v>
      </c>
      <c r="F75" s="1536">
        <v>12</v>
      </c>
      <c r="G75" s="1537">
        <v>3</v>
      </c>
      <c r="H75" s="1538">
        <v>3</v>
      </c>
      <c r="I75" s="1539">
        <v>0</v>
      </c>
      <c r="J75" s="1541">
        <v>0</v>
      </c>
      <c r="K75" s="1410"/>
      <c r="L75" s="1410"/>
      <c r="M75" s="1410"/>
      <c r="N75" s="1410"/>
      <c r="O75" s="1410"/>
      <c r="P75" s="1410"/>
      <c r="Q75" s="1410"/>
      <c r="R75" s="1410"/>
      <c r="S75" s="1410"/>
      <c r="T75" s="1410"/>
      <c r="U75" s="1410"/>
      <c r="V75" s="1410"/>
      <c r="W75" s="1410"/>
      <c r="X75" s="1410"/>
      <c r="Y75" s="1410"/>
      <c r="Z75" s="1410"/>
      <c r="AA75" s="1410"/>
      <c r="AB75" s="1410"/>
      <c r="AC75" s="1410"/>
      <c r="AD75" s="1410"/>
      <c r="AE75" s="1410"/>
      <c r="AF75" s="1410"/>
      <c r="AG75" s="1410"/>
      <c r="AH75" s="1410"/>
      <c r="AI75" s="1410"/>
      <c r="AJ75" s="1410"/>
      <c r="AK75" s="1410"/>
      <c r="AL75" s="1410"/>
      <c r="AM75" s="1410"/>
      <c r="AN75" s="1410"/>
      <c r="AO75" s="1410"/>
      <c r="AP75" s="1410"/>
      <c r="AQ75" s="1410"/>
      <c r="AR75" s="1410"/>
      <c r="AS75" s="1410"/>
      <c r="AT75" s="1410"/>
      <c r="AU75" s="1410"/>
      <c r="AV75" s="1410"/>
      <c r="AW75" s="1410"/>
      <c r="AX75" s="1410"/>
      <c r="AY75" s="1410"/>
      <c r="AZ75" s="1410"/>
      <c r="BA75" s="1410"/>
      <c r="BB75" s="1410"/>
      <c r="BC75" s="1410"/>
    </row>
    <row r="76" spans="1:55">
      <c r="A76" s="1896" t="s">
        <v>448</v>
      </c>
      <c r="B76" s="1528" t="s">
        <v>574</v>
      </c>
      <c r="C76" s="1533">
        <v>6</v>
      </c>
      <c r="D76" s="1534">
        <v>0</v>
      </c>
      <c r="E76" s="1535">
        <v>3</v>
      </c>
      <c r="F76" s="1536">
        <v>3</v>
      </c>
      <c r="G76" s="1537">
        <v>3</v>
      </c>
      <c r="H76" s="1538">
        <v>0</v>
      </c>
      <c r="I76" s="1539">
        <v>3</v>
      </c>
      <c r="J76" s="1541">
        <v>3</v>
      </c>
      <c r="K76" s="1410"/>
      <c r="L76" s="1410"/>
      <c r="M76" s="1410"/>
      <c r="N76" s="1410"/>
      <c r="O76" s="1410"/>
      <c r="P76" s="1410"/>
      <c r="Q76" s="1410"/>
      <c r="R76" s="1410"/>
      <c r="S76" s="1410"/>
      <c r="T76" s="1410"/>
      <c r="U76" s="1410"/>
      <c r="V76" s="1410"/>
      <c r="W76" s="1410"/>
      <c r="X76" s="1410"/>
      <c r="Y76" s="1410"/>
      <c r="Z76" s="1410"/>
      <c r="AA76" s="1410"/>
      <c r="AB76" s="1410"/>
      <c r="AC76" s="1410"/>
      <c r="AD76" s="1410"/>
      <c r="AE76" s="1410"/>
      <c r="AF76" s="1410"/>
      <c r="AG76" s="1410"/>
      <c r="AH76" s="1410"/>
      <c r="AI76" s="1410"/>
      <c r="AJ76" s="1410"/>
      <c r="AK76" s="1410"/>
      <c r="AL76" s="1410"/>
      <c r="AM76" s="1410"/>
      <c r="AN76" s="1410"/>
      <c r="AO76" s="1410"/>
      <c r="AP76" s="1410"/>
      <c r="AQ76" s="1410"/>
      <c r="AR76" s="1410"/>
      <c r="AS76" s="1410"/>
      <c r="AT76" s="1410"/>
      <c r="AU76" s="1410"/>
      <c r="AV76" s="1410"/>
      <c r="AW76" s="1410"/>
      <c r="AX76" s="1410"/>
      <c r="AY76" s="1410"/>
      <c r="AZ76" s="1410"/>
      <c r="BA76" s="1410"/>
      <c r="BB76" s="1410"/>
      <c r="BC76" s="1410"/>
    </row>
    <row r="77" spans="1:55">
      <c r="A77" s="1896" t="s">
        <v>448</v>
      </c>
      <c r="B77" s="1565" t="s">
        <v>575</v>
      </c>
      <c r="C77" s="1533">
        <v>3</v>
      </c>
      <c r="D77" s="1534">
        <v>0</v>
      </c>
      <c r="E77" s="1535">
        <v>3</v>
      </c>
      <c r="F77" s="1536">
        <v>3</v>
      </c>
      <c r="G77" s="1537">
        <v>0</v>
      </c>
      <c r="H77" s="1538">
        <v>0</v>
      </c>
      <c r="I77" s="1539">
        <v>0</v>
      </c>
      <c r="J77" s="1541">
        <v>0</v>
      </c>
      <c r="K77" s="1410"/>
      <c r="L77" s="1410"/>
      <c r="M77" s="1410"/>
      <c r="N77" s="1410"/>
      <c r="O77" s="1410"/>
      <c r="P77" s="1410"/>
      <c r="Q77" s="1410"/>
      <c r="R77" s="1410"/>
      <c r="S77" s="1410"/>
      <c r="T77" s="1410"/>
      <c r="U77" s="1410"/>
      <c r="V77" s="1410"/>
      <c r="W77" s="1410"/>
      <c r="X77" s="1410"/>
      <c r="Y77" s="1410"/>
      <c r="Z77" s="1410"/>
      <c r="AA77" s="1410"/>
      <c r="AB77" s="1410"/>
      <c r="AC77" s="1410"/>
      <c r="AD77" s="1410"/>
      <c r="AE77" s="1410"/>
      <c r="AF77" s="1410"/>
      <c r="AG77" s="1410"/>
      <c r="AH77" s="1410"/>
      <c r="AI77" s="1410"/>
      <c r="AJ77" s="1410"/>
      <c r="AK77" s="1410"/>
      <c r="AL77" s="1410"/>
      <c r="AM77" s="1410"/>
      <c r="AN77" s="1410"/>
      <c r="AO77" s="1410"/>
      <c r="AP77" s="1410"/>
      <c r="AQ77" s="1410"/>
      <c r="AR77" s="1410"/>
      <c r="AS77" s="1410"/>
      <c r="AT77" s="1410"/>
      <c r="AU77" s="1410"/>
      <c r="AV77" s="1410"/>
      <c r="AW77" s="1410"/>
      <c r="AX77" s="1410"/>
      <c r="AY77" s="1410"/>
      <c r="AZ77" s="1410"/>
      <c r="BA77" s="1410"/>
      <c r="BB77" s="1410"/>
      <c r="BC77" s="1410"/>
    </row>
    <row r="78" spans="1:55">
      <c r="A78" s="1896" t="s">
        <v>448</v>
      </c>
      <c r="B78" s="1528" t="s">
        <v>247</v>
      </c>
      <c r="C78" s="1533">
        <v>15</v>
      </c>
      <c r="D78" s="1534">
        <v>12</v>
      </c>
      <c r="E78" s="1535">
        <v>3</v>
      </c>
      <c r="F78" s="1536">
        <v>12</v>
      </c>
      <c r="G78" s="1537">
        <v>0</v>
      </c>
      <c r="H78" s="1538">
        <v>0</v>
      </c>
      <c r="I78" s="1539">
        <v>0</v>
      </c>
      <c r="J78" s="1541">
        <v>0</v>
      </c>
      <c r="K78" s="1410"/>
      <c r="L78" s="1410"/>
      <c r="M78" s="1410"/>
      <c r="N78" s="1410"/>
      <c r="O78" s="1410"/>
      <c r="P78" s="1410"/>
      <c r="Q78" s="1410"/>
      <c r="R78" s="1410"/>
      <c r="S78" s="1410"/>
      <c r="T78" s="1410"/>
      <c r="U78" s="1410"/>
      <c r="V78" s="1410"/>
      <c r="W78" s="1410"/>
      <c r="X78" s="1410"/>
      <c r="Y78" s="1410"/>
      <c r="Z78" s="1410"/>
      <c r="AA78" s="1410"/>
      <c r="AB78" s="1410"/>
      <c r="AC78" s="1410"/>
      <c r="AD78" s="1410"/>
      <c r="AE78" s="1410"/>
      <c r="AF78" s="1410"/>
      <c r="AG78" s="1410"/>
      <c r="AH78" s="1410"/>
      <c r="AI78" s="1410"/>
      <c r="AJ78" s="1410"/>
      <c r="AK78" s="1410"/>
      <c r="AL78" s="1410"/>
      <c r="AM78" s="1410"/>
      <c r="AN78" s="1410"/>
      <c r="AO78" s="1410"/>
      <c r="AP78" s="1410"/>
      <c r="AQ78" s="1410"/>
      <c r="AR78" s="1410"/>
      <c r="AS78" s="1410"/>
      <c r="AT78" s="1410"/>
      <c r="AU78" s="1410"/>
      <c r="AV78" s="1410"/>
      <c r="AW78" s="1410"/>
      <c r="AX78" s="1410"/>
      <c r="AY78" s="1410"/>
      <c r="AZ78" s="1410"/>
      <c r="BA78" s="1410"/>
      <c r="BB78" s="1410"/>
      <c r="BC78" s="1410"/>
    </row>
    <row r="79" spans="1:55">
      <c r="A79" s="1896" t="s">
        <v>448</v>
      </c>
      <c r="B79" s="1528" t="s">
        <v>577</v>
      </c>
      <c r="C79" s="1533">
        <v>9</v>
      </c>
      <c r="D79" s="1534">
        <v>9</v>
      </c>
      <c r="E79" s="1535">
        <v>0</v>
      </c>
      <c r="F79" s="1536">
        <v>3</v>
      </c>
      <c r="G79" s="1537">
        <v>0</v>
      </c>
      <c r="H79" s="1538">
        <v>0</v>
      </c>
      <c r="I79" s="1539">
        <v>0</v>
      </c>
      <c r="J79" s="1541">
        <v>0</v>
      </c>
      <c r="K79" s="1410"/>
      <c r="L79" s="1410"/>
      <c r="M79" s="1410"/>
      <c r="N79" s="1410"/>
      <c r="O79" s="1410"/>
      <c r="P79" s="1410"/>
      <c r="Q79" s="1410"/>
      <c r="R79" s="1410"/>
      <c r="S79" s="1410"/>
      <c r="T79" s="1410"/>
      <c r="U79" s="1410"/>
      <c r="V79" s="1410"/>
      <c r="W79" s="1410"/>
      <c r="X79" s="1410"/>
      <c r="Y79" s="1410"/>
      <c r="Z79" s="1410"/>
      <c r="AA79" s="1410"/>
      <c r="AB79" s="1410"/>
      <c r="AC79" s="1410"/>
      <c r="AD79" s="1410"/>
      <c r="AE79" s="1410"/>
      <c r="AF79" s="1410"/>
      <c r="AG79" s="1410"/>
      <c r="AH79" s="1410"/>
      <c r="AI79" s="1410"/>
      <c r="AJ79" s="1410"/>
      <c r="AK79" s="1410"/>
      <c r="AL79" s="1410"/>
      <c r="AM79" s="1410"/>
      <c r="AN79" s="1410"/>
      <c r="AO79" s="1410"/>
      <c r="AP79" s="1410"/>
      <c r="AQ79" s="1410"/>
      <c r="AR79" s="1410"/>
      <c r="AS79" s="1410"/>
      <c r="AT79" s="1410"/>
      <c r="AU79" s="1410"/>
      <c r="AV79" s="1410"/>
      <c r="AW79" s="1410"/>
      <c r="AX79" s="1410"/>
      <c r="AY79" s="1410"/>
      <c r="AZ79" s="1410"/>
      <c r="BA79" s="1410"/>
      <c r="BB79" s="1410"/>
      <c r="BC79" s="1410"/>
    </row>
    <row r="80" spans="1:55">
      <c r="A80" s="1564"/>
      <c r="B80" s="1813" t="s">
        <v>233</v>
      </c>
      <c r="C80" s="1533">
        <v>3</v>
      </c>
      <c r="D80" s="1534">
        <v>0</v>
      </c>
      <c r="E80" s="1535">
        <v>0</v>
      </c>
      <c r="F80" s="1536">
        <v>3</v>
      </c>
      <c r="G80" s="1537">
        <v>0</v>
      </c>
      <c r="H80" s="1538">
        <v>0</v>
      </c>
      <c r="I80" s="1539">
        <v>0</v>
      </c>
      <c r="J80" s="1541">
        <v>0</v>
      </c>
      <c r="K80" s="1410"/>
      <c r="L80" s="1410"/>
      <c r="M80" s="1410"/>
      <c r="N80" s="1410"/>
      <c r="O80" s="1410"/>
      <c r="P80" s="1410"/>
      <c r="Q80" s="1410"/>
      <c r="R80" s="1410"/>
      <c r="S80" s="1410"/>
      <c r="T80" s="1410"/>
      <c r="U80" s="1410"/>
      <c r="V80" s="1410"/>
      <c r="W80" s="1410"/>
      <c r="X80" s="1410"/>
      <c r="Y80" s="1410"/>
      <c r="Z80" s="1410"/>
      <c r="AA80" s="1410"/>
      <c r="AB80" s="1410"/>
      <c r="AC80" s="1410"/>
      <c r="AD80" s="1410"/>
      <c r="AE80" s="1410"/>
      <c r="AF80" s="1410"/>
      <c r="AG80" s="1410"/>
      <c r="AH80" s="1410"/>
      <c r="AI80" s="1410"/>
      <c r="AJ80" s="1410"/>
      <c r="AK80" s="1410"/>
      <c r="AL80" s="1410"/>
      <c r="AM80" s="1410"/>
      <c r="AN80" s="1410"/>
      <c r="AO80" s="1410"/>
      <c r="AP80" s="1410"/>
      <c r="AQ80" s="1410"/>
      <c r="AR80" s="1410"/>
      <c r="AS80" s="1410"/>
      <c r="AT80" s="1410"/>
      <c r="AU80" s="1410"/>
      <c r="AV80" s="1410"/>
      <c r="AW80" s="1410"/>
      <c r="AX80" s="1410"/>
      <c r="AY80" s="1410"/>
      <c r="AZ80" s="1410"/>
      <c r="BA80" s="1410"/>
      <c r="BB80" s="1410"/>
      <c r="BC80" s="1410"/>
    </row>
    <row r="81" spans="1:55">
      <c r="A81" s="1896" t="s">
        <v>449</v>
      </c>
      <c r="B81" s="1813" t="s">
        <v>260</v>
      </c>
      <c r="C81" s="1533">
        <v>9</v>
      </c>
      <c r="D81" s="1534">
        <v>6</v>
      </c>
      <c r="E81" s="1535">
        <v>0</v>
      </c>
      <c r="F81" s="1536">
        <v>3</v>
      </c>
      <c r="G81" s="1537">
        <v>0</v>
      </c>
      <c r="H81" s="1538">
        <v>0</v>
      </c>
      <c r="I81" s="1539">
        <v>0</v>
      </c>
      <c r="J81" s="1541">
        <v>0</v>
      </c>
      <c r="K81" s="1410"/>
      <c r="L81" s="1410"/>
      <c r="M81" s="1410"/>
      <c r="N81" s="1410"/>
      <c r="O81" s="1410"/>
      <c r="P81" s="1410"/>
      <c r="Q81" s="1410"/>
      <c r="R81" s="1410"/>
      <c r="S81" s="1410"/>
      <c r="T81" s="1410"/>
      <c r="U81" s="1410"/>
      <c r="V81" s="1410"/>
      <c r="W81" s="1410"/>
      <c r="X81" s="1410"/>
      <c r="Y81" s="1410"/>
      <c r="Z81" s="1410"/>
      <c r="AA81" s="1410"/>
      <c r="AB81" s="1410"/>
      <c r="AC81" s="1410"/>
      <c r="AD81" s="1410"/>
      <c r="AE81" s="1410"/>
      <c r="AF81" s="1410"/>
      <c r="AG81" s="1410"/>
      <c r="AH81" s="1410"/>
      <c r="AI81" s="1410"/>
      <c r="AJ81" s="1410"/>
      <c r="AK81" s="1410"/>
      <c r="AL81" s="1410"/>
      <c r="AM81" s="1410"/>
      <c r="AN81" s="1410"/>
      <c r="AO81" s="1410"/>
      <c r="AP81" s="1410"/>
      <c r="AQ81" s="1410"/>
      <c r="AR81" s="1410"/>
      <c r="AS81" s="1410"/>
      <c r="AT81" s="1410"/>
      <c r="AU81" s="1410"/>
      <c r="AV81" s="1410"/>
      <c r="AW81" s="1410"/>
      <c r="AX81" s="1410"/>
      <c r="AY81" s="1410"/>
      <c r="AZ81" s="1410"/>
      <c r="BA81" s="1410"/>
      <c r="BB81" s="1410"/>
      <c r="BC81" s="1410"/>
    </row>
    <row r="82" spans="1:55">
      <c r="A82" s="1564"/>
      <c r="B82" s="1813" t="s">
        <v>578</v>
      </c>
      <c r="C82" s="1533">
        <v>12</v>
      </c>
      <c r="D82" s="1534">
        <v>9</v>
      </c>
      <c r="E82" s="1535">
        <v>3</v>
      </c>
      <c r="F82" s="1536">
        <v>9</v>
      </c>
      <c r="G82" s="1537">
        <v>0</v>
      </c>
      <c r="H82" s="1538">
        <v>0</v>
      </c>
      <c r="I82" s="1539">
        <v>0</v>
      </c>
      <c r="J82" s="1541">
        <v>0</v>
      </c>
      <c r="K82" s="1410"/>
      <c r="L82" s="1410"/>
      <c r="M82" s="1410"/>
      <c r="N82" s="1410"/>
      <c r="O82" s="1410"/>
      <c r="P82" s="1410"/>
      <c r="Q82" s="1410"/>
      <c r="R82" s="1410"/>
      <c r="S82" s="1410"/>
      <c r="T82" s="1410"/>
      <c r="U82" s="1410"/>
      <c r="V82" s="1410"/>
      <c r="W82" s="1410"/>
      <c r="X82" s="1410"/>
      <c r="Y82" s="1410"/>
      <c r="Z82" s="1410"/>
      <c r="AA82" s="1410"/>
      <c r="AB82" s="1410"/>
      <c r="AC82" s="1410"/>
      <c r="AD82" s="1410"/>
      <c r="AE82" s="1410"/>
      <c r="AF82" s="1410"/>
      <c r="AG82" s="1410"/>
      <c r="AH82" s="1410"/>
      <c r="AI82" s="1410"/>
      <c r="AJ82" s="1410"/>
      <c r="AK82" s="1410"/>
      <c r="AL82" s="1410"/>
      <c r="AM82" s="1410"/>
      <c r="AN82" s="1410"/>
      <c r="AO82" s="1410"/>
      <c r="AP82" s="1410"/>
      <c r="AQ82" s="1410"/>
      <c r="AR82" s="1410"/>
      <c r="AS82" s="1410"/>
      <c r="AT82" s="1410"/>
      <c r="AU82" s="1410"/>
      <c r="AV82" s="1410"/>
      <c r="AW82" s="1410"/>
      <c r="AX82" s="1410"/>
      <c r="AY82" s="1410"/>
      <c r="AZ82" s="1410"/>
      <c r="BA82" s="1410"/>
      <c r="BB82" s="1410"/>
      <c r="BC82" s="1410"/>
    </row>
    <row r="83" spans="1:55">
      <c r="A83" s="1696"/>
      <c r="B83" s="1532" t="s">
        <v>261</v>
      </c>
      <c r="C83" s="1542">
        <v>6</v>
      </c>
      <c r="D83" s="1543">
        <v>6</v>
      </c>
      <c r="E83" s="1544">
        <v>0</v>
      </c>
      <c r="F83" s="1545">
        <v>6</v>
      </c>
      <c r="G83" s="1546">
        <v>3</v>
      </c>
      <c r="H83" s="1547">
        <v>3</v>
      </c>
      <c r="I83" s="1548">
        <v>0</v>
      </c>
      <c r="J83" s="1807">
        <v>3</v>
      </c>
      <c r="K83" s="1410"/>
      <c r="L83" s="1410"/>
      <c r="M83" s="1410"/>
      <c r="N83" s="1410"/>
      <c r="O83" s="1410"/>
      <c r="P83" s="1410"/>
      <c r="Q83" s="1410"/>
      <c r="R83" s="1410"/>
      <c r="S83" s="1410"/>
      <c r="T83" s="1410"/>
      <c r="U83" s="1410"/>
      <c r="V83" s="1410"/>
      <c r="W83" s="1410"/>
      <c r="X83" s="1410"/>
      <c r="Y83" s="1410"/>
      <c r="Z83" s="1410"/>
      <c r="AA83" s="1410"/>
      <c r="AB83" s="1410"/>
      <c r="AC83" s="1410"/>
      <c r="AD83" s="1410"/>
      <c r="AE83" s="1410"/>
      <c r="AF83" s="1410"/>
      <c r="AG83" s="1410"/>
      <c r="AH83" s="1410"/>
      <c r="AI83" s="1410"/>
      <c r="AJ83" s="1410"/>
      <c r="AK83" s="1410"/>
      <c r="AL83" s="1410"/>
      <c r="AM83" s="1410"/>
      <c r="AN83" s="1410"/>
      <c r="AO83" s="1410"/>
      <c r="AP83" s="1410"/>
      <c r="AQ83" s="1410"/>
      <c r="AR83" s="1410"/>
      <c r="AS83" s="1410"/>
      <c r="AT83" s="1410"/>
      <c r="AU83" s="1410"/>
      <c r="AV83" s="1410"/>
      <c r="AW83" s="1410"/>
      <c r="AX83" s="1410"/>
      <c r="AY83" s="1410"/>
      <c r="AZ83" s="1410"/>
      <c r="BA83" s="1410"/>
      <c r="BB83" s="1410"/>
      <c r="BC83" s="1410"/>
    </row>
    <row r="84" spans="1:55">
      <c r="A84" s="1563" t="s">
        <v>449</v>
      </c>
      <c r="B84" s="1528" t="s">
        <v>231</v>
      </c>
      <c r="C84" s="1533">
        <v>12</v>
      </c>
      <c r="D84" s="1534">
        <v>6</v>
      </c>
      <c r="E84" s="1535">
        <v>6</v>
      </c>
      <c r="F84" s="1536">
        <v>6</v>
      </c>
      <c r="G84" s="1537">
        <v>0</v>
      </c>
      <c r="H84" s="1538">
        <v>0</v>
      </c>
      <c r="I84" s="1539">
        <v>0</v>
      </c>
      <c r="J84" s="1541">
        <v>0</v>
      </c>
      <c r="K84" s="1410"/>
      <c r="L84" s="1410"/>
      <c r="M84" s="1410"/>
      <c r="N84" s="1410"/>
      <c r="O84" s="1410"/>
      <c r="P84" s="1410"/>
      <c r="Q84" s="1410"/>
      <c r="R84" s="1410"/>
      <c r="S84" s="1410"/>
      <c r="T84" s="1410"/>
      <c r="U84" s="1410"/>
      <c r="V84" s="1410"/>
      <c r="W84" s="1410"/>
      <c r="X84" s="1410"/>
      <c r="Y84" s="1410"/>
      <c r="Z84" s="1410"/>
      <c r="AA84" s="1410"/>
      <c r="AB84" s="1410"/>
      <c r="AC84" s="1410"/>
      <c r="AD84" s="1410"/>
      <c r="AE84" s="1410"/>
      <c r="AF84" s="1410"/>
      <c r="AG84" s="1410"/>
      <c r="AH84" s="1410"/>
      <c r="AI84" s="1410"/>
      <c r="AJ84" s="1410"/>
      <c r="AK84" s="1410"/>
      <c r="AL84" s="1410"/>
      <c r="AM84" s="1410"/>
      <c r="AN84" s="1410"/>
      <c r="AO84" s="1410"/>
      <c r="AP84" s="1410"/>
      <c r="AQ84" s="1410"/>
      <c r="AR84" s="1410"/>
      <c r="AS84" s="1410"/>
      <c r="AT84" s="1410"/>
      <c r="AU84" s="1410"/>
      <c r="AV84" s="1410"/>
      <c r="AW84" s="1410"/>
      <c r="AX84" s="1410"/>
      <c r="AY84" s="1410"/>
      <c r="AZ84" s="1410"/>
      <c r="BA84" s="1410"/>
      <c r="BB84" s="1410"/>
      <c r="BC84" s="1410"/>
    </row>
    <row r="85" spans="1:55">
      <c r="A85" s="1564"/>
      <c r="B85" s="1528" t="s">
        <v>257</v>
      </c>
      <c r="C85" s="1808">
        <v>3</v>
      </c>
      <c r="D85" s="1534">
        <v>3</v>
      </c>
      <c r="E85" s="1535">
        <v>0</v>
      </c>
      <c r="F85" s="1536">
        <v>3</v>
      </c>
      <c r="G85" s="1537">
        <v>0</v>
      </c>
      <c r="H85" s="1538">
        <v>0</v>
      </c>
      <c r="I85" s="1539">
        <v>0</v>
      </c>
      <c r="J85" s="1541">
        <v>0</v>
      </c>
      <c r="K85" s="1410"/>
      <c r="L85" s="1410"/>
      <c r="M85" s="1410"/>
      <c r="N85" s="1410"/>
      <c r="O85" s="1410"/>
      <c r="P85" s="1410"/>
      <c r="Q85" s="1410"/>
      <c r="R85" s="1410"/>
      <c r="S85" s="1410"/>
      <c r="T85" s="1410"/>
      <c r="U85" s="1410"/>
      <c r="V85" s="1410"/>
      <c r="W85" s="1410"/>
      <c r="X85" s="1410"/>
      <c r="Y85" s="1410"/>
      <c r="Z85" s="1410"/>
      <c r="AA85" s="1410"/>
      <c r="AB85" s="1410"/>
      <c r="AC85" s="1410"/>
      <c r="AD85" s="1410"/>
      <c r="AE85" s="1410"/>
      <c r="AF85" s="1410"/>
      <c r="AG85" s="1410"/>
      <c r="AH85" s="1410"/>
      <c r="AI85" s="1410"/>
      <c r="AJ85" s="1410"/>
      <c r="AK85" s="1410"/>
      <c r="AL85" s="1410"/>
      <c r="AM85" s="1410"/>
      <c r="AN85" s="1410"/>
      <c r="AO85" s="1410"/>
      <c r="AP85" s="1410"/>
      <c r="AQ85" s="1410"/>
      <c r="AR85" s="1410"/>
      <c r="AS85" s="1410"/>
      <c r="AT85" s="1410"/>
      <c r="AU85" s="1410"/>
      <c r="AV85" s="1410"/>
      <c r="AW85" s="1410"/>
      <c r="AX85" s="1410"/>
      <c r="AY85" s="1410"/>
      <c r="AZ85" s="1410"/>
      <c r="BA85" s="1410"/>
      <c r="BB85" s="1410"/>
      <c r="BC85" s="1410"/>
    </row>
    <row r="86" spans="1:55">
      <c r="A86" s="1696"/>
      <c r="B86" s="1532" t="s">
        <v>581</v>
      </c>
      <c r="C86" s="1814">
        <v>12</v>
      </c>
      <c r="D86" s="1543">
        <v>12</v>
      </c>
      <c r="E86" s="1544">
        <v>0</v>
      </c>
      <c r="F86" s="1545">
        <v>9</v>
      </c>
      <c r="G86" s="1546">
        <v>0</v>
      </c>
      <c r="H86" s="1547">
        <v>0</v>
      </c>
      <c r="I86" s="1548">
        <v>0</v>
      </c>
      <c r="J86" s="1807">
        <v>0</v>
      </c>
      <c r="K86" s="1410"/>
      <c r="L86" s="1410"/>
      <c r="M86" s="1410"/>
      <c r="N86" s="1410"/>
      <c r="O86" s="1410"/>
      <c r="P86" s="1410"/>
      <c r="Q86" s="1410"/>
      <c r="R86" s="1410"/>
      <c r="S86" s="1410"/>
      <c r="T86" s="1410"/>
      <c r="U86" s="1410"/>
      <c r="V86" s="1410"/>
      <c r="W86" s="1410"/>
      <c r="X86" s="1410"/>
      <c r="Y86" s="1410"/>
      <c r="Z86" s="1410"/>
      <c r="AA86" s="1410"/>
      <c r="AB86" s="1410"/>
      <c r="AC86" s="1410"/>
      <c r="AD86" s="1410"/>
      <c r="AE86" s="1410"/>
      <c r="AF86" s="1410"/>
      <c r="AG86" s="1410"/>
      <c r="AH86" s="1410"/>
      <c r="AI86" s="1410"/>
      <c r="AJ86" s="1410"/>
      <c r="AK86" s="1410"/>
      <c r="AL86" s="1410"/>
      <c r="AM86" s="1410"/>
      <c r="AN86" s="1410"/>
      <c r="AO86" s="1410"/>
      <c r="AP86" s="1410"/>
      <c r="AQ86" s="1410"/>
      <c r="AR86" s="1410"/>
      <c r="AS86" s="1410"/>
      <c r="AT86" s="1410"/>
      <c r="AU86" s="1410"/>
      <c r="AV86" s="1410"/>
      <c r="AW86" s="1410"/>
      <c r="AX86" s="1410"/>
      <c r="AY86" s="1410"/>
      <c r="AZ86" s="1410"/>
      <c r="BA86" s="1410"/>
      <c r="BB86" s="1410"/>
      <c r="BC86" s="1410"/>
    </row>
    <row r="87" spans="1:55">
      <c r="A87" s="1564" t="s">
        <v>452</v>
      </c>
      <c r="B87" s="1528" t="s">
        <v>231</v>
      </c>
      <c r="C87" s="1808">
        <v>21</v>
      </c>
      <c r="D87" s="1534">
        <v>21</v>
      </c>
      <c r="E87" s="1535">
        <v>0</v>
      </c>
      <c r="F87" s="1536">
        <v>18</v>
      </c>
      <c r="G87" s="1537">
        <v>0</v>
      </c>
      <c r="H87" s="1538">
        <v>0</v>
      </c>
      <c r="I87" s="1539">
        <v>0</v>
      </c>
      <c r="J87" s="1541">
        <v>0</v>
      </c>
      <c r="K87" s="1410"/>
      <c r="L87" s="1410"/>
      <c r="M87" s="1410"/>
      <c r="N87" s="1410"/>
      <c r="O87" s="1410"/>
      <c r="P87" s="1410"/>
      <c r="Q87" s="1410"/>
      <c r="R87" s="1410"/>
      <c r="S87" s="1410"/>
      <c r="T87" s="1410"/>
      <c r="U87" s="1410"/>
      <c r="V87" s="1410"/>
      <c r="W87" s="1410"/>
      <c r="X87" s="1410"/>
      <c r="Y87" s="1410"/>
      <c r="Z87" s="1410"/>
      <c r="AA87" s="1410"/>
      <c r="AB87" s="1410"/>
      <c r="AC87" s="1410"/>
      <c r="AD87" s="1410"/>
      <c r="AE87" s="1410"/>
      <c r="AF87" s="1410"/>
      <c r="AG87" s="1410"/>
      <c r="AH87" s="1410"/>
      <c r="AI87" s="1410"/>
      <c r="AJ87" s="1410"/>
      <c r="AK87" s="1410"/>
      <c r="AL87" s="1410"/>
      <c r="AM87" s="1410"/>
      <c r="AN87" s="1410"/>
      <c r="AO87" s="1410"/>
      <c r="AP87" s="1410"/>
      <c r="AQ87" s="1410"/>
      <c r="AR87" s="1410"/>
      <c r="AS87" s="1410"/>
      <c r="AT87" s="1410"/>
      <c r="AU87" s="1410"/>
      <c r="AV87" s="1410"/>
      <c r="AW87" s="1410"/>
      <c r="AX87" s="1410"/>
      <c r="AY87" s="1410"/>
      <c r="AZ87" s="1410"/>
      <c r="BA87" s="1410"/>
      <c r="BB87" s="1410"/>
      <c r="BC87" s="1410"/>
    </row>
    <row r="88" spans="1:55">
      <c r="A88" s="1564"/>
      <c r="B88" s="1528" t="s">
        <v>582</v>
      </c>
      <c r="C88" s="1808">
        <v>21</v>
      </c>
      <c r="D88" s="1534">
        <v>3</v>
      </c>
      <c r="E88" s="1535">
        <v>18</v>
      </c>
      <c r="F88" s="1536">
        <v>18</v>
      </c>
      <c r="G88" s="1537">
        <v>0</v>
      </c>
      <c r="H88" s="1538">
        <v>0</v>
      </c>
      <c r="I88" s="1539">
        <v>0</v>
      </c>
      <c r="J88" s="1541">
        <v>0</v>
      </c>
      <c r="K88" s="1410"/>
      <c r="L88" s="1410"/>
      <c r="M88" s="1410"/>
      <c r="N88" s="1410"/>
      <c r="O88" s="1410"/>
      <c r="P88" s="1410"/>
      <c r="Q88" s="1410"/>
      <c r="R88" s="1410"/>
      <c r="S88" s="1410"/>
      <c r="T88" s="1410"/>
      <c r="U88" s="1410"/>
      <c r="V88" s="1410"/>
      <c r="W88" s="1410"/>
      <c r="X88" s="1410"/>
      <c r="Y88" s="1410"/>
      <c r="Z88" s="1410"/>
      <c r="AA88" s="1410"/>
      <c r="AB88" s="1410"/>
      <c r="AC88" s="1410"/>
      <c r="AD88" s="1410"/>
      <c r="AE88" s="1410"/>
      <c r="AF88" s="1410"/>
      <c r="AG88" s="1410"/>
      <c r="AH88" s="1410"/>
      <c r="AI88" s="1410"/>
      <c r="AJ88" s="1410"/>
      <c r="AK88" s="1410"/>
      <c r="AL88" s="1410"/>
      <c r="AM88" s="1410"/>
      <c r="AN88" s="1410"/>
      <c r="AO88" s="1410"/>
      <c r="AP88" s="1410"/>
      <c r="AQ88" s="1410"/>
      <c r="AR88" s="1410"/>
      <c r="AS88" s="1410"/>
      <c r="AT88" s="1410"/>
      <c r="AU88" s="1410"/>
      <c r="AV88" s="1410"/>
      <c r="AW88" s="1410"/>
      <c r="AX88" s="1410"/>
      <c r="AY88" s="1410"/>
      <c r="AZ88" s="1410"/>
      <c r="BA88" s="1410"/>
      <c r="BB88" s="1410"/>
      <c r="BC88" s="1410"/>
    </row>
    <row r="89" spans="1:55">
      <c r="A89" s="1564"/>
      <c r="B89" s="1528" t="s">
        <v>293</v>
      </c>
      <c r="C89" s="1808">
        <v>0</v>
      </c>
      <c r="D89" s="1534">
        <v>0</v>
      </c>
      <c r="E89" s="1535">
        <v>0</v>
      </c>
      <c r="F89" s="1536">
        <v>0</v>
      </c>
      <c r="G89" s="1537">
        <v>0</v>
      </c>
      <c r="H89" s="1538">
        <v>0</v>
      </c>
      <c r="I89" s="1539">
        <v>0</v>
      </c>
      <c r="J89" s="1541">
        <v>0</v>
      </c>
      <c r="K89" s="1410"/>
      <c r="L89" s="1410"/>
      <c r="M89" s="1410"/>
      <c r="N89" s="1410"/>
      <c r="O89" s="1410"/>
      <c r="P89" s="1410"/>
      <c r="Q89" s="1410"/>
      <c r="R89" s="1410"/>
      <c r="S89" s="1410"/>
      <c r="T89" s="1410"/>
      <c r="U89" s="1410"/>
      <c r="V89" s="1410"/>
      <c r="W89" s="1410"/>
      <c r="X89" s="1410"/>
      <c r="Y89" s="1410"/>
      <c r="Z89" s="1410"/>
      <c r="AA89" s="1410"/>
      <c r="AB89" s="1410"/>
      <c r="AC89" s="1410"/>
      <c r="AD89" s="1410"/>
      <c r="AE89" s="1410"/>
      <c r="AF89" s="1410"/>
      <c r="AG89" s="1410"/>
      <c r="AH89" s="1410"/>
      <c r="AI89" s="1410"/>
      <c r="AJ89" s="1410"/>
      <c r="AK89" s="1410"/>
      <c r="AL89" s="1410"/>
      <c r="AM89" s="1410"/>
      <c r="AN89" s="1410"/>
      <c r="AO89" s="1410"/>
      <c r="AP89" s="1410"/>
      <c r="AQ89" s="1410"/>
      <c r="AR89" s="1410"/>
      <c r="AS89" s="1410"/>
      <c r="AT89" s="1410"/>
      <c r="AU89" s="1410"/>
      <c r="AV89" s="1410"/>
      <c r="AW89" s="1410"/>
      <c r="AX89" s="1410"/>
      <c r="AY89" s="1410"/>
      <c r="AZ89" s="1410"/>
      <c r="BA89" s="1410"/>
      <c r="BB89" s="1410"/>
      <c r="BC89" s="1410"/>
    </row>
    <row r="90" spans="1:55">
      <c r="A90" s="1896" t="s">
        <v>449</v>
      </c>
      <c r="B90" s="1528" t="s">
        <v>260</v>
      </c>
      <c r="C90" s="1537">
        <v>18</v>
      </c>
      <c r="D90" s="1538">
        <v>12</v>
      </c>
      <c r="E90" s="1540">
        <v>3</v>
      </c>
      <c r="F90" s="1541">
        <v>18</v>
      </c>
      <c r="G90" s="1537">
        <v>0</v>
      </c>
      <c r="H90" s="1538">
        <v>0</v>
      </c>
      <c r="I90" s="1539">
        <v>0</v>
      </c>
      <c r="J90" s="1541">
        <v>0</v>
      </c>
      <c r="K90" s="1410"/>
      <c r="L90" s="1410"/>
      <c r="M90" s="1410"/>
      <c r="N90" s="1410"/>
      <c r="O90" s="1410"/>
      <c r="P90" s="1410"/>
      <c r="Q90" s="1410"/>
      <c r="R90" s="1410"/>
      <c r="S90" s="1410"/>
      <c r="T90" s="1410"/>
      <c r="U90" s="1410"/>
      <c r="V90" s="1410"/>
      <c r="W90" s="1410"/>
      <c r="X90" s="1410"/>
      <c r="Y90" s="1410"/>
      <c r="Z90" s="1410"/>
      <c r="AA90" s="1410"/>
      <c r="AB90" s="1410"/>
      <c r="AC90" s="1410"/>
      <c r="AD90" s="1410"/>
      <c r="AE90" s="1410"/>
      <c r="AF90" s="1410"/>
      <c r="AG90" s="1410"/>
      <c r="AH90" s="1410"/>
      <c r="AI90" s="1410"/>
      <c r="AJ90" s="1410"/>
      <c r="AK90" s="1410"/>
      <c r="AL90" s="1410"/>
      <c r="AM90" s="1410"/>
      <c r="AN90" s="1410"/>
      <c r="AO90" s="1410"/>
      <c r="AP90" s="1410"/>
      <c r="AQ90" s="1410"/>
      <c r="AR90" s="1410"/>
      <c r="AS90" s="1410"/>
      <c r="AT90" s="1410"/>
      <c r="AU90" s="1410"/>
      <c r="AV90" s="1410"/>
      <c r="AW90" s="1410"/>
      <c r="AX90" s="1410"/>
      <c r="AY90" s="1410"/>
      <c r="AZ90" s="1410"/>
      <c r="BA90" s="1410"/>
      <c r="BB90" s="1410"/>
      <c r="BC90" s="1410"/>
    </row>
    <row r="91" spans="1:55">
      <c r="A91" s="1901" t="s">
        <v>557</v>
      </c>
      <c r="B91" s="1762"/>
      <c r="C91" s="1910">
        <f>SUM(C3:C90)</f>
        <v>1872</v>
      </c>
      <c r="D91" s="1911">
        <f t="shared" ref="D91:J91" si="0">SUM(D3:D90)</f>
        <v>1491</v>
      </c>
      <c r="E91" s="1947">
        <f t="shared" si="0"/>
        <v>363</v>
      </c>
      <c r="F91" s="1910">
        <f t="shared" si="0"/>
        <v>1527</v>
      </c>
      <c r="G91" s="1910">
        <f t="shared" si="0"/>
        <v>162</v>
      </c>
      <c r="H91" s="1911">
        <f t="shared" si="0"/>
        <v>123</v>
      </c>
      <c r="I91" s="1947">
        <f t="shared" si="0"/>
        <v>30</v>
      </c>
      <c r="J91" s="1910">
        <f t="shared" si="0"/>
        <v>114</v>
      </c>
      <c r="K91" s="1410"/>
      <c r="L91" s="1410"/>
      <c r="M91" s="1410"/>
      <c r="N91" s="1410"/>
      <c r="O91" s="1410"/>
      <c r="P91" s="1410"/>
      <c r="Q91" s="1410"/>
      <c r="R91" s="1410"/>
      <c r="S91" s="1410"/>
      <c r="T91" s="1410"/>
      <c r="U91" s="1410"/>
      <c r="V91" s="1410"/>
      <c r="W91" s="1410"/>
      <c r="X91" s="1410"/>
      <c r="Y91" s="1410"/>
      <c r="Z91" s="1410"/>
      <c r="AA91" s="1410"/>
      <c r="AB91" s="1410"/>
      <c r="AC91" s="1410"/>
      <c r="AD91" s="1410"/>
      <c r="AE91" s="1410"/>
      <c r="AF91" s="1410"/>
      <c r="AG91" s="1410"/>
      <c r="AH91" s="1410"/>
      <c r="AI91" s="1410"/>
      <c r="AJ91" s="1410"/>
      <c r="AK91" s="1410"/>
      <c r="AL91" s="1410"/>
      <c r="AM91" s="1410"/>
      <c r="AN91" s="1410"/>
      <c r="AO91" s="1410"/>
      <c r="AP91" s="1410"/>
      <c r="AQ91" s="1410"/>
      <c r="AR91" s="1410"/>
      <c r="AS91" s="1410"/>
      <c r="AT91" s="1410"/>
      <c r="AU91" s="1410"/>
      <c r="AV91" s="1410"/>
      <c r="AW91" s="1410"/>
      <c r="AX91" s="1410"/>
      <c r="AY91" s="1410"/>
      <c r="AZ91" s="1410"/>
      <c r="BA91" s="1410"/>
      <c r="BB91" s="1410"/>
      <c r="BC91" s="1410"/>
    </row>
    <row r="92" spans="1:55">
      <c r="A92" s="1410" t="s">
        <v>498</v>
      </c>
      <c r="K92" s="1410"/>
      <c r="L92" s="1410"/>
      <c r="M92" s="1410"/>
      <c r="N92" s="1410"/>
      <c r="O92" s="1410"/>
      <c r="P92" s="1410"/>
      <c r="Q92" s="1410"/>
      <c r="R92" s="1410"/>
      <c r="S92" s="1410"/>
      <c r="T92" s="1410"/>
      <c r="U92" s="1410"/>
      <c r="V92" s="1410"/>
      <c r="W92" s="1410"/>
      <c r="X92" s="1410"/>
      <c r="Y92" s="1410"/>
      <c r="Z92" s="1410"/>
      <c r="AA92" s="1410"/>
      <c r="AB92" s="1410"/>
      <c r="AC92" s="1410"/>
      <c r="AD92" s="1410"/>
      <c r="AE92" s="1410"/>
      <c r="AF92" s="1410"/>
      <c r="AG92" s="1410"/>
      <c r="AH92" s="1410"/>
      <c r="AI92" s="1410"/>
      <c r="AJ92" s="1410"/>
      <c r="AK92" s="1410"/>
      <c r="AL92" s="1410"/>
      <c r="AM92" s="1410"/>
      <c r="AN92" s="1410"/>
      <c r="AO92" s="1410"/>
      <c r="AP92" s="1410"/>
      <c r="AQ92" s="1410"/>
      <c r="AR92" s="1410"/>
      <c r="AS92" s="1410"/>
      <c r="AT92" s="1410"/>
      <c r="AU92" s="1410"/>
      <c r="AV92" s="1410"/>
      <c r="AW92" s="1410"/>
      <c r="AX92" s="1410"/>
      <c r="AY92" s="1410"/>
      <c r="AZ92" s="1410"/>
      <c r="BA92" s="1410"/>
      <c r="BB92" s="1410"/>
      <c r="BC92" s="1410"/>
    </row>
    <row r="93" spans="1:55">
      <c r="A93" s="1900" t="s">
        <v>542</v>
      </c>
      <c r="B93" s="1529"/>
      <c r="C93" s="1549"/>
      <c r="D93" s="1535"/>
      <c r="E93" s="1535"/>
      <c r="F93" s="1535"/>
      <c r="G93" s="1550"/>
      <c r="H93" s="1540"/>
      <c r="I93" s="1540"/>
      <c r="J93" s="1540"/>
      <c r="K93" s="1410"/>
      <c r="L93" s="1410"/>
      <c r="M93" s="1410"/>
      <c r="N93" s="1410"/>
      <c r="O93" s="1410"/>
      <c r="P93" s="1410"/>
      <c r="Q93" s="1410"/>
      <c r="R93" s="1410"/>
      <c r="S93" s="1410"/>
      <c r="T93" s="1410"/>
      <c r="U93" s="1410"/>
      <c r="V93" s="1410"/>
      <c r="W93" s="1410"/>
      <c r="X93" s="1410"/>
      <c r="Y93" s="1410"/>
      <c r="Z93" s="1410"/>
      <c r="AA93" s="1410"/>
      <c r="AB93" s="1410"/>
      <c r="AC93" s="1410"/>
      <c r="AD93" s="1410"/>
      <c r="AE93" s="1410"/>
      <c r="AF93" s="1410"/>
      <c r="AG93" s="1410"/>
      <c r="AH93" s="1410"/>
      <c r="AI93" s="1410"/>
      <c r="AJ93" s="1410"/>
      <c r="AK93" s="1410"/>
      <c r="AL93" s="1410"/>
      <c r="AM93" s="1410"/>
      <c r="AN93" s="1410"/>
      <c r="AO93" s="1410"/>
      <c r="AP93" s="1410"/>
      <c r="AQ93" s="1410"/>
      <c r="AR93" s="1410"/>
      <c r="AS93" s="1410"/>
      <c r="AT93" s="1410"/>
      <c r="AU93" s="1410"/>
      <c r="AV93" s="1410"/>
      <c r="AW93" s="1410"/>
      <c r="AX93" s="1410"/>
      <c r="AY93" s="1410"/>
      <c r="AZ93" s="1410"/>
      <c r="BA93" s="1410"/>
      <c r="BB93" s="1410"/>
      <c r="BC93" s="1410"/>
    </row>
    <row r="94" spans="1:55">
      <c r="A94" s="1530"/>
      <c r="B94" s="1529"/>
      <c r="C94" s="1549"/>
      <c r="D94" s="1535"/>
      <c r="E94" s="1535"/>
      <c r="F94" s="1535"/>
      <c r="G94" s="1550"/>
      <c r="H94" s="1540"/>
      <c r="I94" s="1540"/>
      <c r="J94" s="1540"/>
      <c r="K94" s="1410"/>
      <c r="L94" s="1410"/>
      <c r="M94" s="1410"/>
      <c r="N94" s="1410"/>
      <c r="O94" s="1410"/>
      <c r="P94" s="1410"/>
      <c r="Q94" s="1410"/>
      <c r="R94" s="1410"/>
      <c r="S94" s="1410"/>
      <c r="T94" s="1410"/>
      <c r="U94" s="1410"/>
      <c r="V94" s="1410"/>
      <c r="W94" s="1410"/>
      <c r="X94" s="1410"/>
      <c r="Y94" s="1410"/>
      <c r="Z94" s="1410"/>
      <c r="AA94" s="1410"/>
      <c r="AB94" s="1410"/>
      <c r="AC94" s="1410"/>
      <c r="AD94" s="1410"/>
      <c r="AE94" s="1410"/>
      <c r="AF94" s="1410"/>
      <c r="AG94" s="1410"/>
      <c r="AH94" s="1410"/>
      <c r="AI94" s="1410"/>
      <c r="AJ94" s="1410"/>
      <c r="AK94" s="1410"/>
      <c r="AL94" s="1410"/>
      <c r="AM94" s="1410"/>
      <c r="AN94" s="1410"/>
      <c r="AO94" s="1410"/>
      <c r="AP94" s="1410"/>
      <c r="AQ94" s="1410"/>
      <c r="AR94" s="1410"/>
      <c r="AS94" s="1410"/>
      <c r="AT94" s="1410"/>
      <c r="AU94" s="1410"/>
      <c r="AV94" s="1410"/>
      <c r="AW94" s="1410"/>
      <c r="AX94" s="1410"/>
      <c r="AY94" s="1410"/>
      <c r="AZ94" s="1410"/>
      <c r="BA94" s="1410"/>
      <c r="BB94" s="1410"/>
      <c r="BC94" s="1410"/>
    </row>
    <row r="95" spans="1:55">
      <c r="A95" s="1530"/>
      <c r="B95" s="1529"/>
      <c r="C95" s="1549"/>
      <c r="D95" s="1535"/>
      <c r="E95" s="1535"/>
      <c r="F95" s="1535"/>
      <c r="G95" s="1550"/>
      <c r="H95" s="1540"/>
      <c r="I95" s="1540"/>
      <c r="J95" s="1540"/>
      <c r="K95" s="1410"/>
      <c r="L95" s="1410"/>
      <c r="M95" s="1410"/>
      <c r="N95" s="1410"/>
      <c r="O95" s="1410"/>
      <c r="P95" s="1410"/>
      <c r="Q95" s="1410"/>
      <c r="R95" s="1410"/>
      <c r="S95" s="1410"/>
      <c r="T95" s="1410"/>
      <c r="U95" s="1410"/>
      <c r="V95" s="1410"/>
      <c r="W95" s="1410"/>
      <c r="X95" s="1410"/>
      <c r="Y95" s="1410"/>
      <c r="Z95" s="1410"/>
      <c r="AA95" s="1410"/>
      <c r="AB95" s="1410"/>
      <c r="AC95" s="1410"/>
      <c r="AD95" s="1410"/>
      <c r="AE95" s="1410"/>
      <c r="AF95" s="1410"/>
      <c r="AG95" s="1410"/>
      <c r="AH95" s="1410"/>
      <c r="AI95" s="1410"/>
      <c r="AJ95" s="1410"/>
      <c r="AK95" s="1410"/>
      <c r="AL95" s="1410"/>
      <c r="AM95" s="1410"/>
      <c r="AN95" s="1410"/>
      <c r="AO95" s="1410"/>
      <c r="AP95" s="1410"/>
      <c r="AQ95" s="1410"/>
      <c r="AR95" s="1410"/>
      <c r="AS95" s="1410"/>
      <c r="AT95" s="1410"/>
      <c r="AU95" s="1410"/>
      <c r="AV95" s="1410"/>
      <c r="AW95" s="1410"/>
      <c r="AX95" s="1410"/>
      <c r="AY95" s="1410"/>
      <c r="AZ95" s="1410"/>
      <c r="BA95" s="1410"/>
      <c r="BB95" s="1410"/>
      <c r="BC95" s="1410"/>
    </row>
    <row r="96" spans="1:55">
      <c r="A96" s="1530"/>
      <c r="B96" s="1529"/>
      <c r="C96" s="1549"/>
      <c r="D96" s="1535"/>
      <c r="E96" s="1535"/>
      <c r="F96" s="1535"/>
      <c r="G96" s="1550"/>
      <c r="H96" s="1540"/>
      <c r="I96" s="1540"/>
      <c r="J96" s="1540"/>
      <c r="K96" s="1410"/>
      <c r="L96" s="1410"/>
      <c r="M96" s="1410"/>
      <c r="N96" s="1410"/>
      <c r="O96" s="1410"/>
      <c r="P96" s="1410"/>
      <c r="Q96" s="1410"/>
      <c r="R96" s="1410"/>
      <c r="S96" s="1410"/>
      <c r="T96" s="1410"/>
      <c r="U96" s="1410"/>
      <c r="V96" s="1410"/>
      <c r="W96" s="1410"/>
      <c r="X96" s="1410"/>
      <c r="Y96" s="1410"/>
      <c r="Z96" s="1410"/>
      <c r="AA96" s="1410"/>
      <c r="AB96" s="1410"/>
      <c r="AC96" s="1410"/>
      <c r="AD96" s="1410"/>
      <c r="AE96" s="1410"/>
      <c r="AF96" s="1410"/>
      <c r="AG96" s="1410"/>
      <c r="AH96" s="1410"/>
      <c r="AI96" s="1410"/>
      <c r="AJ96" s="1410"/>
      <c r="AK96" s="1410"/>
      <c r="AL96" s="1410"/>
      <c r="AM96" s="1410"/>
      <c r="AN96" s="1410"/>
      <c r="AO96" s="1410"/>
      <c r="AP96" s="1410"/>
      <c r="AQ96" s="1410"/>
      <c r="AR96" s="1410"/>
      <c r="AS96" s="1410"/>
      <c r="AT96" s="1410"/>
      <c r="AU96" s="1410"/>
      <c r="AV96" s="1410"/>
      <c r="AW96" s="1410"/>
      <c r="AX96" s="1410"/>
      <c r="AY96" s="1410"/>
      <c r="AZ96" s="1410"/>
      <c r="BA96" s="1410"/>
      <c r="BB96" s="1410"/>
      <c r="BC96" s="1410"/>
    </row>
    <row r="97" spans="1:55">
      <c r="A97" s="1530"/>
      <c r="B97" s="1529"/>
      <c r="C97" s="1549"/>
      <c r="D97" s="1535"/>
      <c r="E97" s="1535"/>
      <c r="F97" s="1535"/>
      <c r="G97" s="1550"/>
      <c r="H97" s="1540"/>
      <c r="I97" s="1540"/>
      <c r="J97" s="1540"/>
      <c r="K97" s="1410"/>
      <c r="L97" s="1410"/>
      <c r="M97" s="1410"/>
      <c r="N97" s="1410"/>
      <c r="O97" s="1410"/>
      <c r="P97" s="1410"/>
      <c r="Q97" s="1410"/>
      <c r="R97" s="1410"/>
      <c r="S97" s="1410"/>
      <c r="T97" s="1410"/>
      <c r="U97" s="1410"/>
      <c r="V97" s="1410"/>
      <c r="W97" s="1410"/>
      <c r="X97" s="1410"/>
      <c r="Y97" s="1410"/>
      <c r="Z97" s="1410"/>
      <c r="AA97" s="1410"/>
      <c r="AB97" s="1410"/>
      <c r="AC97" s="1410"/>
      <c r="AD97" s="1410"/>
      <c r="AE97" s="1410"/>
      <c r="AF97" s="1410"/>
      <c r="AG97" s="1410"/>
      <c r="AH97" s="1410"/>
      <c r="AI97" s="1410"/>
      <c r="AJ97" s="1410"/>
      <c r="AK97" s="1410"/>
      <c r="AL97" s="1410"/>
      <c r="AM97" s="1410"/>
      <c r="AN97" s="1410"/>
      <c r="AO97" s="1410"/>
      <c r="AP97" s="1410"/>
      <c r="AQ97" s="1410"/>
      <c r="AR97" s="1410"/>
      <c r="AS97" s="1410"/>
      <c r="AT97" s="1410"/>
      <c r="AU97" s="1410"/>
      <c r="AV97" s="1410"/>
      <c r="AW97" s="1410"/>
      <c r="AX97" s="1410"/>
      <c r="AY97" s="1410"/>
      <c r="AZ97" s="1410"/>
      <c r="BA97" s="1410"/>
      <c r="BB97" s="1410"/>
      <c r="BC97" s="1410"/>
    </row>
    <row r="98" spans="1:55">
      <c r="A98" s="1551"/>
    </row>
    <row r="99" spans="1:55">
      <c r="A99" s="1552"/>
      <c r="J99" s="1553"/>
    </row>
    <row r="100" spans="1:55">
      <c r="A100" s="1552"/>
      <c r="J100" s="1553"/>
    </row>
    <row r="101" spans="1:55">
      <c r="A101" s="1552"/>
      <c r="J101" s="1553"/>
    </row>
    <row r="102" spans="1:55">
      <c r="A102" s="1552"/>
      <c r="J102" s="1553"/>
    </row>
    <row r="103" spans="1:55">
      <c r="A103" s="1552"/>
      <c r="J103" s="1553"/>
    </row>
    <row r="104" spans="1:55">
      <c r="A104" s="1552"/>
      <c r="J104" s="1553"/>
    </row>
    <row r="105" spans="1:55">
      <c r="A105" s="1552"/>
      <c r="J105" s="1553"/>
    </row>
    <row r="106" spans="1:55">
      <c r="A106" s="1552"/>
      <c r="J106" s="1553"/>
    </row>
    <row r="107" spans="1:55">
      <c r="A107" s="1552"/>
      <c r="J107" s="1553"/>
    </row>
    <row r="108" spans="1:55">
      <c r="B108" s="1410"/>
      <c r="C108" s="1442"/>
      <c r="D108" s="1410"/>
    </row>
    <row r="109" spans="1:55">
      <c r="B109" s="1410"/>
      <c r="C109" s="1410"/>
      <c r="D109" s="1410"/>
    </row>
    <row r="110" spans="1:55">
      <c r="B110" s="1531"/>
      <c r="C110" s="1410"/>
      <c r="D110" s="1442"/>
      <c r="E110" s="1438"/>
      <c r="F110" s="1438"/>
      <c r="G110" s="1438"/>
      <c r="H110" s="1438"/>
      <c r="I110" s="1438"/>
      <c r="J110" s="1438"/>
    </row>
    <row r="111" spans="1:55">
      <c r="B111" s="1410"/>
      <c r="C111" s="1410"/>
      <c r="D111" s="1410"/>
    </row>
    <row r="112" spans="1:55">
      <c r="B112" s="1410"/>
      <c r="C112" s="1410"/>
      <c r="D112" s="1410"/>
    </row>
    <row r="113" spans="2:4">
      <c r="B113" s="1554"/>
      <c r="C113" s="1410"/>
      <c r="D113" s="1410"/>
    </row>
    <row r="114" spans="2:4">
      <c r="B114" s="1554"/>
      <c r="C114" s="1410"/>
      <c r="D114" s="1410"/>
    </row>
    <row r="115" spans="2:4">
      <c r="B115" s="1414"/>
      <c r="C115" s="1410"/>
      <c r="D115" s="1410"/>
    </row>
    <row r="116" spans="2:4">
      <c r="B116" s="1410"/>
      <c r="C116" s="1410"/>
      <c r="D116" s="1410"/>
    </row>
    <row r="117" spans="2:4">
      <c r="B117" s="1410"/>
      <c r="C117" s="1442"/>
      <c r="D117" s="1410"/>
    </row>
    <row r="118" spans="2:4">
      <c r="B118" s="1410"/>
      <c r="C118" s="1442"/>
      <c r="D118" s="1410"/>
    </row>
    <row r="119" spans="2:4">
      <c r="B119" s="1410"/>
      <c r="C119" s="1442"/>
      <c r="D119" s="1410"/>
    </row>
    <row r="120" spans="2:4">
      <c r="B120" s="1410"/>
      <c r="C120" s="1442"/>
      <c r="D120" s="1410"/>
    </row>
    <row r="121" spans="2:4">
      <c r="B121" s="1410"/>
      <c r="C121" s="1442"/>
      <c r="D121" s="1410"/>
    </row>
    <row r="122" spans="2:4">
      <c r="B122" s="1410"/>
      <c r="C122" s="1442"/>
      <c r="D122" s="1410"/>
    </row>
    <row r="123" spans="2:4">
      <c r="B123" s="1414"/>
      <c r="C123" s="1442"/>
      <c r="D123" s="1442"/>
    </row>
    <row r="124" spans="2:4">
      <c r="B124" s="1410"/>
      <c r="C124" s="1442"/>
      <c r="D124" s="1410"/>
    </row>
    <row r="125" spans="2:4">
      <c r="B125" s="1410"/>
      <c r="C125" s="1442"/>
      <c r="D125" s="1410"/>
    </row>
    <row r="126" spans="2:4">
      <c r="B126" s="1414"/>
      <c r="C126" s="1442"/>
      <c r="D126" s="1442"/>
    </row>
    <row r="127" spans="2:4">
      <c r="B127" s="1410"/>
      <c r="C127" s="1442"/>
      <c r="D127" s="1410"/>
    </row>
    <row r="128" spans="2:4">
      <c r="B128" s="1414"/>
      <c r="C128" s="1442"/>
      <c r="D128" s="1442"/>
    </row>
    <row r="129" spans="2:4">
      <c r="B129" s="1410"/>
      <c r="C129" s="1442"/>
      <c r="D129" s="1410"/>
    </row>
    <row r="130" spans="2:4">
      <c r="B130" s="1414"/>
      <c r="C130" s="1555"/>
      <c r="D130" s="1555"/>
    </row>
    <row r="131" spans="2:4">
      <c r="B131" s="1410"/>
      <c r="C131" s="1555"/>
      <c r="D131" s="1410"/>
    </row>
    <row r="132" spans="2:4">
      <c r="B132" s="1410"/>
      <c r="C132" s="1555"/>
      <c r="D132" s="1410"/>
    </row>
    <row r="133" spans="2:4">
      <c r="B133" s="1414"/>
      <c r="C133" s="1555"/>
      <c r="D133" s="1555"/>
    </row>
    <row r="134" spans="2:4">
      <c r="B134" s="1410"/>
      <c r="C134" s="1555"/>
      <c r="D134" s="1410"/>
    </row>
  </sheetData>
  <printOptions horizontalCentered="1"/>
  <pageMargins left="0.23622047244094491" right="0.23622047244094491" top="0.70866141732283472" bottom="0.27559055118110237" header="0.51181102362204722" footer="0.15748031496062992"/>
  <pageSetup paperSize="9" scale="66" fitToHeight="2" orientation="landscape" r:id="rId1"/>
  <headerFooter alignWithMargins="0">
    <oddHeader xml:space="preserve">&amp;C&amp;"Arial,Standard"&amp;8
</oddHeader>
    <oddFooter xml:space="preserve">&amp;R
</oddFooter>
  </headerFooter>
  <rowBreaks count="2" manualBreakCount="2">
    <brk id="35" max="9" man="1"/>
    <brk id="72" max="9" man="1"/>
  </rowBreaks>
  <tableParts count="1">
    <tablePart r:id="rId2"/>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0" tint="-0.499984740745262"/>
  </sheetPr>
  <dimension ref="A2:BK202"/>
  <sheetViews>
    <sheetView topLeftCell="A118" zoomScaleNormal="100" zoomScaleSheetLayoutView="100" workbookViewId="0">
      <selection activeCell="A5" sqref="A5:K5"/>
    </sheetView>
  </sheetViews>
  <sheetFormatPr baseColWidth="10" defaultColWidth="11.42578125" defaultRowHeight="11.25"/>
  <cols>
    <col min="1" max="1" width="5.5703125" style="605" customWidth="1"/>
    <col min="2" max="2" width="1" style="605" customWidth="1"/>
    <col min="3" max="3" width="47.42578125" style="605" customWidth="1"/>
    <col min="4" max="11" width="8.5703125" style="605" customWidth="1"/>
    <col min="12" max="16384" width="11.42578125" style="605"/>
  </cols>
  <sheetData>
    <row r="2" spans="1:63">
      <c r="C2" s="652"/>
      <c r="D2" s="649"/>
      <c r="E2" s="649"/>
      <c r="F2" s="649"/>
      <c r="G2" s="649"/>
      <c r="H2" s="649"/>
      <c r="I2" s="649"/>
      <c r="J2" s="651"/>
      <c r="L2" s="742"/>
      <c r="M2" s="742"/>
      <c r="N2" s="742"/>
      <c r="O2" s="742"/>
      <c r="P2" s="742"/>
      <c r="Q2" s="742"/>
      <c r="R2" s="742"/>
      <c r="S2" s="742"/>
      <c r="T2" s="742"/>
      <c r="U2" s="742"/>
      <c r="V2" s="742"/>
      <c r="W2" s="742"/>
      <c r="X2" s="742"/>
      <c r="Y2" s="742"/>
      <c r="Z2" s="742"/>
      <c r="AA2" s="742"/>
      <c r="AB2" s="742"/>
      <c r="AC2" s="742"/>
      <c r="AD2" s="742"/>
      <c r="AE2" s="742"/>
      <c r="AF2" s="742"/>
      <c r="AG2" s="742"/>
      <c r="AH2" s="742"/>
      <c r="AI2" s="742"/>
      <c r="AJ2" s="742"/>
      <c r="AK2" s="742"/>
      <c r="AL2" s="742"/>
      <c r="AM2" s="742"/>
      <c r="AN2" s="742"/>
      <c r="AO2" s="742"/>
      <c r="AP2" s="742"/>
      <c r="AQ2" s="742"/>
      <c r="AR2" s="742"/>
      <c r="AS2" s="742"/>
      <c r="AT2" s="742"/>
      <c r="AU2" s="742"/>
      <c r="AV2" s="742"/>
      <c r="AW2" s="742"/>
      <c r="AX2" s="742"/>
      <c r="AY2" s="742"/>
      <c r="AZ2" s="742"/>
      <c r="BA2" s="742"/>
      <c r="BB2" s="742"/>
      <c r="BC2" s="742"/>
      <c r="BD2" s="742"/>
      <c r="BE2" s="742"/>
      <c r="BF2" s="742"/>
      <c r="BG2" s="742"/>
      <c r="BH2" s="742"/>
      <c r="BI2" s="742"/>
      <c r="BJ2" s="742"/>
      <c r="BK2" s="742"/>
    </row>
    <row r="3" spans="1:63" ht="12.75">
      <c r="A3" s="2173" t="s">
        <v>215</v>
      </c>
      <c r="B3" s="2173"/>
      <c r="C3" s="2173"/>
      <c r="D3" s="2173"/>
      <c r="E3" s="1017" t="s">
        <v>266</v>
      </c>
      <c r="F3" s="987"/>
      <c r="G3" s="987"/>
      <c r="H3" s="987"/>
      <c r="I3" s="843"/>
      <c r="J3" s="843"/>
      <c r="K3" s="844"/>
      <c r="L3" s="742"/>
      <c r="M3" s="742"/>
      <c r="N3" s="742"/>
      <c r="O3" s="742"/>
      <c r="P3" s="742"/>
      <c r="Q3" s="742"/>
      <c r="R3" s="742"/>
      <c r="S3" s="742"/>
      <c r="T3" s="742"/>
      <c r="U3" s="742"/>
      <c r="V3" s="742"/>
      <c r="W3" s="742"/>
      <c r="X3" s="742"/>
      <c r="Y3" s="742"/>
      <c r="Z3" s="742"/>
      <c r="AA3" s="742"/>
      <c r="AB3" s="742"/>
      <c r="AC3" s="742"/>
      <c r="AD3" s="742"/>
      <c r="AE3" s="742"/>
      <c r="AF3" s="742"/>
      <c r="AG3" s="742"/>
      <c r="AH3" s="742"/>
      <c r="AI3" s="742"/>
      <c r="AJ3" s="742"/>
      <c r="AK3" s="742"/>
      <c r="AL3" s="742"/>
      <c r="AM3" s="742"/>
      <c r="AN3" s="742"/>
      <c r="AO3" s="742"/>
      <c r="AP3" s="742"/>
      <c r="AQ3" s="742"/>
      <c r="AR3" s="742"/>
      <c r="AS3" s="742"/>
      <c r="AT3" s="742"/>
      <c r="AU3" s="742"/>
      <c r="AV3" s="742"/>
      <c r="AW3" s="742"/>
      <c r="AX3" s="742"/>
      <c r="AY3" s="742"/>
      <c r="AZ3" s="742"/>
      <c r="BA3" s="742"/>
      <c r="BB3" s="742"/>
      <c r="BC3" s="742"/>
      <c r="BD3" s="742"/>
      <c r="BE3" s="742"/>
      <c r="BF3" s="742"/>
      <c r="BG3" s="742"/>
      <c r="BH3" s="742"/>
      <c r="BI3" s="742"/>
      <c r="BJ3" s="742"/>
      <c r="BK3" s="742"/>
    </row>
    <row r="4" spans="1:63">
      <c r="A4" s="653"/>
      <c r="B4" s="653"/>
      <c r="C4" s="645"/>
      <c r="D4" s="645"/>
      <c r="E4" s="645"/>
      <c r="F4" s="645"/>
      <c r="G4" s="645"/>
      <c r="K4" s="743"/>
      <c r="L4" s="742"/>
      <c r="M4" s="742"/>
      <c r="N4" s="742"/>
      <c r="O4" s="742"/>
      <c r="P4" s="742"/>
      <c r="Q4" s="742"/>
      <c r="R4" s="742"/>
      <c r="S4" s="742"/>
      <c r="T4" s="742"/>
      <c r="U4" s="742"/>
      <c r="V4" s="742"/>
      <c r="W4" s="742"/>
      <c r="X4" s="742"/>
      <c r="Y4" s="742"/>
      <c r="Z4" s="742"/>
      <c r="AA4" s="742"/>
      <c r="AB4" s="742"/>
      <c r="AC4" s="742"/>
      <c r="AD4" s="742"/>
      <c r="AE4" s="742"/>
      <c r="AF4" s="742"/>
      <c r="AG4" s="742"/>
      <c r="AH4" s="742"/>
      <c r="AI4" s="742"/>
      <c r="AJ4" s="742"/>
      <c r="AK4" s="742"/>
      <c r="AL4" s="742"/>
      <c r="AM4" s="742"/>
      <c r="AN4" s="742"/>
      <c r="AO4" s="742"/>
      <c r="AP4" s="742"/>
      <c r="AQ4" s="742"/>
      <c r="AR4" s="742"/>
      <c r="AS4" s="742"/>
      <c r="AT4" s="742"/>
      <c r="AU4" s="742"/>
      <c r="AV4" s="742"/>
      <c r="AW4" s="742"/>
      <c r="AX4" s="742"/>
      <c r="AY4" s="742"/>
      <c r="AZ4" s="742"/>
      <c r="BA4" s="742"/>
      <c r="BB4" s="742"/>
      <c r="BC4" s="742"/>
      <c r="BD4" s="742"/>
      <c r="BE4" s="742"/>
      <c r="BF4" s="742"/>
      <c r="BG4" s="742"/>
      <c r="BH4" s="742"/>
      <c r="BI4" s="742"/>
      <c r="BJ4" s="742"/>
      <c r="BK4" s="742"/>
    </row>
    <row r="5" spans="1:63" ht="12.75">
      <c r="A5" s="2175" t="s">
        <v>370</v>
      </c>
      <c r="B5" s="2175"/>
      <c r="C5" s="2175"/>
      <c r="D5" s="2175"/>
      <c r="E5" s="2175"/>
      <c r="F5" s="2175"/>
      <c r="G5" s="2175"/>
      <c r="H5" s="2175"/>
      <c r="I5" s="2175"/>
      <c r="J5" s="2175"/>
      <c r="K5" s="2175"/>
      <c r="L5" s="742"/>
      <c r="M5" s="742"/>
      <c r="N5" s="742"/>
      <c r="O5" s="742"/>
      <c r="P5" s="742"/>
      <c r="Q5" s="742"/>
      <c r="R5" s="742"/>
      <c r="S5" s="742"/>
      <c r="T5" s="742"/>
      <c r="U5" s="742"/>
      <c r="V5" s="742"/>
      <c r="W5" s="742"/>
      <c r="X5" s="742"/>
      <c r="Y5" s="742"/>
      <c r="Z5" s="742"/>
      <c r="AA5" s="742"/>
      <c r="AB5" s="742"/>
      <c r="AC5" s="742"/>
      <c r="AD5" s="742"/>
      <c r="AE5" s="742"/>
      <c r="AF5" s="742"/>
      <c r="AG5" s="742"/>
      <c r="AH5" s="742"/>
      <c r="AI5" s="742"/>
      <c r="AJ5" s="742"/>
      <c r="AK5" s="742"/>
      <c r="AL5" s="742"/>
      <c r="AM5" s="742"/>
      <c r="AN5" s="742"/>
      <c r="AO5" s="742"/>
      <c r="AP5" s="742"/>
      <c r="AQ5" s="742"/>
      <c r="AR5" s="742"/>
      <c r="AS5" s="742"/>
      <c r="AT5" s="742"/>
      <c r="AU5" s="742"/>
      <c r="AV5" s="742"/>
      <c r="AW5" s="742"/>
      <c r="AX5" s="742"/>
      <c r="AY5" s="742"/>
      <c r="AZ5" s="742"/>
      <c r="BA5" s="742"/>
      <c r="BB5" s="742"/>
      <c r="BC5" s="742"/>
      <c r="BD5" s="742"/>
      <c r="BE5" s="742"/>
      <c r="BF5" s="742"/>
      <c r="BG5" s="742"/>
      <c r="BH5" s="742"/>
      <c r="BI5" s="742"/>
      <c r="BJ5" s="742"/>
      <c r="BK5" s="742"/>
    </row>
    <row r="6" spans="1:63">
      <c r="A6" s="647"/>
      <c r="B6" s="647"/>
      <c r="C6" s="647"/>
      <c r="D6" s="647"/>
      <c r="E6" s="647"/>
      <c r="F6" s="647"/>
      <c r="G6" s="647"/>
      <c r="H6" s="647"/>
      <c r="I6" s="647"/>
      <c r="J6" s="647"/>
      <c r="K6" s="647"/>
      <c r="L6" s="742"/>
      <c r="M6" s="742"/>
      <c r="N6" s="742"/>
      <c r="O6" s="742"/>
      <c r="P6" s="742"/>
      <c r="Q6" s="742"/>
      <c r="R6" s="742"/>
      <c r="S6" s="742"/>
      <c r="T6" s="742"/>
      <c r="U6" s="742"/>
      <c r="V6" s="742"/>
      <c r="W6" s="742"/>
      <c r="X6" s="742"/>
      <c r="Y6" s="742"/>
      <c r="Z6" s="742"/>
      <c r="AA6" s="742"/>
      <c r="AB6" s="742"/>
      <c r="AC6" s="742"/>
      <c r="AD6" s="742"/>
      <c r="AE6" s="742"/>
      <c r="AF6" s="742"/>
      <c r="AG6" s="742"/>
      <c r="AH6" s="742"/>
      <c r="AI6" s="742"/>
      <c r="AJ6" s="742"/>
      <c r="AK6" s="742"/>
      <c r="AL6" s="742"/>
      <c r="AM6" s="742"/>
      <c r="AN6" s="742"/>
      <c r="AO6" s="742"/>
      <c r="AP6" s="742"/>
      <c r="AQ6" s="742"/>
      <c r="AR6" s="742"/>
      <c r="AS6" s="742"/>
      <c r="AT6" s="742"/>
      <c r="AU6" s="742"/>
      <c r="AV6" s="742"/>
      <c r="AW6" s="742"/>
      <c r="AX6" s="742"/>
      <c r="AY6" s="742"/>
      <c r="AZ6" s="742"/>
      <c r="BA6" s="742"/>
      <c r="BB6" s="742"/>
      <c r="BC6" s="742"/>
      <c r="BD6" s="742"/>
      <c r="BE6" s="742"/>
      <c r="BF6" s="742"/>
      <c r="BG6" s="742"/>
      <c r="BH6" s="742"/>
      <c r="BI6" s="742"/>
      <c r="BJ6" s="742"/>
      <c r="BK6" s="742"/>
    </row>
    <row r="7" spans="1:63" ht="12" thickBot="1">
      <c r="A7" s="647"/>
      <c r="B7" s="647"/>
      <c r="L7" s="742"/>
      <c r="M7" s="742"/>
      <c r="N7" s="742"/>
      <c r="O7" s="742"/>
      <c r="P7" s="742"/>
      <c r="Q7" s="742"/>
      <c r="R7" s="742"/>
      <c r="S7" s="742"/>
      <c r="T7" s="742"/>
      <c r="U7" s="742"/>
      <c r="V7" s="742"/>
      <c r="W7" s="742"/>
      <c r="X7" s="742"/>
      <c r="Y7" s="742"/>
      <c r="Z7" s="742"/>
      <c r="AA7" s="742"/>
      <c r="AB7" s="742"/>
      <c r="AC7" s="742"/>
      <c r="AD7" s="742"/>
      <c r="AE7" s="742"/>
      <c r="AF7" s="742"/>
      <c r="AG7" s="742"/>
      <c r="AH7" s="742"/>
      <c r="AI7" s="742"/>
      <c r="AJ7" s="742"/>
      <c r="AK7" s="742"/>
      <c r="AL7" s="742"/>
      <c r="AM7" s="742"/>
      <c r="AN7" s="742"/>
      <c r="AO7" s="742"/>
      <c r="AP7" s="742"/>
      <c r="AQ7" s="742"/>
      <c r="AR7" s="742"/>
      <c r="AS7" s="742"/>
      <c r="AT7" s="742"/>
      <c r="AU7" s="742"/>
      <c r="AV7" s="742"/>
      <c r="AW7" s="742"/>
      <c r="AX7" s="742"/>
      <c r="AY7" s="742"/>
      <c r="AZ7" s="742"/>
      <c r="BA7" s="742"/>
      <c r="BB7" s="742"/>
      <c r="BC7" s="742"/>
      <c r="BD7" s="742"/>
      <c r="BE7" s="742"/>
      <c r="BF7" s="742"/>
      <c r="BG7" s="742"/>
      <c r="BH7" s="742"/>
      <c r="BI7" s="742"/>
      <c r="BJ7" s="742"/>
      <c r="BK7" s="742"/>
    </row>
    <row r="8" spans="1:63" ht="16.5" customHeight="1">
      <c r="A8" s="2042" t="s">
        <v>43</v>
      </c>
      <c r="B8" s="2176"/>
      <c r="C8" s="744"/>
      <c r="D8" s="2164" t="s">
        <v>249</v>
      </c>
      <c r="E8" s="2165"/>
      <c r="F8" s="2165"/>
      <c r="G8" s="2165"/>
      <c r="H8" s="2165"/>
      <c r="I8" s="2165"/>
      <c r="J8" s="2165"/>
      <c r="K8" s="2166"/>
      <c r="L8" s="742"/>
      <c r="M8" s="742"/>
      <c r="N8" s="742"/>
      <c r="O8" s="742"/>
      <c r="P8" s="742"/>
      <c r="Q8" s="742"/>
      <c r="R8" s="742"/>
      <c r="S8" s="742"/>
      <c r="T8" s="742"/>
      <c r="U8" s="742"/>
      <c r="V8" s="742"/>
      <c r="W8" s="742"/>
      <c r="X8" s="742"/>
      <c r="Y8" s="742"/>
      <c r="Z8" s="742"/>
      <c r="AA8" s="742"/>
      <c r="AB8" s="742"/>
      <c r="AC8" s="742"/>
      <c r="AD8" s="742"/>
      <c r="AE8" s="742"/>
      <c r="AF8" s="742"/>
      <c r="AG8" s="742"/>
      <c r="AH8" s="742"/>
      <c r="AI8" s="742"/>
      <c r="AJ8" s="742"/>
      <c r="AK8" s="742"/>
      <c r="AL8" s="742"/>
      <c r="AM8" s="742"/>
      <c r="AN8" s="742"/>
      <c r="AO8" s="742"/>
      <c r="AP8" s="742"/>
      <c r="AQ8" s="742"/>
      <c r="AR8" s="742"/>
      <c r="AS8" s="742"/>
      <c r="AT8" s="742"/>
      <c r="AU8" s="742"/>
      <c r="AV8" s="742"/>
      <c r="AW8" s="742"/>
      <c r="AX8" s="742"/>
      <c r="AY8" s="742"/>
      <c r="AZ8" s="742"/>
      <c r="BA8" s="742"/>
      <c r="BB8" s="742"/>
      <c r="BC8" s="742"/>
      <c r="BD8" s="742"/>
      <c r="BE8" s="742"/>
      <c r="BF8" s="742"/>
      <c r="BG8" s="742"/>
      <c r="BH8" s="742"/>
      <c r="BI8" s="742"/>
      <c r="BJ8" s="742"/>
      <c r="BK8" s="742"/>
    </row>
    <row r="9" spans="1:63" ht="11.45" customHeight="1">
      <c r="A9" s="2177"/>
      <c r="B9" s="2178"/>
      <c r="C9" s="745"/>
      <c r="D9" s="1162"/>
      <c r="E9" s="1162"/>
      <c r="F9" s="1163"/>
      <c r="G9" s="1164"/>
      <c r="H9" s="2167" t="s">
        <v>194</v>
      </c>
      <c r="I9" s="2168"/>
      <c r="J9" s="2168"/>
      <c r="K9" s="2169"/>
      <c r="L9" s="649"/>
      <c r="M9" s="651"/>
      <c r="N9" s="651"/>
      <c r="O9" s="746"/>
      <c r="P9" s="649"/>
      <c r="Q9" s="649"/>
      <c r="R9" s="649"/>
      <c r="S9" s="649"/>
      <c r="T9" s="649"/>
      <c r="U9" s="649"/>
      <c r="V9" s="649"/>
      <c r="W9" s="649"/>
      <c r="X9" s="651"/>
      <c r="Y9" s="649"/>
      <c r="Z9" s="649"/>
      <c r="AA9" s="736" t="s">
        <v>111</v>
      </c>
      <c r="AB9" s="742"/>
      <c r="AC9" s="742"/>
      <c r="AD9" s="742"/>
      <c r="AE9" s="742"/>
      <c r="AF9" s="742"/>
      <c r="AG9" s="742"/>
      <c r="AH9" s="742"/>
      <c r="AI9" s="742"/>
      <c r="AJ9" s="742"/>
      <c r="AK9" s="742"/>
      <c r="AL9" s="742"/>
      <c r="AM9" s="742"/>
      <c r="AN9" s="742"/>
      <c r="AO9" s="742"/>
      <c r="AP9" s="742"/>
      <c r="AQ9" s="742"/>
      <c r="AR9" s="742"/>
      <c r="AS9" s="742"/>
      <c r="AT9" s="742"/>
      <c r="AU9" s="742"/>
      <c r="AV9" s="742"/>
      <c r="AW9" s="742"/>
      <c r="AX9" s="742"/>
      <c r="AY9" s="742"/>
      <c r="AZ9" s="742"/>
      <c r="BA9" s="742"/>
      <c r="BB9" s="742"/>
      <c r="BC9" s="742"/>
      <c r="BD9" s="742"/>
      <c r="BE9" s="742"/>
      <c r="BF9" s="742"/>
      <c r="BG9" s="742"/>
      <c r="BH9" s="742"/>
      <c r="BI9" s="742"/>
      <c r="BJ9" s="742"/>
      <c r="BK9" s="742"/>
    </row>
    <row r="10" spans="1:63" ht="11.45" customHeight="1">
      <c r="A10" s="2177"/>
      <c r="B10" s="2178"/>
      <c r="C10" s="2179" t="s">
        <v>193</v>
      </c>
      <c r="D10" s="1165"/>
      <c r="E10" s="1165"/>
      <c r="F10" s="1166"/>
      <c r="G10" s="795" t="s">
        <v>5</v>
      </c>
      <c r="H10" s="2170" t="s">
        <v>211</v>
      </c>
      <c r="I10" s="2171"/>
      <c r="J10" s="2171"/>
      <c r="K10" s="2172"/>
      <c r="L10" s="742"/>
      <c r="M10" s="742"/>
      <c r="N10" s="742"/>
      <c r="O10" s="742"/>
      <c r="P10" s="742"/>
      <c r="Q10" s="742"/>
      <c r="R10" s="742"/>
      <c r="S10" s="742"/>
      <c r="T10" s="742"/>
      <c r="U10" s="742"/>
      <c r="V10" s="742"/>
      <c r="W10" s="742"/>
      <c r="X10" s="742"/>
      <c r="Y10" s="742"/>
      <c r="Z10" s="742"/>
      <c r="AA10" s="742"/>
      <c r="AB10" s="742"/>
      <c r="AC10" s="742"/>
      <c r="AD10" s="742"/>
      <c r="AE10" s="742"/>
      <c r="AF10" s="742"/>
      <c r="AG10" s="742"/>
      <c r="AH10" s="742"/>
      <c r="AI10" s="742"/>
      <c r="AJ10" s="742"/>
      <c r="AK10" s="742"/>
      <c r="AL10" s="742"/>
      <c r="AM10" s="742"/>
      <c r="AN10" s="742"/>
      <c r="AO10" s="742"/>
      <c r="AP10" s="742"/>
      <c r="AQ10" s="742"/>
      <c r="AR10" s="742"/>
      <c r="AS10" s="742"/>
      <c r="AT10" s="742"/>
      <c r="AU10" s="742"/>
      <c r="AV10" s="742"/>
      <c r="AW10" s="742"/>
      <c r="AX10" s="742"/>
      <c r="AY10" s="742"/>
      <c r="AZ10" s="742"/>
      <c r="BA10" s="742"/>
      <c r="BB10" s="742"/>
      <c r="BC10" s="742"/>
      <c r="BD10" s="742"/>
      <c r="BE10" s="742"/>
      <c r="BF10" s="742"/>
      <c r="BG10" s="742"/>
      <c r="BH10" s="742"/>
      <c r="BI10" s="742"/>
      <c r="BJ10" s="742"/>
      <c r="BK10" s="742"/>
    </row>
    <row r="11" spans="1:63" ht="11.45" customHeight="1">
      <c r="A11" s="2177"/>
      <c r="B11" s="2178"/>
      <c r="C11" s="2179"/>
      <c r="D11" s="1166"/>
      <c r="E11" s="1167"/>
      <c r="F11" s="1165"/>
      <c r="G11" s="795" t="s">
        <v>192</v>
      </c>
      <c r="H11" s="1168"/>
      <c r="I11" s="960"/>
      <c r="J11" s="960"/>
      <c r="K11" s="799" t="s">
        <v>192</v>
      </c>
      <c r="L11" s="742"/>
      <c r="M11" s="742"/>
      <c r="N11" s="742"/>
      <c r="O11" s="742"/>
      <c r="P11" s="742"/>
      <c r="Q11" s="742"/>
      <c r="R11" s="742"/>
      <c r="S11" s="742"/>
      <c r="T11" s="742"/>
      <c r="U11" s="742"/>
      <c r="V11" s="742"/>
      <c r="W11" s="742"/>
      <c r="X11" s="742"/>
      <c r="Y11" s="742"/>
      <c r="Z11" s="742"/>
      <c r="AA11" s="742"/>
      <c r="AB11" s="742"/>
      <c r="AC11" s="742"/>
      <c r="AD11" s="742"/>
      <c r="AE11" s="742"/>
      <c r="AF11" s="742"/>
      <c r="AG11" s="742"/>
      <c r="AH11" s="742"/>
      <c r="AI11" s="742"/>
      <c r="AJ11" s="742"/>
      <c r="AK11" s="742"/>
      <c r="AL11" s="742"/>
      <c r="AM11" s="742"/>
      <c r="AN11" s="742"/>
      <c r="AO11" s="742"/>
      <c r="AP11" s="742"/>
      <c r="AQ11" s="742"/>
      <c r="AR11" s="742"/>
      <c r="AS11" s="742"/>
      <c r="AT11" s="742"/>
      <c r="AU11" s="742"/>
      <c r="AV11" s="742"/>
      <c r="AW11" s="742"/>
      <c r="AX11" s="742"/>
      <c r="AY11" s="742"/>
      <c r="AZ11" s="742"/>
      <c r="BA11" s="742"/>
      <c r="BB11" s="742"/>
      <c r="BC11" s="742"/>
      <c r="BD11" s="742"/>
      <c r="BE11" s="742"/>
      <c r="BF11" s="742"/>
      <c r="BG11" s="742"/>
      <c r="BH11" s="742"/>
      <c r="BI11" s="742"/>
      <c r="BJ11" s="742"/>
      <c r="BK11" s="742"/>
    </row>
    <row r="12" spans="1:63" ht="11.45" customHeight="1">
      <c r="A12" s="2177"/>
      <c r="B12" s="2178"/>
      <c r="C12" s="2179" t="s">
        <v>191</v>
      </c>
      <c r="D12" s="1169" t="s">
        <v>19</v>
      </c>
      <c r="E12" s="782" t="s">
        <v>17</v>
      </c>
      <c r="F12" s="782" t="s">
        <v>18</v>
      </c>
      <c r="G12" s="795" t="s">
        <v>190</v>
      </c>
      <c r="H12" s="1169" t="s">
        <v>19</v>
      </c>
      <c r="I12" s="782" t="s">
        <v>17</v>
      </c>
      <c r="J12" s="782" t="s">
        <v>18</v>
      </c>
      <c r="K12" s="799" t="s">
        <v>190</v>
      </c>
      <c r="L12" s="742"/>
      <c r="M12" s="742"/>
      <c r="N12" s="742"/>
      <c r="O12" s="742"/>
      <c r="P12" s="742"/>
      <c r="Q12" s="742"/>
      <c r="R12" s="742"/>
      <c r="S12" s="742"/>
      <c r="T12" s="742"/>
      <c r="U12" s="742"/>
      <c r="V12" s="742"/>
      <c r="W12" s="742"/>
      <c r="X12" s="742"/>
      <c r="Y12" s="742"/>
      <c r="Z12" s="742"/>
      <c r="AA12" s="742"/>
      <c r="AB12" s="742"/>
      <c r="AC12" s="742"/>
      <c r="AD12" s="742"/>
      <c r="AE12" s="742"/>
      <c r="AF12" s="742"/>
      <c r="AG12" s="742"/>
      <c r="AH12" s="742"/>
      <c r="AI12" s="742"/>
      <c r="AJ12" s="742"/>
      <c r="AK12" s="742"/>
      <c r="AL12" s="742"/>
      <c r="AM12" s="742"/>
      <c r="AN12" s="742"/>
      <c r="AO12" s="742"/>
      <c r="AP12" s="742"/>
      <c r="AQ12" s="742"/>
      <c r="AR12" s="742"/>
      <c r="AS12" s="742"/>
      <c r="AT12" s="742"/>
      <c r="AU12" s="742"/>
      <c r="AV12" s="742"/>
      <c r="AW12" s="742"/>
      <c r="AX12" s="742"/>
      <c r="AY12" s="742"/>
      <c r="AZ12" s="742"/>
      <c r="BA12" s="742"/>
      <c r="BB12" s="742"/>
      <c r="BC12" s="742"/>
      <c r="BD12" s="742"/>
      <c r="BE12" s="742"/>
      <c r="BF12" s="742"/>
      <c r="BG12" s="742"/>
      <c r="BH12" s="742"/>
      <c r="BI12" s="742"/>
      <c r="BJ12" s="742"/>
      <c r="BK12" s="742"/>
    </row>
    <row r="13" spans="1:63" ht="11.45" customHeight="1">
      <c r="A13" s="2177"/>
      <c r="B13" s="2178"/>
      <c r="C13" s="2179"/>
      <c r="D13" s="1169" t="s">
        <v>29</v>
      </c>
      <c r="E13" s="782" t="s">
        <v>28</v>
      </c>
      <c r="F13" s="782" t="s">
        <v>34</v>
      </c>
      <c r="G13" s="795" t="s">
        <v>189</v>
      </c>
      <c r="H13" s="1169" t="s">
        <v>29</v>
      </c>
      <c r="I13" s="782" t="s">
        <v>28</v>
      </c>
      <c r="J13" s="782" t="s">
        <v>34</v>
      </c>
      <c r="K13" s="1170" t="s">
        <v>343</v>
      </c>
      <c r="L13" s="742"/>
      <c r="M13" s="742"/>
      <c r="N13" s="742"/>
      <c r="O13" s="742"/>
      <c r="P13" s="742"/>
      <c r="Q13" s="742"/>
      <c r="R13" s="742"/>
      <c r="S13" s="742"/>
      <c r="T13" s="742"/>
      <c r="U13" s="742"/>
      <c r="V13" s="742"/>
      <c r="W13" s="742"/>
      <c r="X13" s="742"/>
      <c r="Y13" s="742"/>
      <c r="Z13" s="742"/>
      <c r="AA13" s="742"/>
      <c r="AB13" s="742"/>
      <c r="AC13" s="742"/>
      <c r="AD13" s="742"/>
      <c r="AE13" s="742"/>
      <c r="AF13" s="742"/>
      <c r="AG13" s="742"/>
      <c r="AH13" s="742"/>
      <c r="AI13" s="742"/>
      <c r="AJ13" s="742"/>
      <c r="AK13" s="742"/>
      <c r="AL13" s="742"/>
      <c r="AM13" s="742"/>
      <c r="AN13" s="742"/>
      <c r="AO13" s="742"/>
      <c r="AP13" s="742"/>
      <c r="AQ13" s="742"/>
      <c r="AR13" s="742"/>
      <c r="AS13" s="742"/>
      <c r="AT13" s="742"/>
      <c r="AU13" s="742"/>
      <c r="AV13" s="742"/>
      <c r="AW13" s="742"/>
      <c r="AX13" s="742"/>
      <c r="AY13" s="742"/>
      <c r="AZ13" s="742"/>
      <c r="BA13" s="742"/>
      <c r="BB13" s="742"/>
      <c r="BC13" s="742"/>
      <c r="BD13" s="742"/>
      <c r="BE13" s="742"/>
      <c r="BF13" s="742"/>
      <c r="BG13" s="742"/>
      <c r="BH13" s="742"/>
      <c r="BI13" s="742"/>
      <c r="BJ13" s="742"/>
      <c r="BK13" s="742"/>
    </row>
    <row r="14" spans="1:63" ht="3.95" customHeight="1">
      <c r="A14" s="747"/>
      <c r="B14" s="748"/>
      <c r="C14" s="660"/>
      <c r="D14" s="392"/>
      <c r="E14" s="391"/>
      <c r="F14" s="391"/>
      <c r="G14" s="393"/>
      <c r="H14" s="392"/>
      <c r="I14" s="391"/>
      <c r="J14" s="391"/>
      <c r="K14" s="390"/>
      <c r="L14" s="742"/>
      <c r="M14" s="742"/>
      <c r="N14" s="742"/>
      <c r="O14" s="742"/>
      <c r="P14" s="742"/>
      <c r="Q14" s="742"/>
      <c r="R14" s="742"/>
      <c r="S14" s="742"/>
      <c r="T14" s="742"/>
      <c r="U14" s="742"/>
      <c r="V14" s="742"/>
      <c r="W14" s="742"/>
      <c r="X14" s="742"/>
      <c r="Y14" s="742"/>
      <c r="Z14" s="742"/>
      <c r="AA14" s="742"/>
      <c r="AB14" s="742"/>
      <c r="AC14" s="742"/>
      <c r="AD14" s="742"/>
      <c r="AE14" s="742"/>
      <c r="AF14" s="742"/>
      <c r="AG14" s="742"/>
      <c r="AH14" s="742"/>
      <c r="AI14" s="742"/>
      <c r="AJ14" s="742"/>
      <c r="AK14" s="742"/>
      <c r="AL14" s="742"/>
      <c r="AM14" s="742"/>
      <c r="AN14" s="742"/>
      <c r="AO14" s="742"/>
      <c r="AP14" s="742"/>
      <c r="AQ14" s="742"/>
      <c r="AR14" s="742"/>
      <c r="AS14" s="742"/>
      <c r="AT14" s="742"/>
      <c r="AU14" s="742"/>
      <c r="AV14" s="742"/>
      <c r="AW14" s="742"/>
      <c r="AX14" s="742"/>
      <c r="AY14" s="742"/>
      <c r="AZ14" s="742"/>
      <c r="BA14" s="742"/>
      <c r="BB14" s="742"/>
      <c r="BC14" s="742"/>
      <c r="BD14" s="742"/>
      <c r="BE14" s="742"/>
      <c r="BF14" s="742"/>
      <c r="BG14" s="742"/>
      <c r="BH14" s="742"/>
      <c r="BI14" s="742"/>
      <c r="BJ14" s="742"/>
      <c r="BK14" s="742"/>
    </row>
    <row r="15" spans="1:63" ht="11.25" customHeight="1">
      <c r="A15" s="614" t="s">
        <v>169</v>
      </c>
      <c r="B15" s="971"/>
      <c r="C15" s="749" t="s">
        <v>232</v>
      </c>
      <c r="D15" s="1182">
        <v>6</v>
      </c>
      <c r="E15" s="1174">
        <v>3</v>
      </c>
      <c r="F15" s="1175">
        <v>3</v>
      </c>
      <c r="G15" s="1173">
        <v>6</v>
      </c>
      <c r="H15" s="1184">
        <v>0</v>
      </c>
      <c r="I15" s="1176">
        <v>0</v>
      </c>
      <c r="J15" s="1177">
        <v>0</v>
      </c>
      <c r="K15" s="1178">
        <v>0</v>
      </c>
      <c r="L15" s="742"/>
      <c r="M15" s="742"/>
      <c r="N15" s="742"/>
      <c r="O15" s="742"/>
      <c r="P15" s="742"/>
      <c r="Q15" s="742"/>
      <c r="R15" s="742"/>
      <c r="S15" s="742"/>
      <c r="T15" s="742"/>
      <c r="U15" s="742"/>
      <c r="V15" s="742"/>
      <c r="W15" s="742"/>
      <c r="X15" s="742"/>
      <c r="Y15" s="742"/>
      <c r="Z15" s="742"/>
      <c r="AA15" s="742"/>
      <c r="AB15" s="742"/>
      <c r="AC15" s="742"/>
      <c r="AD15" s="742"/>
      <c r="AE15" s="742"/>
      <c r="AF15" s="742"/>
      <c r="AG15" s="742"/>
      <c r="AH15" s="742"/>
      <c r="AI15" s="742"/>
      <c r="AJ15" s="742"/>
      <c r="AK15" s="742"/>
      <c r="AL15" s="742"/>
      <c r="AM15" s="742"/>
      <c r="AN15" s="742"/>
      <c r="AO15" s="742"/>
      <c r="AP15" s="742"/>
      <c r="AQ15" s="742"/>
      <c r="AR15" s="742"/>
      <c r="AS15" s="742"/>
      <c r="AT15" s="742"/>
      <c r="AU15" s="742"/>
      <c r="AV15" s="742"/>
      <c r="AW15" s="742"/>
      <c r="AX15" s="742"/>
      <c r="AY15" s="742"/>
      <c r="AZ15" s="742"/>
      <c r="BA15" s="742"/>
      <c r="BB15" s="742"/>
      <c r="BC15" s="742"/>
      <c r="BD15" s="742"/>
      <c r="BE15" s="742"/>
      <c r="BF15" s="742"/>
      <c r="BG15" s="742"/>
      <c r="BH15" s="742"/>
      <c r="BI15" s="742"/>
      <c r="BJ15" s="742"/>
      <c r="BK15" s="742"/>
    </row>
    <row r="16" spans="1:63" ht="11.25" customHeight="1">
      <c r="A16" s="614"/>
      <c r="B16" s="971"/>
      <c r="C16" s="749" t="s">
        <v>233</v>
      </c>
      <c r="D16" s="1182">
        <v>3</v>
      </c>
      <c r="E16" s="1174">
        <v>0</v>
      </c>
      <c r="F16" s="1175">
        <v>3</v>
      </c>
      <c r="G16" s="1173">
        <v>3</v>
      </c>
      <c r="H16" s="1184">
        <v>0</v>
      </c>
      <c r="I16" s="1176">
        <v>0</v>
      </c>
      <c r="J16" s="1177">
        <v>0</v>
      </c>
      <c r="K16" s="1178">
        <v>0</v>
      </c>
      <c r="L16" s="742"/>
      <c r="M16" s="742"/>
      <c r="N16" s="742"/>
      <c r="O16" s="742"/>
      <c r="P16" s="742"/>
      <c r="Q16" s="742"/>
      <c r="R16" s="742"/>
      <c r="S16" s="742"/>
      <c r="T16" s="742"/>
      <c r="U16" s="742"/>
      <c r="V16" s="742"/>
      <c r="W16" s="742"/>
      <c r="X16" s="742"/>
      <c r="Y16" s="742"/>
      <c r="Z16" s="742"/>
      <c r="AA16" s="742"/>
      <c r="AB16" s="742"/>
      <c r="AC16" s="742"/>
      <c r="AD16" s="742"/>
      <c r="AE16" s="742"/>
      <c r="AF16" s="742"/>
      <c r="AG16" s="742"/>
      <c r="AH16" s="742"/>
      <c r="AI16" s="742"/>
      <c r="AJ16" s="742"/>
      <c r="AK16" s="742"/>
      <c r="AL16" s="742"/>
      <c r="AM16" s="742"/>
      <c r="AN16" s="742"/>
      <c r="AO16" s="742"/>
      <c r="AP16" s="742"/>
      <c r="AQ16" s="742"/>
      <c r="AR16" s="742"/>
      <c r="AS16" s="742"/>
      <c r="AT16" s="742"/>
      <c r="AU16" s="742"/>
      <c r="AV16" s="742"/>
      <c r="AW16" s="742"/>
      <c r="AX16" s="742"/>
      <c r="AY16" s="742"/>
      <c r="AZ16" s="742"/>
      <c r="BA16" s="742"/>
      <c r="BB16" s="742"/>
      <c r="BC16" s="742"/>
      <c r="BD16" s="742"/>
      <c r="BE16" s="742"/>
      <c r="BF16" s="742"/>
      <c r="BG16" s="742"/>
      <c r="BH16" s="742"/>
      <c r="BI16" s="742"/>
      <c r="BJ16" s="742"/>
      <c r="BK16" s="742"/>
    </row>
    <row r="17" spans="1:63" ht="11.25" customHeight="1">
      <c r="A17" s="614"/>
      <c r="B17" s="971"/>
      <c r="C17" s="749" t="s">
        <v>235</v>
      </c>
      <c r="D17" s="1182">
        <v>6</v>
      </c>
      <c r="E17" s="1174">
        <v>3</v>
      </c>
      <c r="F17" s="1175">
        <v>6</v>
      </c>
      <c r="G17" s="1173">
        <v>6</v>
      </c>
      <c r="H17" s="1184">
        <v>0</v>
      </c>
      <c r="I17" s="1176">
        <v>0</v>
      </c>
      <c r="J17" s="1177">
        <v>0</v>
      </c>
      <c r="K17" s="1178">
        <v>0</v>
      </c>
      <c r="L17" s="742"/>
      <c r="M17" s="742"/>
      <c r="N17" s="742"/>
      <c r="O17" s="742"/>
      <c r="P17" s="742"/>
      <c r="Q17" s="742"/>
      <c r="R17" s="742"/>
      <c r="S17" s="742"/>
      <c r="T17" s="742"/>
      <c r="U17" s="742"/>
      <c r="V17" s="742"/>
      <c r="W17" s="742"/>
      <c r="X17" s="742"/>
      <c r="Y17" s="742"/>
      <c r="Z17" s="742"/>
      <c r="AA17" s="742"/>
      <c r="AB17" s="742"/>
      <c r="AC17" s="742"/>
      <c r="AD17" s="742"/>
      <c r="AE17" s="742"/>
      <c r="AF17" s="742"/>
      <c r="AG17" s="742"/>
      <c r="AH17" s="742"/>
      <c r="AI17" s="742"/>
      <c r="AJ17" s="742"/>
      <c r="AK17" s="742"/>
      <c r="AL17" s="742"/>
      <c r="AM17" s="742"/>
      <c r="AN17" s="742"/>
      <c r="AO17" s="742"/>
      <c r="AP17" s="742"/>
      <c r="AQ17" s="742"/>
      <c r="AR17" s="742"/>
      <c r="AS17" s="742"/>
      <c r="AT17" s="742"/>
      <c r="AU17" s="742"/>
      <c r="AV17" s="742"/>
      <c r="AW17" s="742"/>
      <c r="AX17" s="742"/>
      <c r="AY17" s="742"/>
      <c r="AZ17" s="742"/>
      <c r="BA17" s="742"/>
      <c r="BB17" s="742"/>
      <c r="BC17" s="742"/>
      <c r="BD17" s="742"/>
      <c r="BE17" s="742"/>
      <c r="BF17" s="742"/>
      <c r="BG17" s="742"/>
      <c r="BH17" s="742"/>
      <c r="BI17" s="742"/>
      <c r="BJ17" s="742"/>
      <c r="BK17" s="742"/>
    </row>
    <row r="18" spans="1:63" ht="11.25" customHeight="1">
      <c r="A18" s="614"/>
      <c r="B18" s="971"/>
      <c r="C18" s="749" t="s">
        <v>260</v>
      </c>
      <c r="D18" s="1182">
        <v>15</v>
      </c>
      <c r="E18" s="1174">
        <v>12</v>
      </c>
      <c r="F18" s="1175">
        <v>3</v>
      </c>
      <c r="G18" s="1173">
        <v>9</v>
      </c>
      <c r="H18" s="1184">
        <v>3</v>
      </c>
      <c r="I18" s="1176">
        <v>3</v>
      </c>
      <c r="J18" s="1177">
        <v>0</v>
      </c>
      <c r="K18" s="1178">
        <v>0</v>
      </c>
      <c r="L18" s="742"/>
      <c r="M18" s="742"/>
      <c r="N18" s="742"/>
      <c r="O18" s="742"/>
      <c r="P18" s="742"/>
      <c r="Q18" s="742"/>
      <c r="R18" s="742"/>
      <c r="S18" s="742"/>
      <c r="T18" s="742"/>
      <c r="U18" s="742"/>
      <c r="V18" s="742"/>
      <c r="W18" s="742"/>
      <c r="X18" s="742"/>
      <c r="Y18" s="742"/>
      <c r="Z18" s="742"/>
      <c r="AA18" s="742"/>
      <c r="AB18" s="742"/>
      <c r="AC18" s="742"/>
      <c r="AD18" s="742"/>
      <c r="AE18" s="742"/>
      <c r="AF18" s="742"/>
      <c r="AG18" s="742"/>
      <c r="AH18" s="742"/>
      <c r="AI18" s="742"/>
      <c r="AJ18" s="742"/>
      <c r="AK18" s="742"/>
      <c r="AL18" s="742"/>
      <c r="AM18" s="742"/>
      <c r="AN18" s="742"/>
      <c r="AO18" s="742"/>
      <c r="AP18" s="742"/>
      <c r="AQ18" s="742"/>
      <c r="AR18" s="742"/>
      <c r="AS18" s="742"/>
      <c r="AT18" s="742"/>
      <c r="AU18" s="742"/>
      <c r="AV18" s="742"/>
      <c r="AW18" s="742"/>
      <c r="AX18" s="742"/>
      <c r="AY18" s="742"/>
      <c r="AZ18" s="742"/>
      <c r="BA18" s="742"/>
      <c r="BB18" s="742"/>
      <c r="BC18" s="742"/>
      <c r="BD18" s="742"/>
      <c r="BE18" s="742"/>
      <c r="BF18" s="742"/>
      <c r="BG18" s="742"/>
      <c r="BH18" s="742"/>
      <c r="BI18" s="742"/>
      <c r="BJ18" s="742"/>
      <c r="BK18" s="742"/>
    </row>
    <row r="19" spans="1:63" ht="11.25" customHeight="1">
      <c r="A19" s="614"/>
      <c r="B19" s="971"/>
      <c r="C19" s="749" t="s">
        <v>237</v>
      </c>
      <c r="D19" s="1182">
        <v>0</v>
      </c>
      <c r="E19" s="1174">
        <v>0</v>
      </c>
      <c r="F19" s="1175">
        <v>0</v>
      </c>
      <c r="G19" s="1173">
        <v>0</v>
      </c>
      <c r="H19" s="1184">
        <v>0</v>
      </c>
      <c r="I19" s="1176">
        <v>0</v>
      </c>
      <c r="J19" s="1177">
        <v>0</v>
      </c>
      <c r="K19" s="1178">
        <v>0</v>
      </c>
      <c r="L19" s="742"/>
      <c r="M19" s="742"/>
      <c r="N19" s="742"/>
      <c r="O19" s="742"/>
      <c r="P19" s="742"/>
      <c r="Q19" s="742"/>
      <c r="R19" s="742"/>
      <c r="S19" s="742"/>
      <c r="T19" s="742"/>
      <c r="U19" s="742"/>
      <c r="V19" s="742"/>
      <c r="W19" s="742"/>
      <c r="X19" s="742"/>
      <c r="Y19" s="742"/>
      <c r="Z19" s="742"/>
      <c r="AA19" s="742"/>
      <c r="AB19" s="742"/>
      <c r="AC19" s="742"/>
      <c r="AD19" s="742"/>
      <c r="AE19" s="742"/>
      <c r="AF19" s="742"/>
      <c r="AG19" s="742"/>
      <c r="AH19" s="742"/>
      <c r="AI19" s="742"/>
      <c r="AJ19" s="742"/>
      <c r="AK19" s="742"/>
      <c r="AL19" s="742"/>
      <c r="AM19" s="742"/>
      <c r="AN19" s="742"/>
      <c r="AO19" s="742"/>
      <c r="AP19" s="742"/>
      <c r="AQ19" s="742"/>
      <c r="AR19" s="742"/>
      <c r="AS19" s="742"/>
      <c r="AT19" s="742"/>
      <c r="AU19" s="742"/>
      <c r="AV19" s="742"/>
      <c r="AW19" s="742"/>
      <c r="AX19" s="742"/>
      <c r="AY19" s="742"/>
      <c r="AZ19" s="742"/>
      <c r="BA19" s="742"/>
      <c r="BB19" s="742"/>
      <c r="BC19" s="742"/>
      <c r="BD19" s="742"/>
      <c r="BE19" s="742"/>
      <c r="BF19" s="742"/>
      <c r="BG19" s="742"/>
      <c r="BH19" s="742"/>
      <c r="BI19" s="742"/>
      <c r="BJ19" s="742"/>
      <c r="BK19" s="742"/>
    </row>
    <row r="20" spans="1:63" ht="11.25" customHeight="1">
      <c r="A20" s="1234"/>
      <c r="B20" s="1235"/>
      <c r="C20" s="1236"/>
      <c r="D20" s="1237"/>
      <c r="E20" s="1238"/>
      <c r="F20" s="1239"/>
      <c r="G20" s="1240"/>
      <c r="H20" s="1241"/>
      <c r="I20" s="1242"/>
      <c r="J20" s="1243"/>
      <c r="K20" s="1244"/>
      <c r="L20" s="742"/>
      <c r="M20" s="742"/>
      <c r="N20" s="742"/>
      <c r="O20" s="742"/>
      <c r="P20" s="742"/>
      <c r="Q20" s="742"/>
      <c r="R20" s="742"/>
      <c r="S20" s="742"/>
      <c r="T20" s="742"/>
      <c r="U20" s="742"/>
      <c r="V20" s="742"/>
      <c r="W20" s="742"/>
      <c r="X20" s="742"/>
      <c r="Y20" s="742"/>
      <c r="Z20" s="742"/>
      <c r="AA20" s="742"/>
      <c r="AB20" s="742"/>
      <c r="AC20" s="742"/>
      <c r="AD20" s="742"/>
      <c r="AE20" s="742"/>
      <c r="AF20" s="742"/>
      <c r="AG20" s="742"/>
      <c r="AH20" s="742"/>
      <c r="AI20" s="742"/>
      <c r="AJ20" s="742"/>
      <c r="AK20" s="742"/>
      <c r="AL20" s="742"/>
      <c r="AM20" s="742"/>
      <c r="AN20" s="742"/>
      <c r="AO20" s="742"/>
      <c r="AP20" s="742"/>
      <c r="AQ20" s="742"/>
      <c r="AR20" s="742"/>
      <c r="AS20" s="742"/>
      <c r="AT20" s="742"/>
      <c r="AU20" s="742"/>
      <c r="AV20" s="742"/>
      <c r="AW20" s="742"/>
      <c r="AX20" s="742"/>
      <c r="AY20" s="742"/>
      <c r="AZ20" s="742"/>
      <c r="BA20" s="742"/>
      <c r="BB20" s="742"/>
      <c r="BC20" s="742"/>
      <c r="BD20" s="742"/>
      <c r="BE20" s="742"/>
      <c r="BF20" s="742"/>
      <c r="BG20" s="742"/>
      <c r="BH20" s="742"/>
      <c r="BI20" s="742"/>
      <c r="BJ20" s="742"/>
      <c r="BK20" s="742"/>
    </row>
    <row r="21" spans="1:63" ht="11.25" customHeight="1">
      <c r="A21" s="614" t="s">
        <v>170</v>
      </c>
      <c r="B21" s="971"/>
      <c r="C21" s="749" t="s">
        <v>262</v>
      </c>
      <c r="D21" s="1182">
        <v>0</v>
      </c>
      <c r="E21" s="1174">
        <v>0</v>
      </c>
      <c r="F21" s="1175">
        <v>0</v>
      </c>
      <c r="G21" s="1173">
        <v>0</v>
      </c>
      <c r="H21" s="1184">
        <v>0</v>
      </c>
      <c r="I21" s="1176">
        <v>0</v>
      </c>
      <c r="J21" s="1177">
        <v>0</v>
      </c>
      <c r="K21" s="1178">
        <v>0</v>
      </c>
      <c r="L21" s="742"/>
      <c r="M21" s="742"/>
      <c r="N21" s="742"/>
      <c r="O21" s="742"/>
      <c r="P21" s="742"/>
      <c r="Q21" s="742"/>
      <c r="R21" s="742"/>
      <c r="S21" s="742"/>
      <c r="T21" s="742"/>
      <c r="U21" s="742"/>
      <c r="V21" s="742"/>
      <c r="W21" s="742"/>
      <c r="X21" s="742"/>
      <c r="Y21" s="742"/>
      <c r="Z21" s="742"/>
      <c r="AA21" s="742"/>
      <c r="AB21" s="742"/>
      <c r="AC21" s="742"/>
      <c r="AD21" s="742"/>
      <c r="AE21" s="742"/>
      <c r="AF21" s="742"/>
      <c r="AG21" s="742"/>
      <c r="AH21" s="742"/>
      <c r="AI21" s="742"/>
      <c r="AJ21" s="742"/>
      <c r="AK21" s="742"/>
      <c r="AL21" s="742"/>
      <c r="AM21" s="742"/>
      <c r="AN21" s="742"/>
      <c r="AO21" s="742"/>
      <c r="AP21" s="742"/>
      <c r="AQ21" s="742"/>
      <c r="AR21" s="742"/>
      <c r="AS21" s="742"/>
      <c r="AT21" s="742"/>
      <c r="AU21" s="742"/>
      <c r="AV21" s="742"/>
      <c r="AW21" s="742"/>
      <c r="AX21" s="742"/>
      <c r="AY21" s="742"/>
      <c r="AZ21" s="742"/>
      <c r="BA21" s="742"/>
      <c r="BB21" s="742"/>
      <c r="BC21" s="742"/>
      <c r="BD21" s="742"/>
      <c r="BE21" s="742"/>
      <c r="BF21" s="742"/>
      <c r="BG21" s="742"/>
      <c r="BH21" s="742"/>
      <c r="BI21" s="742"/>
      <c r="BJ21" s="742"/>
      <c r="BK21" s="742"/>
    </row>
    <row r="22" spans="1:63" ht="11.25" customHeight="1">
      <c r="A22" s="1234"/>
      <c r="B22" s="1235"/>
      <c r="C22" s="1236"/>
      <c r="D22" s="1237"/>
      <c r="E22" s="1238"/>
      <c r="F22" s="1239"/>
      <c r="G22" s="1240"/>
      <c r="H22" s="1241"/>
      <c r="I22" s="1242"/>
      <c r="J22" s="1243"/>
      <c r="K22" s="1244"/>
      <c r="L22" s="742"/>
      <c r="M22" s="742"/>
      <c r="N22" s="742"/>
      <c r="O22" s="742"/>
      <c r="P22" s="742"/>
      <c r="Q22" s="742"/>
      <c r="R22" s="742"/>
      <c r="S22" s="742"/>
      <c r="T22" s="742"/>
      <c r="U22" s="742"/>
      <c r="V22" s="742"/>
      <c r="W22" s="742"/>
      <c r="X22" s="742"/>
      <c r="Y22" s="742"/>
      <c r="Z22" s="742"/>
      <c r="AA22" s="742"/>
      <c r="AB22" s="742"/>
      <c r="AC22" s="742"/>
      <c r="AD22" s="742"/>
      <c r="AE22" s="742"/>
      <c r="AF22" s="742"/>
      <c r="AG22" s="742"/>
      <c r="AH22" s="742"/>
      <c r="AI22" s="742"/>
      <c r="AJ22" s="742"/>
      <c r="AK22" s="742"/>
      <c r="AL22" s="742"/>
      <c r="AM22" s="742"/>
      <c r="AN22" s="742"/>
      <c r="AO22" s="742"/>
      <c r="AP22" s="742"/>
      <c r="AQ22" s="742"/>
      <c r="AR22" s="742"/>
      <c r="AS22" s="742"/>
      <c r="AT22" s="742"/>
      <c r="AU22" s="742"/>
      <c r="AV22" s="742"/>
      <c r="AW22" s="742"/>
      <c r="AX22" s="742"/>
      <c r="AY22" s="742"/>
      <c r="AZ22" s="742"/>
      <c r="BA22" s="742"/>
      <c r="BB22" s="742"/>
      <c r="BC22" s="742"/>
      <c r="BD22" s="742"/>
      <c r="BE22" s="742"/>
      <c r="BF22" s="742"/>
      <c r="BG22" s="742"/>
      <c r="BH22" s="742"/>
      <c r="BI22" s="742"/>
      <c r="BJ22" s="742"/>
      <c r="BK22" s="742"/>
    </row>
    <row r="23" spans="1:63" ht="11.25" customHeight="1">
      <c r="A23" s="614" t="s">
        <v>171</v>
      </c>
      <c r="B23" s="971"/>
      <c r="C23" s="749" t="s">
        <v>231</v>
      </c>
      <c r="D23" s="1182">
        <v>159</v>
      </c>
      <c r="E23" s="1174">
        <v>147</v>
      </c>
      <c r="F23" s="1175">
        <v>12</v>
      </c>
      <c r="G23" s="1173">
        <v>120</v>
      </c>
      <c r="H23" s="1184">
        <v>21</v>
      </c>
      <c r="I23" s="1176">
        <v>21</v>
      </c>
      <c r="J23" s="1177">
        <v>0</v>
      </c>
      <c r="K23" s="1178">
        <v>15</v>
      </c>
      <c r="L23" s="742"/>
      <c r="M23" s="742"/>
      <c r="N23" s="742"/>
      <c r="O23" s="742"/>
      <c r="P23" s="742"/>
      <c r="Q23" s="742"/>
      <c r="R23" s="742"/>
      <c r="S23" s="742"/>
      <c r="T23" s="742"/>
      <c r="U23" s="742"/>
      <c r="V23" s="742"/>
      <c r="W23" s="742"/>
      <c r="X23" s="742"/>
      <c r="Y23" s="742"/>
      <c r="Z23" s="742"/>
      <c r="AA23" s="742"/>
      <c r="AB23" s="742"/>
      <c r="AC23" s="742"/>
      <c r="AD23" s="742"/>
      <c r="AE23" s="742"/>
      <c r="AF23" s="742"/>
      <c r="AG23" s="742"/>
      <c r="AH23" s="742"/>
      <c r="AI23" s="742"/>
      <c r="AJ23" s="742"/>
      <c r="AK23" s="742"/>
      <c r="AL23" s="742"/>
      <c r="AM23" s="742"/>
      <c r="AN23" s="742"/>
      <c r="AO23" s="742"/>
      <c r="AP23" s="742"/>
      <c r="AQ23" s="742"/>
      <c r="AR23" s="742"/>
      <c r="AS23" s="742"/>
      <c r="AT23" s="742"/>
      <c r="AU23" s="742"/>
      <c r="AV23" s="742"/>
      <c r="AW23" s="742"/>
      <c r="AX23" s="742"/>
      <c r="AY23" s="742"/>
      <c r="AZ23" s="742"/>
      <c r="BA23" s="742"/>
      <c r="BB23" s="742"/>
      <c r="BC23" s="742"/>
      <c r="BD23" s="742"/>
      <c r="BE23" s="742"/>
      <c r="BF23" s="742"/>
      <c r="BG23" s="742"/>
      <c r="BH23" s="742"/>
      <c r="BI23" s="742"/>
      <c r="BJ23" s="742"/>
      <c r="BK23" s="742"/>
    </row>
    <row r="24" spans="1:63" ht="11.25" customHeight="1">
      <c r="A24" s="614"/>
      <c r="B24" s="971"/>
      <c r="C24" s="749" t="s">
        <v>245</v>
      </c>
      <c r="D24" s="1182">
        <v>21</v>
      </c>
      <c r="E24" s="1174">
        <v>21</v>
      </c>
      <c r="F24" s="1175">
        <v>0</v>
      </c>
      <c r="G24" s="1173">
        <v>18</v>
      </c>
      <c r="H24" s="1184">
        <v>6</v>
      </c>
      <c r="I24" s="1176">
        <v>6</v>
      </c>
      <c r="J24" s="1177">
        <v>0</v>
      </c>
      <c r="K24" s="1178">
        <v>3</v>
      </c>
      <c r="L24" s="742"/>
      <c r="M24" s="742"/>
      <c r="N24" s="742"/>
      <c r="O24" s="742"/>
      <c r="P24" s="742"/>
      <c r="Q24" s="742"/>
      <c r="R24" s="742"/>
      <c r="S24" s="742"/>
      <c r="T24" s="742"/>
      <c r="U24" s="742"/>
      <c r="V24" s="742"/>
      <c r="W24" s="742"/>
      <c r="X24" s="742"/>
      <c r="Y24" s="742"/>
      <c r="Z24" s="742"/>
      <c r="AA24" s="742"/>
      <c r="AB24" s="742"/>
      <c r="AC24" s="742"/>
      <c r="AD24" s="742"/>
      <c r="AE24" s="742"/>
      <c r="AF24" s="742"/>
      <c r="AG24" s="742"/>
      <c r="AH24" s="742"/>
      <c r="AI24" s="742"/>
      <c r="AJ24" s="742"/>
      <c r="AK24" s="742"/>
      <c r="AL24" s="742"/>
      <c r="AM24" s="742"/>
      <c r="AN24" s="742"/>
      <c r="AO24" s="742"/>
      <c r="AP24" s="742"/>
      <c r="AQ24" s="742"/>
      <c r="AR24" s="742"/>
      <c r="AS24" s="742"/>
      <c r="AT24" s="742"/>
      <c r="AU24" s="742"/>
      <c r="AV24" s="742"/>
      <c r="AW24" s="742"/>
      <c r="AX24" s="742"/>
      <c r="AY24" s="742"/>
      <c r="AZ24" s="742"/>
      <c r="BA24" s="742"/>
      <c r="BB24" s="742"/>
      <c r="BC24" s="742"/>
      <c r="BD24" s="742"/>
      <c r="BE24" s="742"/>
      <c r="BF24" s="742"/>
      <c r="BG24" s="742"/>
      <c r="BH24" s="742"/>
      <c r="BI24" s="742"/>
      <c r="BJ24" s="742"/>
      <c r="BK24" s="742"/>
    </row>
    <row r="25" spans="1:63" ht="11.25" customHeight="1">
      <c r="A25" s="614"/>
      <c r="B25" s="971"/>
      <c r="C25" s="749" t="s">
        <v>369</v>
      </c>
      <c r="D25" s="1182">
        <v>12</v>
      </c>
      <c r="E25" s="1174">
        <v>12</v>
      </c>
      <c r="F25" s="1175">
        <v>0</v>
      </c>
      <c r="G25" s="1173">
        <v>9</v>
      </c>
      <c r="H25" s="1184">
        <v>0</v>
      </c>
      <c r="I25" s="1176">
        <v>0</v>
      </c>
      <c r="J25" s="1177">
        <v>0</v>
      </c>
      <c r="K25" s="1178">
        <v>0</v>
      </c>
      <c r="L25" s="742"/>
      <c r="M25" s="742"/>
      <c r="N25" s="742"/>
      <c r="O25" s="742"/>
      <c r="P25" s="742"/>
      <c r="Q25" s="742"/>
      <c r="R25" s="742"/>
      <c r="S25" s="742"/>
      <c r="T25" s="742"/>
      <c r="U25" s="742"/>
      <c r="V25" s="742"/>
      <c r="W25" s="742"/>
      <c r="X25" s="742"/>
      <c r="Y25" s="742"/>
      <c r="Z25" s="742"/>
      <c r="AA25" s="742"/>
      <c r="AB25" s="742"/>
      <c r="AC25" s="742"/>
      <c r="AD25" s="742"/>
      <c r="AE25" s="742"/>
      <c r="AF25" s="742"/>
      <c r="AG25" s="742"/>
      <c r="AH25" s="742"/>
      <c r="AI25" s="742"/>
      <c r="AJ25" s="742"/>
      <c r="AK25" s="742"/>
      <c r="AL25" s="742"/>
      <c r="AM25" s="742"/>
      <c r="AN25" s="742"/>
      <c r="AO25" s="742"/>
      <c r="AP25" s="742"/>
      <c r="AQ25" s="742"/>
      <c r="AR25" s="742"/>
      <c r="AS25" s="742"/>
      <c r="AT25" s="742"/>
      <c r="AU25" s="742"/>
      <c r="AV25" s="742"/>
      <c r="AW25" s="742"/>
      <c r="AX25" s="742"/>
      <c r="AY25" s="742"/>
      <c r="AZ25" s="742"/>
      <c r="BA25" s="742"/>
      <c r="BB25" s="742"/>
      <c r="BC25" s="742"/>
      <c r="BD25" s="742"/>
      <c r="BE25" s="742"/>
      <c r="BF25" s="742"/>
      <c r="BG25" s="742"/>
      <c r="BH25" s="742"/>
      <c r="BI25" s="742"/>
      <c r="BJ25" s="742"/>
      <c r="BK25" s="742"/>
    </row>
    <row r="26" spans="1:63" ht="11.25" customHeight="1">
      <c r="A26" s="614"/>
      <c r="B26" s="971"/>
      <c r="C26" s="672" t="s">
        <v>257</v>
      </c>
      <c r="D26" s="1184">
        <v>18</v>
      </c>
      <c r="E26" s="1176">
        <v>18</v>
      </c>
      <c r="F26" s="1179">
        <v>0</v>
      </c>
      <c r="G26" s="1180">
        <v>15</v>
      </c>
      <c r="H26" s="1184">
        <v>9</v>
      </c>
      <c r="I26" s="1176">
        <v>9</v>
      </c>
      <c r="J26" s="1177">
        <v>0</v>
      </c>
      <c r="K26" s="1178">
        <v>9</v>
      </c>
      <c r="L26" s="742"/>
      <c r="M26" s="742"/>
      <c r="N26" s="742"/>
      <c r="O26" s="742"/>
      <c r="P26" s="742"/>
      <c r="Q26" s="742"/>
      <c r="R26" s="742"/>
      <c r="S26" s="742"/>
      <c r="T26" s="742"/>
      <c r="U26" s="742"/>
      <c r="V26" s="742"/>
      <c r="W26" s="742"/>
      <c r="X26" s="742"/>
      <c r="Y26" s="742"/>
      <c r="Z26" s="742"/>
      <c r="AA26" s="742"/>
      <c r="AB26" s="742"/>
      <c r="AC26" s="742"/>
      <c r="AD26" s="742"/>
      <c r="AE26" s="742"/>
      <c r="AF26" s="742"/>
      <c r="AG26" s="742"/>
      <c r="AH26" s="742"/>
      <c r="AI26" s="742"/>
      <c r="AJ26" s="742"/>
      <c r="AK26" s="742"/>
      <c r="AL26" s="742"/>
      <c r="AM26" s="742"/>
      <c r="AN26" s="742"/>
      <c r="AO26" s="742"/>
      <c r="AP26" s="742"/>
      <c r="AQ26" s="742"/>
      <c r="AR26" s="742"/>
      <c r="AS26" s="742"/>
      <c r="AT26" s="742"/>
      <c r="AU26" s="742"/>
      <c r="AV26" s="742"/>
      <c r="AW26" s="742"/>
      <c r="AX26" s="742"/>
      <c r="AY26" s="742"/>
      <c r="AZ26" s="742"/>
      <c r="BA26" s="742"/>
      <c r="BB26" s="742"/>
      <c r="BC26" s="742"/>
      <c r="BD26" s="742"/>
      <c r="BE26" s="742"/>
      <c r="BF26" s="742"/>
      <c r="BG26" s="742"/>
      <c r="BH26" s="742"/>
      <c r="BI26" s="742"/>
      <c r="BJ26" s="742"/>
      <c r="BK26" s="742"/>
    </row>
    <row r="27" spans="1:63" ht="11.25" customHeight="1">
      <c r="A27" s="614"/>
      <c r="B27" s="971"/>
      <c r="C27" s="749" t="s">
        <v>259</v>
      </c>
      <c r="D27" s="1182">
        <v>6</v>
      </c>
      <c r="E27" s="1174">
        <v>0</v>
      </c>
      <c r="F27" s="1175">
        <v>6</v>
      </c>
      <c r="G27" s="1173">
        <v>6</v>
      </c>
      <c r="H27" s="1184">
        <v>0</v>
      </c>
      <c r="I27" s="1176">
        <v>0</v>
      </c>
      <c r="J27" s="1177">
        <v>0</v>
      </c>
      <c r="K27" s="1178">
        <v>0</v>
      </c>
      <c r="L27" s="742"/>
      <c r="M27" s="742"/>
      <c r="N27" s="742"/>
      <c r="O27" s="742"/>
      <c r="P27" s="742"/>
      <c r="Q27" s="742"/>
      <c r="R27" s="742"/>
      <c r="S27" s="742"/>
      <c r="T27" s="742"/>
      <c r="U27" s="742"/>
      <c r="V27" s="742"/>
      <c r="W27" s="742"/>
      <c r="X27" s="742"/>
      <c r="Y27" s="742"/>
      <c r="Z27" s="742"/>
      <c r="AA27" s="742"/>
      <c r="AB27" s="742"/>
      <c r="AC27" s="742"/>
      <c r="AD27" s="742"/>
      <c r="AE27" s="742"/>
      <c r="AF27" s="742"/>
      <c r="AG27" s="742"/>
      <c r="AH27" s="742"/>
      <c r="AI27" s="742"/>
      <c r="AJ27" s="742"/>
      <c r="AK27" s="742"/>
      <c r="AL27" s="742"/>
      <c r="AM27" s="742"/>
      <c r="AN27" s="742"/>
      <c r="AO27" s="742"/>
      <c r="AP27" s="742"/>
      <c r="AQ27" s="742"/>
      <c r="AR27" s="742"/>
      <c r="AS27" s="742"/>
      <c r="AT27" s="742"/>
      <c r="AU27" s="742"/>
      <c r="AV27" s="742"/>
      <c r="AW27" s="742"/>
      <c r="AX27" s="742"/>
      <c r="AY27" s="742"/>
      <c r="AZ27" s="742"/>
      <c r="BA27" s="742"/>
      <c r="BB27" s="742"/>
      <c r="BC27" s="742"/>
      <c r="BD27" s="742"/>
      <c r="BE27" s="742"/>
      <c r="BF27" s="742"/>
      <c r="BG27" s="742"/>
      <c r="BH27" s="742"/>
      <c r="BI27" s="742"/>
      <c r="BJ27" s="742"/>
      <c r="BK27" s="742"/>
    </row>
    <row r="28" spans="1:63" ht="11.25" customHeight="1">
      <c r="A28" s="614"/>
      <c r="B28" s="971"/>
      <c r="C28" s="749" t="s">
        <v>241</v>
      </c>
      <c r="D28" s="1182">
        <v>9</v>
      </c>
      <c r="E28" s="1174">
        <v>0</v>
      </c>
      <c r="F28" s="1175">
        <v>9</v>
      </c>
      <c r="G28" s="1173">
        <v>9</v>
      </c>
      <c r="H28" s="1184">
        <v>0</v>
      </c>
      <c r="I28" s="1176">
        <v>0</v>
      </c>
      <c r="J28" s="1177">
        <v>0</v>
      </c>
      <c r="K28" s="1178">
        <v>0</v>
      </c>
      <c r="L28" s="742"/>
      <c r="M28" s="742"/>
      <c r="N28" s="742"/>
      <c r="O28" s="742"/>
      <c r="P28" s="742"/>
      <c r="Q28" s="742"/>
      <c r="R28" s="742"/>
      <c r="S28" s="742"/>
      <c r="T28" s="742"/>
      <c r="U28" s="742"/>
      <c r="V28" s="742"/>
      <c r="W28" s="742"/>
      <c r="X28" s="742"/>
      <c r="Y28" s="742"/>
      <c r="Z28" s="742"/>
      <c r="AA28" s="742"/>
      <c r="AB28" s="742"/>
      <c r="AC28" s="742"/>
      <c r="AD28" s="742"/>
      <c r="AE28" s="742"/>
      <c r="AF28" s="742"/>
      <c r="AG28" s="742"/>
      <c r="AH28" s="742"/>
      <c r="AI28" s="742"/>
      <c r="AJ28" s="742"/>
      <c r="AK28" s="742"/>
      <c r="AL28" s="742"/>
      <c r="AM28" s="742"/>
      <c r="AN28" s="742"/>
      <c r="AO28" s="742"/>
      <c r="AP28" s="742"/>
      <c r="AQ28" s="742"/>
      <c r="AR28" s="742"/>
      <c r="AS28" s="742"/>
      <c r="AT28" s="742"/>
      <c r="AU28" s="742"/>
      <c r="AV28" s="742"/>
      <c r="AW28" s="742"/>
      <c r="AX28" s="742"/>
      <c r="AY28" s="742"/>
      <c r="AZ28" s="742"/>
      <c r="BA28" s="742"/>
      <c r="BB28" s="742"/>
      <c r="BC28" s="742"/>
      <c r="BD28" s="742"/>
      <c r="BE28" s="742"/>
      <c r="BF28" s="742"/>
      <c r="BG28" s="742"/>
      <c r="BH28" s="742"/>
      <c r="BI28" s="742"/>
      <c r="BJ28" s="742"/>
      <c r="BK28" s="742"/>
    </row>
    <row r="29" spans="1:63" ht="11.25" customHeight="1">
      <c r="A29" s="614"/>
      <c r="B29" s="971"/>
      <c r="C29" s="749" t="s">
        <v>246</v>
      </c>
      <c r="D29" s="1182">
        <v>0</v>
      </c>
      <c r="E29" s="1174">
        <v>0</v>
      </c>
      <c r="F29" s="1175">
        <v>0</v>
      </c>
      <c r="G29" s="1173">
        <v>0</v>
      </c>
      <c r="H29" s="1184">
        <v>0</v>
      </c>
      <c r="I29" s="1176">
        <v>0</v>
      </c>
      <c r="J29" s="1177">
        <v>0</v>
      </c>
      <c r="K29" s="1178">
        <v>0</v>
      </c>
      <c r="L29" s="742"/>
      <c r="M29" s="742"/>
      <c r="N29" s="742"/>
      <c r="O29" s="742"/>
      <c r="P29" s="742"/>
      <c r="Q29" s="742"/>
      <c r="R29" s="742"/>
      <c r="S29" s="742"/>
      <c r="T29" s="742"/>
      <c r="U29" s="742"/>
      <c r="V29" s="742"/>
      <c r="W29" s="742"/>
      <c r="X29" s="742"/>
      <c r="Y29" s="742"/>
      <c r="Z29" s="742"/>
      <c r="AA29" s="742"/>
      <c r="AB29" s="742"/>
      <c r="AC29" s="742"/>
      <c r="AD29" s="742"/>
      <c r="AE29" s="742"/>
      <c r="AF29" s="742"/>
      <c r="AG29" s="742"/>
      <c r="AH29" s="742"/>
      <c r="AI29" s="742"/>
      <c r="AJ29" s="742"/>
      <c r="AK29" s="742"/>
      <c r="AL29" s="742"/>
      <c r="AM29" s="742"/>
      <c r="AN29" s="742"/>
      <c r="AO29" s="742"/>
      <c r="AP29" s="742"/>
      <c r="AQ29" s="742"/>
      <c r="AR29" s="742"/>
      <c r="AS29" s="742"/>
      <c r="AT29" s="742"/>
      <c r="AU29" s="742"/>
      <c r="AV29" s="742"/>
      <c r="AW29" s="742"/>
      <c r="AX29" s="742"/>
      <c r="AY29" s="742"/>
      <c r="AZ29" s="742"/>
      <c r="BA29" s="742"/>
      <c r="BB29" s="742"/>
      <c r="BC29" s="742"/>
      <c r="BD29" s="742"/>
      <c r="BE29" s="742"/>
      <c r="BF29" s="742"/>
      <c r="BG29" s="742"/>
      <c r="BH29" s="742"/>
      <c r="BI29" s="742"/>
      <c r="BJ29" s="742"/>
      <c r="BK29" s="742"/>
    </row>
    <row r="30" spans="1:63" ht="11.25" customHeight="1">
      <c r="A30" s="614"/>
      <c r="B30" s="971"/>
      <c r="C30" s="749" t="s">
        <v>247</v>
      </c>
      <c r="D30" s="1182">
        <v>12</v>
      </c>
      <c r="E30" s="1174">
        <v>12</v>
      </c>
      <c r="F30" s="1175">
        <v>0</v>
      </c>
      <c r="G30" s="1173">
        <v>12</v>
      </c>
      <c r="H30" s="1184">
        <v>0</v>
      </c>
      <c r="I30" s="1176">
        <v>0</v>
      </c>
      <c r="J30" s="1177">
        <v>0</v>
      </c>
      <c r="K30" s="1178">
        <v>0</v>
      </c>
      <c r="L30" s="742"/>
      <c r="M30" s="742"/>
      <c r="N30" s="742"/>
      <c r="O30" s="742"/>
      <c r="P30" s="742"/>
      <c r="Q30" s="742"/>
      <c r="R30" s="742"/>
      <c r="S30" s="742"/>
      <c r="T30" s="742"/>
      <c r="U30" s="742"/>
      <c r="V30" s="742"/>
      <c r="W30" s="742"/>
      <c r="X30" s="742"/>
      <c r="Y30" s="742"/>
      <c r="Z30" s="742"/>
      <c r="AA30" s="742"/>
      <c r="AB30" s="742"/>
      <c r="AC30" s="742"/>
      <c r="AD30" s="742"/>
      <c r="AE30" s="742"/>
      <c r="AF30" s="742"/>
      <c r="AG30" s="742"/>
      <c r="AH30" s="742"/>
      <c r="AI30" s="742"/>
      <c r="AJ30" s="742"/>
      <c r="AK30" s="742"/>
      <c r="AL30" s="742"/>
      <c r="AM30" s="742"/>
      <c r="AN30" s="742"/>
      <c r="AO30" s="742"/>
      <c r="AP30" s="742"/>
      <c r="AQ30" s="742"/>
      <c r="AR30" s="742"/>
      <c r="AS30" s="742"/>
      <c r="AT30" s="742"/>
      <c r="AU30" s="742"/>
      <c r="AV30" s="742"/>
      <c r="AW30" s="742"/>
      <c r="AX30" s="742"/>
      <c r="AY30" s="742"/>
      <c r="AZ30" s="742"/>
      <c r="BA30" s="742"/>
      <c r="BB30" s="742"/>
      <c r="BC30" s="742"/>
      <c r="BD30" s="742"/>
      <c r="BE30" s="742"/>
      <c r="BF30" s="742"/>
      <c r="BG30" s="742"/>
      <c r="BH30" s="742"/>
      <c r="BI30" s="742"/>
      <c r="BJ30" s="742"/>
      <c r="BK30" s="742"/>
    </row>
    <row r="31" spans="1:63" ht="11.25" customHeight="1">
      <c r="A31" s="614"/>
      <c r="B31" s="971"/>
      <c r="C31" s="749" t="s">
        <v>261</v>
      </c>
      <c r="D31" s="1182">
        <v>0</v>
      </c>
      <c r="E31" s="1174">
        <v>0</v>
      </c>
      <c r="F31" s="1175">
        <v>0</v>
      </c>
      <c r="G31" s="1173">
        <v>0</v>
      </c>
      <c r="H31" s="1184">
        <v>0</v>
      </c>
      <c r="I31" s="1176">
        <v>0</v>
      </c>
      <c r="J31" s="1177">
        <v>0</v>
      </c>
      <c r="K31" s="1178">
        <v>0</v>
      </c>
      <c r="L31" s="742"/>
      <c r="M31" s="742"/>
      <c r="N31" s="742"/>
      <c r="O31" s="742"/>
      <c r="P31" s="742"/>
      <c r="Q31" s="742"/>
      <c r="R31" s="742"/>
      <c r="S31" s="742"/>
      <c r="T31" s="742"/>
      <c r="U31" s="742"/>
      <c r="V31" s="742"/>
      <c r="W31" s="742"/>
      <c r="X31" s="742"/>
      <c r="Y31" s="742"/>
      <c r="Z31" s="742"/>
      <c r="AA31" s="742"/>
      <c r="AB31" s="742"/>
      <c r="AC31" s="742"/>
      <c r="AD31" s="742"/>
      <c r="AE31" s="742"/>
      <c r="AF31" s="742"/>
      <c r="AG31" s="742"/>
      <c r="AH31" s="742"/>
      <c r="AI31" s="742"/>
      <c r="AJ31" s="742"/>
      <c r="AK31" s="742"/>
      <c r="AL31" s="742"/>
      <c r="AM31" s="742"/>
      <c r="AN31" s="742"/>
      <c r="AO31" s="742"/>
      <c r="AP31" s="742"/>
      <c r="AQ31" s="742"/>
      <c r="AR31" s="742"/>
      <c r="AS31" s="742"/>
      <c r="AT31" s="742"/>
      <c r="AU31" s="742"/>
      <c r="AV31" s="742"/>
      <c r="AW31" s="742"/>
      <c r="AX31" s="742"/>
      <c r="AY31" s="742"/>
      <c r="AZ31" s="742"/>
      <c r="BA31" s="742"/>
      <c r="BB31" s="742"/>
      <c r="BC31" s="742"/>
      <c r="BD31" s="742"/>
      <c r="BE31" s="742"/>
      <c r="BF31" s="742"/>
      <c r="BG31" s="742"/>
      <c r="BH31" s="742"/>
      <c r="BI31" s="742"/>
      <c r="BJ31" s="742"/>
      <c r="BK31" s="742"/>
    </row>
    <row r="32" spans="1:63" ht="11.25" customHeight="1">
      <c r="A32" s="614"/>
      <c r="B32" s="971"/>
      <c r="C32" s="749" t="s">
        <v>262</v>
      </c>
      <c r="D32" s="1182">
        <v>12</v>
      </c>
      <c r="E32" s="1174">
        <v>9</v>
      </c>
      <c r="F32" s="1175">
        <v>3</v>
      </c>
      <c r="G32" s="1173">
        <v>9</v>
      </c>
      <c r="H32" s="1184">
        <v>0</v>
      </c>
      <c r="I32" s="1176">
        <v>0</v>
      </c>
      <c r="J32" s="1177">
        <v>0</v>
      </c>
      <c r="K32" s="1178">
        <v>0</v>
      </c>
      <c r="L32" s="742"/>
      <c r="M32" s="742"/>
      <c r="N32" s="742"/>
      <c r="O32" s="742"/>
      <c r="P32" s="742"/>
      <c r="Q32" s="742"/>
      <c r="R32" s="742"/>
      <c r="S32" s="742"/>
      <c r="T32" s="742"/>
      <c r="U32" s="742"/>
      <c r="V32" s="742"/>
      <c r="W32" s="742"/>
      <c r="X32" s="742"/>
      <c r="Y32" s="742"/>
      <c r="Z32" s="742"/>
      <c r="AA32" s="742"/>
      <c r="AB32" s="742"/>
      <c r="AC32" s="742"/>
      <c r="AD32" s="742"/>
      <c r="AE32" s="742"/>
      <c r="AF32" s="742"/>
      <c r="AG32" s="742"/>
      <c r="AH32" s="742"/>
      <c r="AI32" s="742"/>
      <c r="AJ32" s="742"/>
      <c r="AK32" s="742"/>
      <c r="AL32" s="742"/>
      <c r="AM32" s="742"/>
      <c r="AN32" s="742"/>
      <c r="AO32" s="742"/>
      <c r="AP32" s="742"/>
      <c r="AQ32" s="742"/>
      <c r="AR32" s="742"/>
      <c r="AS32" s="742"/>
      <c r="AT32" s="742"/>
      <c r="AU32" s="742"/>
      <c r="AV32" s="742"/>
      <c r="AW32" s="742"/>
      <c r="AX32" s="742"/>
      <c r="AY32" s="742"/>
      <c r="AZ32" s="742"/>
      <c r="BA32" s="742"/>
      <c r="BB32" s="742"/>
      <c r="BC32" s="742"/>
      <c r="BD32" s="742"/>
      <c r="BE32" s="742"/>
      <c r="BF32" s="742"/>
      <c r="BG32" s="742"/>
      <c r="BH32" s="742"/>
      <c r="BI32" s="742"/>
      <c r="BJ32" s="742"/>
      <c r="BK32" s="742"/>
    </row>
    <row r="33" spans="1:63" ht="11.25" customHeight="1">
      <c r="A33" s="614"/>
      <c r="B33" s="971"/>
      <c r="C33" s="749" t="s">
        <v>289</v>
      </c>
      <c r="D33" s="1182">
        <v>0</v>
      </c>
      <c r="E33" s="1174">
        <v>0</v>
      </c>
      <c r="F33" s="1175">
        <v>0</v>
      </c>
      <c r="G33" s="1173">
        <v>0</v>
      </c>
      <c r="H33" s="1184">
        <v>0</v>
      </c>
      <c r="I33" s="1176">
        <v>0</v>
      </c>
      <c r="J33" s="1177">
        <v>0</v>
      </c>
      <c r="K33" s="1178">
        <v>0</v>
      </c>
      <c r="L33" s="742"/>
      <c r="M33" s="742"/>
      <c r="N33" s="742"/>
      <c r="O33" s="742"/>
      <c r="P33" s="742"/>
      <c r="Q33" s="742"/>
      <c r="R33" s="742"/>
      <c r="S33" s="742"/>
      <c r="T33" s="742"/>
      <c r="U33" s="742"/>
      <c r="V33" s="742"/>
      <c r="W33" s="742"/>
      <c r="X33" s="742"/>
      <c r="Y33" s="742"/>
      <c r="Z33" s="742"/>
      <c r="AA33" s="742"/>
      <c r="AB33" s="742"/>
      <c r="AC33" s="742"/>
      <c r="AD33" s="742"/>
      <c r="AE33" s="742"/>
      <c r="AF33" s="742"/>
      <c r="AG33" s="742"/>
      <c r="AH33" s="742"/>
      <c r="AI33" s="742"/>
      <c r="AJ33" s="742"/>
      <c r="AK33" s="742"/>
      <c r="AL33" s="742"/>
      <c r="AM33" s="742"/>
      <c r="AN33" s="742"/>
      <c r="AO33" s="742"/>
      <c r="AP33" s="742"/>
      <c r="AQ33" s="742"/>
      <c r="AR33" s="742"/>
      <c r="AS33" s="742"/>
      <c r="AT33" s="742"/>
      <c r="AU33" s="742"/>
      <c r="AV33" s="742"/>
      <c r="AW33" s="742"/>
      <c r="AX33" s="742"/>
      <c r="AY33" s="742"/>
      <c r="AZ33" s="742"/>
      <c r="BA33" s="742"/>
      <c r="BB33" s="742"/>
      <c r="BC33" s="742"/>
      <c r="BD33" s="742"/>
      <c r="BE33" s="742"/>
      <c r="BF33" s="742"/>
      <c r="BG33" s="742"/>
      <c r="BH33" s="742"/>
      <c r="BI33" s="742"/>
      <c r="BJ33" s="742"/>
      <c r="BK33" s="742"/>
    </row>
    <row r="34" spans="1:63" ht="11.25" customHeight="1">
      <c r="A34" s="614"/>
      <c r="B34" s="971"/>
      <c r="C34" s="749" t="s">
        <v>233</v>
      </c>
      <c r="D34" s="1182">
        <v>6</v>
      </c>
      <c r="E34" s="1174">
        <v>6</v>
      </c>
      <c r="F34" s="1175">
        <v>3</v>
      </c>
      <c r="G34" s="1173">
        <v>6</v>
      </c>
      <c r="H34" s="1184">
        <v>0</v>
      </c>
      <c r="I34" s="1176">
        <v>0</v>
      </c>
      <c r="J34" s="1177">
        <v>0</v>
      </c>
      <c r="K34" s="1178">
        <v>0</v>
      </c>
      <c r="L34" s="742"/>
      <c r="M34" s="742"/>
      <c r="N34" s="742"/>
      <c r="O34" s="742"/>
      <c r="P34" s="742"/>
      <c r="Q34" s="742"/>
      <c r="R34" s="742"/>
      <c r="S34" s="742"/>
      <c r="T34" s="742"/>
      <c r="U34" s="742"/>
      <c r="V34" s="742"/>
      <c r="W34" s="742"/>
      <c r="X34" s="742"/>
      <c r="Y34" s="742"/>
      <c r="Z34" s="742"/>
      <c r="AA34" s="742"/>
      <c r="AB34" s="742"/>
      <c r="AC34" s="742"/>
      <c r="AD34" s="742"/>
      <c r="AE34" s="742"/>
      <c r="AF34" s="742"/>
      <c r="AG34" s="742"/>
      <c r="AH34" s="742"/>
      <c r="AI34" s="742"/>
      <c r="AJ34" s="742"/>
      <c r="AK34" s="742"/>
      <c r="AL34" s="742"/>
      <c r="AM34" s="742"/>
      <c r="AN34" s="742"/>
      <c r="AO34" s="742"/>
      <c r="AP34" s="742"/>
      <c r="AQ34" s="742"/>
      <c r="AR34" s="742"/>
      <c r="AS34" s="742"/>
      <c r="AT34" s="742"/>
      <c r="AU34" s="742"/>
      <c r="AV34" s="742"/>
      <c r="AW34" s="742"/>
      <c r="AX34" s="742"/>
      <c r="AY34" s="742"/>
      <c r="AZ34" s="742"/>
      <c r="BA34" s="742"/>
      <c r="BB34" s="742"/>
      <c r="BC34" s="742"/>
      <c r="BD34" s="742"/>
      <c r="BE34" s="742"/>
      <c r="BF34" s="742"/>
      <c r="BG34" s="742"/>
      <c r="BH34" s="742"/>
      <c r="BI34" s="742"/>
      <c r="BJ34" s="742"/>
      <c r="BK34" s="742"/>
    </row>
    <row r="35" spans="1:63" ht="11.25" customHeight="1">
      <c r="A35" s="614"/>
      <c r="B35" s="971"/>
      <c r="C35" s="749" t="s">
        <v>235</v>
      </c>
      <c r="D35" s="1182">
        <v>15</v>
      </c>
      <c r="E35" s="1174">
        <v>9</v>
      </c>
      <c r="F35" s="1175">
        <v>3</v>
      </c>
      <c r="G35" s="1173">
        <v>15</v>
      </c>
      <c r="H35" s="1184">
        <v>0</v>
      </c>
      <c r="I35" s="1176">
        <v>0</v>
      </c>
      <c r="J35" s="1177">
        <v>0</v>
      </c>
      <c r="K35" s="1178">
        <v>0</v>
      </c>
      <c r="L35" s="742"/>
      <c r="M35" s="742"/>
      <c r="N35" s="742"/>
      <c r="O35" s="742"/>
      <c r="P35" s="742"/>
      <c r="Q35" s="742"/>
      <c r="R35" s="742"/>
      <c r="S35" s="742"/>
      <c r="T35" s="742"/>
      <c r="U35" s="742"/>
      <c r="V35" s="742"/>
      <c r="W35" s="742"/>
      <c r="X35" s="742"/>
      <c r="Y35" s="742"/>
      <c r="Z35" s="742"/>
      <c r="AA35" s="742"/>
      <c r="AB35" s="742"/>
      <c r="AC35" s="742"/>
      <c r="AD35" s="742"/>
      <c r="AE35" s="742"/>
      <c r="AF35" s="742"/>
      <c r="AG35" s="742"/>
      <c r="AH35" s="742"/>
      <c r="AI35" s="742"/>
      <c r="AJ35" s="742"/>
      <c r="AK35" s="742"/>
      <c r="AL35" s="742"/>
      <c r="AM35" s="742"/>
      <c r="AN35" s="742"/>
      <c r="AO35" s="742"/>
      <c r="AP35" s="742"/>
      <c r="AQ35" s="742"/>
      <c r="AR35" s="742"/>
      <c r="AS35" s="742"/>
      <c r="AT35" s="742"/>
      <c r="AU35" s="742"/>
      <c r="AV35" s="742"/>
      <c r="AW35" s="742"/>
      <c r="AX35" s="742"/>
      <c r="AY35" s="742"/>
      <c r="AZ35" s="742"/>
      <c r="BA35" s="742"/>
      <c r="BB35" s="742"/>
      <c r="BC35" s="742"/>
      <c r="BD35" s="742"/>
      <c r="BE35" s="742"/>
      <c r="BF35" s="742"/>
      <c r="BG35" s="742"/>
      <c r="BH35" s="742"/>
      <c r="BI35" s="742"/>
      <c r="BJ35" s="742"/>
      <c r="BK35" s="742"/>
    </row>
    <row r="36" spans="1:63" ht="11.25" customHeight="1">
      <c r="A36" s="614"/>
      <c r="B36" s="971"/>
      <c r="C36" s="749" t="s">
        <v>236</v>
      </c>
      <c r="D36" s="1182">
        <v>0</v>
      </c>
      <c r="E36" s="1174">
        <v>0</v>
      </c>
      <c r="F36" s="1175">
        <v>0</v>
      </c>
      <c r="G36" s="1173">
        <v>0</v>
      </c>
      <c r="H36" s="1184">
        <v>0</v>
      </c>
      <c r="I36" s="1176">
        <v>0</v>
      </c>
      <c r="J36" s="1177">
        <v>0</v>
      </c>
      <c r="K36" s="1178">
        <v>0</v>
      </c>
      <c r="L36" s="742"/>
      <c r="M36" s="742"/>
      <c r="N36" s="742"/>
      <c r="O36" s="742"/>
      <c r="P36" s="742"/>
      <c r="Q36" s="742"/>
      <c r="R36" s="742"/>
      <c r="S36" s="742"/>
      <c r="T36" s="742"/>
      <c r="U36" s="742"/>
      <c r="V36" s="742"/>
      <c r="W36" s="742"/>
      <c r="X36" s="742"/>
      <c r="Y36" s="742"/>
      <c r="Z36" s="742"/>
      <c r="AA36" s="742"/>
      <c r="AB36" s="742"/>
      <c r="AC36" s="742"/>
      <c r="AD36" s="742"/>
      <c r="AE36" s="742"/>
      <c r="AF36" s="742"/>
      <c r="AG36" s="742"/>
      <c r="AH36" s="742"/>
      <c r="AI36" s="742"/>
      <c r="AJ36" s="742"/>
      <c r="AK36" s="742"/>
      <c r="AL36" s="742"/>
      <c r="AM36" s="742"/>
      <c r="AN36" s="742"/>
      <c r="AO36" s="742"/>
      <c r="AP36" s="742"/>
      <c r="AQ36" s="742"/>
      <c r="AR36" s="742"/>
      <c r="AS36" s="742"/>
      <c r="AT36" s="742"/>
      <c r="AU36" s="742"/>
      <c r="AV36" s="742"/>
      <c r="AW36" s="742"/>
      <c r="AX36" s="742"/>
      <c r="AY36" s="742"/>
      <c r="AZ36" s="742"/>
      <c r="BA36" s="742"/>
      <c r="BB36" s="742"/>
      <c r="BC36" s="742"/>
      <c r="BD36" s="742"/>
      <c r="BE36" s="742"/>
      <c r="BF36" s="742"/>
      <c r="BG36" s="742"/>
      <c r="BH36" s="742"/>
      <c r="BI36" s="742"/>
      <c r="BJ36" s="742"/>
      <c r="BK36" s="742"/>
    </row>
    <row r="37" spans="1:63" ht="11.25" customHeight="1">
      <c r="A37" s="614"/>
      <c r="B37" s="971"/>
      <c r="C37" s="749" t="s">
        <v>260</v>
      </c>
      <c r="D37" s="1182">
        <v>57</v>
      </c>
      <c r="E37" s="1174">
        <v>54</v>
      </c>
      <c r="F37" s="1175">
        <v>3</v>
      </c>
      <c r="G37" s="1173">
        <v>48</v>
      </c>
      <c r="H37" s="1184">
        <v>6</v>
      </c>
      <c r="I37" s="1176">
        <v>6</v>
      </c>
      <c r="J37" s="1177">
        <v>0</v>
      </c>
      <c r="K37" s="1178">
        <v>0</v>
      </c>
      <c r="L37" s="742"/>
      <c r="M37" s="742"/>
      <c r="N37" s="742"/>
      <c r="O37" s="742"/>
      <c r="P37" s="742"/>
      <c r="Q37" s="742"/>
      <c r="R37" s="742"/>
      <c r="S37" s="742"/>
      <c r="T37" s="742"/>
      <c r="U37" s="742"/>
      <c r="V37" s="742"/>
      <c r="W37" s="742"/>
      <c r="X37" s="742"/>
      <c r="Y37" s="742"/>
      <c r="Z37" s="742"/>
      <c r="AA37" s="742"/>
      <c r="AB37" s="742"/>
      <c r="AC37" s="742"/>
      <c r="AD37" s="742"/>
      <c r="AE37" s="742"/>
      <c r="AF37" s="742"/>
      <c r="AG37" s="742"/>
      <c r="AH37" s="742"/>
      <c r="AI37" s="742"/>
      <c r="AJ37" s="742"/>
      <c r="AK37" s="742"/>
      <c r="AL37" s="742"/>
      <c r="AM37" s="742"/>
      <c r="AN37" s="742"/>
      <c r="AO37" s="742"/>
      <c r="AP37" s="742"/>
      <c r="AQ37" s="742"/>
      <c r="AR37" s="742"/>
      <c r="AS37" s="742"/>
      <c r="AT37" s="742"/>
      <c r="AU37" s="742"/>
      <c r="AV37" s="742"/>
      <c r="AW37" s="742"/>
      <c r="AX37" s="742"/>
      <c r="AY37" s="742"/>
      <c r="AZ37" s="742"/>
      <c r="BA37" s="742"/>
      <c r="BB37" s="742"/>
      <c r="BC37" s="742"/>
      <c r="BD37" s="742"/>
      <c r="BE37" s="742"/>
      <c r="BF37" s="742"/>
      <c r="BG37" s="742"/>
      <c r="BH37" s="742"/>
      <c r="BI37" s="742"/>
      <c r="BJ37" s="742"/>
      <c r="BK37" s="742"/>
    </row>
    <row r="38" spans="1:63" ht="11.25" customHeight="1">
      <c r="A38" s="614"/>
      <c r="B38" s="971"/>
      <c r="C38" s="749" t="s">
        <v>238</v>
      </c>
      <c r="D38" s="1182">
        <v>9</v>
      </c>
      <c r="E38" s="1174">
        <v>3</v>
      </c>
      <c r="F38" s="1175">
        <v>6</v>
      </c>
      <c r="G38" s="1173">
        <v>6</v>
      </c>
      <c r="H38" s="1184">
        <v>0</v>
      </c>
      <c r="I38" s="1176">
        <v>0</v>
      </c>
      <c r="J38" s="1177">
        <v>0</v>
      </c>
      <c r="K38" s="1178">
        <v>0</v>
      </c>
      <c r="L38" s="742"/>
      <c r="M38" s="742"/>
      <c r="N38" s="742"/>
      <c r="O38" s="742"/>
      <c r="P38" s="742"/>
      <c r="Q38" s="742"/>
      <c r="R38" s="742"/>
      <c r="S38" s="742"/>
      <c r="T38" s="742"/>
      <c r="U38" s="742"/>
      <c r="V38" s="742"/>
      <c r="W38" s="742"/>
      <c r="X38" s="742"/>
      <c r="Y38" s="742"/>
      <c r="Z38" s="742"/>
      <c r="AA38" s="742"/>
      <c r="AB38" s="742"/>
      <c r="AC38" s="742"/>
      <c r="AD38" s="742"/>
      <c r="AE38" s="742"/>
      <c r="AF38" s="742"/>
      <c r="AG38" s="742"/>
      <c r="AH38" s="742"/>
      <c r="AI38" s="742"/>
      <c r="AJ38" s="742"/>
      <c r="AK38" s="742"/>
      <c r="AL38" s="742"/>
      <c r="AM38" s="742"/>
      <c r="AN38" s="742"/>
      <c r="AO38" s="742"/>
      <c r="AP38" s="742"/>
      <c r="AQ38" s="742"/>
      <c r="AR38" s="742"/>
      <c r="AS38" s="742"/>
      <c r="AT38" s="742"/>
      <c r="AU38" s="742"/>
      <c r="AV38" s="742"/>
      <c r="AW38" s="742"/>
      <c r="AX38" s="742"/>
      <c r="AY38" s="742"/>
      <c r="AZ38" s="742"/>
      <c r="BA38" s="742"/>
      <c r="BB38" s="742"/>
      <c r="BC38" s="742"/>
      <c r="BD38" s="742"/>
      <c r="BE38" s="742"/>
      <c r="BF38" s="742"/>
      <c r="BG38" s="742"/>
      <c r="BH38" s="742"/>
      <c r="BI38" s="742"/>
      <c r="BJ38" s="742"/>
      <c r="BK38" s="742"/>
    </row>
    <row r="39" spans="1:63" ht="11.25" customHeight="1">
      <c r="A39" s="614"/>
      <c r="B39" s="971"/>
      <c r="C39" s="749" t="s">
        <v>242</v>
      </c>
      <c r="D39" s="1182">
        <v>15</v>
      </c>
      <c r="E39" s="1174">
        <v>15</v>
      </c>
      <c r="F39" s="1175">
        <v>0</v>
      </c>
      <c r="G39" s="1173">
        <v>15</v>
      </c>
      <c r="H39" s="1184">
        <v>0</v>
      </c>
      <c r="I39" s="1176">
        <v>0</v>
      </c>
      <c r="J39" s="1177">
        <v>0</v>
      </c>
      <c r="K39" s="1178">
        <v>0</v>
      </c>
      <c r="L39" s="742"/>
      <c r="M39" s="742"/>
      <c r="N39" s="742"/>
      <c r="O39" s="742"/>
      <c r="P39" s="742"/>
      <c r="Q39" s="742"/>
      <c r="R39" s="742"/>
      <c r="S39" s="742"/>
      <c r="T39" s="742"/>
      <c r="U39" s="742"/>
      <c r="V39" s="742"/>
      <c r="W39" s="742"/>
      <c r="X39" s="742"/>
      <c r="Y39" s="742"/>
      <c r="Z39" s="742"/>
      <c r="AA39" s="742"/>
      <c r="AB39" s="742"/>
      <c r="AC39" s="742"/>
      <c r="AD39" s="742"/>
      <c r="AE39" s="742"/>
      <c r="AF39" s="742"/>
      <c r="AG39" s="742"/>
      <c r="AH39" s="742"/>
      <c r="AI39" s="742"/>
      <c r="AJ39" s="742"/>
      <c r="AK39" s="742"/>
      <c r="AL39" s="742"/>
      <c r="AM39" s="742"/>
      <c r="AN39" s="742"/>
      <c r="AO39" s="742"/>
      <c r="AP39" s="742"/>
      <c r="AQ39" s="742"/>
      <c r="AR39" s="742"/>
      <c r="AS39" s="742"/>
      <c r="AT39" s="742"/>
      <c r="AU39" s="742"/>
      <c r="AV39" s="742"/>
      <c r="AW39" s="742"/>
      <c r="AX39" s="742"/>
      <c r="AY39" s="742"/>
      <c r="AZ39" s="742"/>
      <c r="BA39" s="742"/>
      <c r="BB39" s="742"/>
      <c r="BC39" s="742"/>
      <c r="BD39" s="742"/>
      <c r="BE39" s="742"/>
      <c r="BF39" s="742"/>
      <c r="BG39" s="742"/>
      <c r="BH39" s="742"/>
      <c r="BI39" s="742"/>
      <c r="BJ39" s="742"/>
      <c r="BK39" s="742"/>
    </row>
    <row r="40" spans="1:63" ht="11.25" customHeight="1">
      <c r="A40" s="1234"/>
      <c r="B40" s="1235"/>
      <c r="C40" s="1236"/>
      <c r="D40" s="1237"/>
      <c r="E40" s="1238"/>
      <c r="F40" s="1239"/>
      <c r="G40" s="1240"/>
      <c r="H40" s="1241"/>
      <c r="I40" s="1242"/>
      <c r="J40" s="1243"/>
      <c r="K40" s="1244"/>
      <c r="L40" s="742"/>
      <c r="M40" s="742"/>
      <c r="N40" s="742"/>
      <c r="O40" s="742"/>
      <c r="P40" s="742"/>
      <c r="Q40" s="742"/>
      <c r="R40" s="742"/>
      <c r="S40" s="742"/>
      <c r="T40" s="742"/>
      <c r="U40" s="742"/>
      <c r="V40" s="742"/>
      <c r="W40" s="742"/>
      <c r="X40" s="742"/>
      <c r="Y40" s="742"/>
      <c r="Z40" s="742"/>
      <c r="AA40" s="742"/>
      <c r="AB40" s="742"/>
      <c r="AC40" s="742"/>
      <c r="AD40" s="742"/>
      <c r="AE40" s="742"/>
      <c r="AF40" s="742"/>
      <c r="AG40" s="742"/>
      <c r="AH40" s="742"/>
      <c r="AI40" s="742"/>
      <c r="AJ40" s="742"/>
      <c r="AK40" s="742"/>
      <c r="AL40" s="742"/>
      <c r="AM40" s="742"/>
      <c r="AN40" s="742"/>
      <c r="AO40" s="742"/>
      <c r="AP40" s="742"/>
      <c r="AQ40" s="742"/>
      <c r="AR40" s="742"/>
      <c r="AS40" s="742"/>
      <c r="AT40" s="742"/>
      <c r="AU40" s="742"/>
      <c r="AV40" s="742"/>
      <c r="AW40" s="742"/>
      <c r="AX40" s="742"/>
      <c r="AY40" s="742"/>
      <c r="AZ40" s="742"/>
      <c r="BA40" s="742"/>
      <c r="BB40" s="742"/>
      <c r="BC40" s="742"/>
      <c r="BD40" s="742"/>
      <c r="BE40" s="742"/>
      <c r="BF40" s="742"/>
      <c r="BG40" s="742"/>
      <c r="BH40" s="742"/>
      <c r="BI40" s="742"/>
      <c r="BJ40" s="742"/>
      <c r="BK40" s="742"/>
    </row>
    <row r="41" spans="1:63" ht="11.25" customHeight="1">
      <c r="A41" s="614" t="s">
        <v>182</v>
      </c>
      <c r="B41" s="971"/>
      <c r="C41" s="749" t="s">
        <v>259</v>
      </c>
      <c r="D41" s="1182">
        <v>0</v>
      </c>
      <c r="E41" s="1174">
        <v>0</v>
      </c>
      <c r="F41" s="1175">
        <v>0</v>
      </c>
      <c r="G41" s="1173">
        <v>0</v>
      </c>
      <c r="H41" s="1184">
        <v>0</v>
      </c>
      <c r="I41" s="1176">
        <v>0</v>
      </c>
      <c r="J41" s="1177">
        <v>0</v>
      </c>
      <c r="K41" s="1178">
        <v>0</v>
      </c>
      <c r="L41" s="742"/>
      <c r="M41" s="742"/>
      <c r="N41" s="742"/>
      <c r="O41" s="742"/>
      <c r="P41" s="742"/>
      <c r="Q41" s="742"/>
      <c r="R41" s="742"/>
      <c r="S41" s="742"/>
      <c r="T41" s="742"/>
      <c r="U41" s="742"/>
      <c r="V41" s="742"/>
      <c r="W41" s="742"/>
      <c r="X41" s="742"/>
      <c r="Y41" s="742"/>
      <c r="Z41" s="742"/>
      <c r="AA41" s="742"/>
      <c r="AB41" s="742"/>
      <c r="AC41" s="742"/>
      <c r="AD41" s="742"/>
      <c r="AE41" s="742"/>
      <c r="AF41" s="742"/>
      <c r="AG41" s="742"/>
      <c r="AH41" s="742"/>
      <c r="AI41" s="742"/>
      <c r="AJ41" s="742"/>
      <c r="AK41" s="742"/>
      <c r="AL41" s="742"/>
      <c r="AM41" s="742"/>
      <c r="AN41" s="742"/>
      <c r="AO41" s="742"/>
      <c r="AP41" s="742"/>
      <c r="AQ41" s="742"/>
      <c r="AR41" s="742"/>
      <c r="AS41" s="742"/>
      <c r="AT41" s="742"/>
      <c r="AU41" s="742"/>
      <c r="AV41" s="742"/>
      <c r="AW41" s="742"/>
      <c r="AX41" s="742"/>
      <c r="AY41" s="742"/>
      <c r="AZ41" s="742"/>
      <c r="BA41" s="742"/>
      <c r="BB41" s="742"/>
      <c r="BC41" s="742"/>
      <c r="BD41" s="742"/>
      <c r="BE41" s="742"/>
      <c r="BF41" s="742"/>
      <c r="BG41" s="742"/>
      <c r="BH41" s="742"/>
      <c r="BI41" s="742"/>
      <c r="BJ41" s="742"/>
      <c r="BK41" s="742"/>
    </row>
    <row r="42" spans="1:63" ht="11.25" customHeight="1">
      <c r="A42" s="614"/>
      <c r="B42" s="971"/>
      <c r="C42" s="749" t="s">
        <v>241</v>
      </c>
      <c r="D42" s="1182">
        <v>12</v>
      </c>
      <c r="E42" s="1174">
        <v>6</v>
      </c>
      <c r="F42" s="1175">
        <v>6</v>
      </c>
      <c r="G42" s="1173">
        <v>12</v>
      </c>
      <c r="H42" s="1184">
        <v>0</v>
      </c>
      <c r="I42" s="1176">
        <v>0</v>
      </c>
      <c r="J42" s="1177">
        <v>0</v>
      </c>
      <c r="K42" s="1178">
        <v>0</v>
      </c>
      <c r="L42" s="742"/>
      <c r="M42" s="742"/>
      <c r="N42" s="742"/>
      <c r="O42" s="742"/>
      <c r="P42" s="742"/>
      <c r="Q42" s="742"/>
      <c r="R42" s="742"/>
      <c r="S42" s="742"/>
      <c r="T42" s="742"/>
      <c r="U42" s="742"/>
      <c r="V42" s="742"/>
      <c r="W42" s="742"/>
      <c r="X42" s="742"/>
      <c r="Y42" s="742"/>
      <c r="Z42" s="742"/>
      <c r="AA42" s="742"/>
      <c r="AB42" s="742"/>
      <c r="AC42" s="742"/>
      <c r="AD42" s="742"/>
      <c r="AE42" s="742"/>
      <c r="AF42" s="742"/>
      <c r="AG42" s="742"/>
      <c r="AH42" s="742"/>
      <c r="AI42" s="742"/>
      <c r="AJ42" s="742"/>
      <c r="AK42" s="742"/>
      <c r="AL42" s="742"/>
      <c r="AM42" s="742"/>
      <c r="AN42" s="742"/>
      <c r="AO42" s="742"/>
      <c r="AP42" s="742"/>
      <c r="AQ42" s="742"/>
      <c r="AR42" s="742"/>
      <c r="AS42" s="742"/>
      <c r="AT42" s="742"/>
      <c r="AU42" s="742"/>
      <c r="AV42" s="742"/>
      <c r="AW42" s="742"/>
      <c r="AX42" s="742"/>
      <c r="AY42" s="742"/>
      <c r="AZ42" s="742"/>
      <c r="BA42" s="742"/>
      <c r="BB42" s="742"/>
      <c r="BC42" s="742"/>
      <c r="BD42" s="742"/>
      <c r="BE42" s="742"/>
      <c r="BF42" s="742"/>
      <c r="BG42" s="742"/>
      <c r="BH42" s="742"/>
      <c r="BI42" s="742"/>
      <c r="BJ42" s="742"/>
      <c r="BK42" s="742"/>
    </row>
    <row r="43" spans="1:63" ht="11.25" customHeight="1">
      <c r="A43" s="614"/>
      <c r="B43" s="971"/>
      <c r="C43" s="749" t="s">
        <v>290</v>
      </c>
      <c r="D43" s="1182">
        <v>3</v>
      </c>
      <c r="E43" s="1174">
        <v>3</v>
      </c>
      <c r="F43" s="1175">
        <v>0</v>
      </c>
      <c r="G43" s="1173">
        <v>3</v>
      </c>
      <c r="H43" s="1184">
        <v>0</v>
      </c>
      <c r="I43" s="1176">
        <v>0</v>
      </c>
      <c r="J43" s="1177">
        <v>0</v>
      </c>
      <c r="K43" s="1178">
        <v>0</v>
      </c>
      <c r="L43" s="742"/>
      <c r="M43" s="742"/>
      <c r="N43" s="742"/>
      <c r="O43" s="742"/>
      <c r="P43" s="742"/>
      <c r="Q43" s="742"/>
      <c r="R43" s="742"/>
      <c r="S43" s="742"/>
      <c r="T43" s="742"/>
      <c r="U43" s="742"/>
      <c r="V43" s="742"/>
      <c r="W43" s="742"/>
      <c r="X43" s="742"/>
      <c r="Y43" s="742"/>
      <c r="Z43" s="742"/>
      <c r="AA43" s="742"/>
      <c r="AB43" s="742"/>
      <c r="AC43" s="742"/>
      <c r="AD43" s="742"/>
      <c r="AE43" s="742"/>
      <c r="AF43" s="742"/>
      <c r="AG43" s="742"/>
      <c r="AH43" s="742"/>
      <c r="AI43" s="742"/>
      <c r="AJ43" s="742"/>
      <c r="AK43" s="742"/>
      <c r="AL43" s="742"/>
      <c r="AM43" s="742"/>
      <c r="AN43" s="742"/>
      <c r="AO43" s="742"/>
      <c r="AP43" s="742"/>
      <c r="AQ43" s="742"/>
      <c r="AR43" s="742"/>
      <c r="AS43" s="742"/>
      <c r="AT43" s="742"/>
      <c r="AU43" s="742"/>
      <c r="AV43" s="742"/>
      <c r="AW43" s="742"/>
      <c r="AX43" s="742"/>
      <c r="AY43" s="742"/>
      <c r="AZ43" s="742"/>
      <c r="BA43" s="742"/>
      <c r="BB43" s="742"/>
      <c r="BC43" s="742"/>
      <c r="BD43" s="742"/>
      <c r="BE43" s="742"/>
      <c r="BF43" s="742"/>
      <c r="BG43" s="742"/>
      <c r="BH43" s="742"/>
      <c r="BI43" s="742"/>
      <c r="BJ43" s="742"/>
      <c r="BK43" s="742"/>
    </row>
    <row r="44" spans="1:63" ht="11.25" customHeight="1">
      <c r="A44" s="614"/>
      <c r="B44" s="971"/>
      <c r="C44" s="749" t="s">
        <v>247</v>
      </c>
      <c r="D44" s="1182">
        <v>18</v>
      </c>
      <c r="E44" s="1174">
        <v>18</v>
      </c>
      <c r="F44" s="1181">
        <v>0</v>
      </c>
      <c r="G44" s="1173">
        <v>12</v>
      </c>
      <c r="H44" s="1184">
        <v>0</v>
      </c>
      <c r="I44" s="1176">
        <v>0</v>
      </c>
      <c r="J44" s="1177">
        <v>0</v>
      </c>
      <c r="K44" s="1178">
        <v>0</v>
      </c>
      <c r="L44" s="742"/>
      <c r="M44" s="742"/>
      <c r="N44" s="742"/>
      <c r="O44" s="742"/>
      <c r="P44" s="742"/>
      <c r="Q44" s="742"/>
      <c r="R44" s="742"/>
      <c r="S44" s="742"/>
      <c r="T44" s="742"/>
      <c r="U44" s="742"/>
      <c r="V44" s="742"/>
      <c r="W44" s="742"/>
      <c r="X44" s="742"/>
      <c r="Y44" s="742"/>
      <c r="Z44" s="742"/>
      <c r="AA44" s="742"/>
      <c r="AB44" s="742"/>
      <c r="AC44" s="742"/>
      <c r="AD44" s="742"/>
      <c r="AE44" s="742"/>
      <c r="AF44" s="742"/>
      <c r="AG44" s="742"/>
      <c r="AH44" s="742"/>
      <c r="AI44" s="742"/>
      <c r="AJ44" s="742"/>
      <c r="AK44" s="742"/>
      <c r="AL44" s="742"/>
      <c r="AM44" s="742"/>
      <c r="AN44" s="742"/>
      <c r="AO44" s="742"/>
      <c r="AP44" s="742"/>
      <c r="AQ44" s="742"/>
      <c r="AR44" s="742"/>
      <c r="AS44" s="742"/>
      <c r="AT44" s="742"/>
      <c r="AU44" s="742"/>
      <c r="AV44" s="742"/>
      <c r="AW44" s="742"/>
      <c r="AX44" s="742"/>
      <c r="AY44" s="742"/>
      <c r="AZ44" s="742"/>
      <c r="BA44" s="742"/>
      <c r="BB44" s="742"/>
      <c r="BC44" s="742"/>
      <c r="BD44" s="742"/>
      <c r="BE44" s="742"/>
      <c r="BF44" s="742"/>
      <c r="BG44" s="742"/>
      <c r="BH44" s="742"/>
      <c r="BI44" s="742"/>
      <c r="BJ44" s="742"/>
      <c r="BK44" s="742"/>
    </row>
    <row r="45" spans="1:63" ht="11.25" customHeight="1">
      <c r="A45" s="614"/>
      <c r="B45" s="971"/>
      <c r="C45" s="749" t="s">
        <v>187</v>
      </c>
      <c r="D45" s="1182">
        <v>33</v>
      </c>
      <c r="E45" s="1174">
        <v>33</v>
      </c>
      <c r="F45" s="1175">
        <v>0</v>
      </c>
      <c r="G45" s="1173">
        <v>27</v>
      </c>
      <c r="H45" s="1184">
        <v>3</v>
      </c>
      <c r="I45" s="1176">
        <v>3</v>
      </c>
      <c r="J45" s="1177">
        <v>0</v>
      </c>
      <c r="K45" s="1178">
        <v>3</v>
      </c>
      <c r="L45" s="742"/>
      <c r="M45" s="742"/>
      <c r="N45" s="742"/>
      <c r="O45" s="742"/>
      <c r="P45" s="742"/>
      <c r="Q45" s="742"/>
      <c r="R45" s="742"/>
      <c r="S45" s="742"/>
      <c r="T45" s="742"/>
      <c r="U45" s="742"/>
      <c r="V45" s="742"/>
      <c r="W45" s="742"/>
      <c r="X45" s="742"/>
      <c r="Y45" s="742"/>
      <c r="Z45" s="742"/>
      <c r="AA45" s="742"/>
      <c r="AB45" s="742"/>
      <c r="AC45" s="742"/>
      <c r="AD45" s="742"/>
      <c r="AE45" s="742"/>
      <c r="AF45" s="742"/>
      <c r="AG45" s="742"/>
      <c r="AH45" s="742"/>
      <c r="AI45" s="742"/>
      <c r="AJ45" s="742"/>
      <c r="AK45" s="742"/>
      <c r="AL45" s="742"/>
      <c r="AM45" s="742"/>
      <c r="AN45" s="742"/>
      <c r="AO45" s="742"/>
      <c r="AP45" s="742"/>
      <c r="AQ45" s="742"/>
      <c r="AR45" s="742"/>
      <c r="AS45" s="742"/>
      <c r="AT45" s="742"/>
      <c r="AU45" s="742"/>
      <c r="AV45" s="742"/>
      <c r="AW45" s="742"/>
      <c r="AX45" s="742"/>
      <c r="AY45" s="742"/>
      <c r="AZ45" s="742"/>
      <c r="BA45" s="742"/>
      <c r="BB45" s="742"/>
      <c r="BC45" s="742"/>
      <c r="BD45" s="742"/>
      <c r="BE45" s="742"/>
      <c r="BF45" s="742"/>
      <c r="BG45" s="742"/>
      <c r="BH45" s="742"/>
      <c r="BI45" s="742"/>
      <c r="BJ45" s="742"/>
      <c r="BK45" s="742"/>
    </row>
    <row r="46" spans="1:63" ht="11.25" customHeight="1">
      <c r="A46" s="614"/>
      <c r="B46" s="971"/>
      <c r="C46" s="749" t="s">
        <v>295</v>
      </c>
      <c r="D46" s="1184">
        <v>9</v>
      </c>
      <c r="E46" s="1176">
        <v>9</v>
      </c>
      <c r="F46" s="1179">
        <v>0</v>
      </c>
      <c r="G46" s="1180">
        <v>9</v>
      </c>
      <c r="H46" s="1184">
        <v>0</v>
      </c>
      <c r="I46" s="1176">
        <v>0</v>
      </c>
      <c r="J46" s="1177">
        <v>0</v>
      </c>
      <c r="K46" s="1178">
        <v>0</v>
      </c>
      <c r="L46" s="742"/>
      <c r="M46" s="742"/>
      <c r="N46" s="742"/>
      <c r="O46" s="742"/>
      <c r="P46" s="742"/>
      <c r="Q46" s="742"/>
      <c r="R46" s="742"/>
      <c r="S46" s="742"/>
      <c r="T46" s="742"/>
      <c r="U46" s="742"/>
      <c r="V46" s="742"/>
      <c r="W46" s="742"/>
      <c r="X46" s="742"/>
      <c r="Y46" s="742"/>
      <c r="Z46" s="742"/>
      <c r="AA46" s="742"/>
      <c r="AB46" s="742"/>
      <c r="AC46" s="742"/>
      <c r="AD46" s="742"/>
      <c r="AE46" s="742"/>
      <c r="AF46" s="742"/>
      <c r="AG46" s="742"/>
      <c r="AH46" s="742"/>
      <c r="AI46" s="742"/>
      <c r="AJ46" s="742"/>
      <c r="AK46" s="742"/>
      <c r="AL46" s="742"/>
      <c r="AM46" s="742"/>
      <c r="AN46" s="742"/>
      <c r="AO46" s="742"/>
      <c r="AP46" s="742"/>
      <c r="AQ46" s="742"/>
      <c r="AR46" s="742"/>
      <c r="AS46" s="742"/>
      <c r="AT46" s="742"/>
      <c r="AU46" s="742"/>
      <c r="AV46" s="742"/>
      <c r="AW46" s="742"/>
      <c r="AX46" s="742"/>
      <c r="AY46" s="742"/>
      <c r="AZ46" s="742"/>
      <c r="BA46" s="742"/>
      <c r="BB46" s="742"/>
      <c r="BC46" s="742"/>
      <c r="BD46" s="742"/>
      <c r="BE46" s="742"/>
      <c r="BF46" s="742"/>
      <c r="BG46" s="742"/>
      <c r="BH46" s="742"/>
      <c r="BI46" s="742"/>
      <c r="BJ46" s="742"/>
      <c r="BK46" s="742"/>
    </row>
    <row r="47" spans="1:63" ht="11.25" customHeight="1">
      <c r="A47" s="614"/>
      <c r="B47" s="971"/>
      <c r="C47" s="671" t="s">
        <v>265</v>
      </c>
      <c r="D47" s="1182">
        <v>9</v>
      </c>
      <c r="E47" s="1174">
        <v>6</v>
      </c>
      <c r="F47" s="1175">
        <v>0</v>
      </c>
      <c r="G47" s="1173">
        <v>6</v>
      </c>
      <c r="H47" s="1184">
        <v>0</v>
      </c>
      <c r="I47" s="1176">
        <v>0</v>
      </c>
      <c r="J47" s="1177">
        <v>0</v>
      </c>
      <c r="K47" s="1178">
        <v>0</v>
      </c>
      <c r="L47" s="742"/>
      <c r="M47" s="742"/>
      <c r="N47" s="742"/>
      <c r="O47" s="742"/>
      <c r="P47" s="742"/>
      <c r="Q47" s="742"/>
      <c r="R47" s="742"/>
      <c r="S47" s="742"/>
      <c r="T47" s="742"/>
      <c r="U47" s="742"/>
      <c r="V47" s="742"/>
      <c r="W47" s="742"/>
      <c r="X47" s="742"/>
      <c r="Y47" s="742"/>
      <c r="Z47" s="742"/>
      <c r="AA47" s="742"/>
      <c r="AB47" s="742"/>
      <c r="AC47" s="742"/>
      <c r="AD47" s="742"/>
      <c r="AE47" s="742"/>
      <c r="AF47" s="742"/>
      <c r="AG47" s="742"/>
      <c r="AH47" s="742"/>
      <c r="AI47" s="742"/>
      <c r="AJ47" s="742"/>
      <c r="AK47" s="742"/>
      <c r="AL47" s="742"/>
      <c r="AM47" s="742"/>
      <c r="AN47" s="742"/>
      <c r="AO47" s="742"/>
      <c r="AP47" s="742"/>
      <c r="AQ47" s="742"/>
      <c r="AR47" s="742"/>
      <c r="AS47" s="742"/>
      <c r="AT47" s="742"/>
      <c r="AU47" s="742"/>
      <c r="AV47" s="742"/>
      <c r="AW47" s="742"/>
      <c r="AX47" s="742"/>
      <c r="AY47" s="742"/>
      <c r="AZ47" s="742"/>
      <c r="BA47" s="742"/>
      <c r="BB47" s="742"/>
      <c r="BC47" s="742"/>
      <c r="BD47" s="742"/>
      <c r="BE47" s="742"/>
      <c r="BF47" s="742"/>
      <c r="BG47" s="742"/>
      <c r="BH47" s="742"/>
      <c r="BI47" s="742"/>
      <c r="BJ47" s="742"/>
      <c r="BK47" s="742"/>
    </row>
    <row r="48" spans="1:63" ht="11.25" customHeight="1">
      <c r="A48" s="614"/>
      <c r="B48" s="971"/>
      <c r="C48" s="749" t="s">
        <v>233</v>
      </c>
      <c r="D48" s="1182">
        <v>36</v>
      </c>
      <c r="E48" s="1174">
        <v>24</v>
      </c>
      <c r="F48" s="1175">
        <v>12</v>
      </c>
      <c r="G48" s="1173">
        <v>27</v>
      </c>
      <c r="H48" s="1184">
        <v>3</v>
      </c>
      <c r="I48" s="1176">
        <v>0</v>
      </c>
      <c r="J48" s="1177">
        <v>3</v>
      </c>
      <c r="K48" s="1178">
        <v>0</v>
      </c>
      <c r="L48" s="742"/>
      <c r="M48" s="742"/>
      <c r="N48" s="742"/>
      <c r="O48" s="742"/>
      <c r="P48" s="742"/>
      <c r="Q48" s="742"/>
      <c r="R48" s="742"/>
      <c r="S48" s="742"/>
      <c r="T48" s="742"/>
      <c r="U48" s="742"/>
      <c r="V48" s="742"/>
      <c r="W48" s="742"/>
      <c r="X48" s="742"/>
      <c r="Y48" s="742"/>
      <c r="Z48" s="742"/>
      <c r="AA48" s="742"/>
      <c r="AB48" s="742"/>
      <c r="AC48" s="742"/>
      <c r="AD48" s="742"/>
      <c r="AE48" s="742"/>
      <c r="AF48" s="742"/>
      <c r="AG48" s="742"/>
      <c r="AH48" s="742"/>
      <c r="AI48" s="742"/>
      <c r="AJ48" s="742"/>
      <c r="AK48" s="742"/>
      <c r="AL48" s="742"/>
      <c r="AM48" s="742"/>
      <c r="AN48" s="742"/>
      <c r="AO48" s="742"/>
      <c r="AP48" s="742"/>
      <c r="AQ48" s="742"/>
      <c r="AR48" s="742"/>
      <c r="AS48" s="742"/>
      <c r="AT48" s="742"/>
      <c r="AU48" s="742"/>
      <c r="AV48" s="742"/>
      <c r="AW48" s="742"/>
      <c r="AX48" s="742"/>
      <c r="AY48" s="742"/>
      <c r="AZ48" s="742"/>
      <c r="BA48" s="742"/>
      <c r="BB48" s="742"/>
      <c r="BC48" s="742"/>
      <c r="BD48" s="742"/>
      <c r="BE48" s="742"/>
      <c r="BF48" s="742"/>
      <c r="BG48" s="742"/>
      <c r="BH48" s="742"/>
      <c r="BI48" s="742"/>
      <c r="BJ48" s="742"/>
      <c r="BK48" s="742"/>
    </row>
    <row r="49" spans="1:63" ht="11.25" customHeight="1">
      <c r="A49" s="614"/>
      <c r="B49" s="971"/>
      <c r="C49" s="749" t="s">
        <v>234</v>
      </c>
      <c r="D49" s="1182">
        <v>0</v>
      </c>
      <c r="E49" s="1174">
        <v>0</v>
      </c>
      <c r="F49" s="1175">
        <v>0</v>
      </c>
      <c r="G49" s="1173">
        <v>0</v>
      </c>
      <c r="H49" s="1184">
        <v>0</v>
      </c>
      <c r="I49" s="1176">
        <v>0</v>
      </c>
      <c r="J49" s="1177">
        <v>0</v>
      </c>
      <c r="K49" s="1178">
        <v>0</v>
      </c>
      <c r="L49" s="742"/>
      <c r="M49" s="742"/>
      <c r="N49" s="742"/>
      <c r="O49" s="742"/>
      <c r="P49" s="742"/>
      <c r="Q49" s="742"/>
      <c r="R49" s="742"/>
      <c r="S49" s="742"/>
      <c r="T49" s="742"/>
      <c r="U49" s="742"/>
      <c r="V49" s="742"/>
      <c r="W49" s="742"/>
      <c r="X49" s="742"/>
      <c r="Y49" s="742"/>
      <c r="Z49" s="742"/>
      <c r="AA49" s="742"/>
      <c r="AB49" s="742"/>
      <c r="AC49" s="742"/>
      <c r="AD49" s="742"/>
      <c r="AE49" s="742"/>
      <c r="AF49" s="742"/>
      <c r="AG49" s="742"/>
      <c r="AH49" s="742"/>
      <c r="AI49" s="742"/>
      <c r="AJ49" s="742"/>
      <c r="AK49" s="742"/>
      <c r="AL49" s="742"/>
      <c r="AM49" s="742"/>
      <c r="AN49" s="742"/>
      <c r="AO49" s="742"/>
      <c r="AP49" s="742"/>
      <c r="AQ49" s="742"/>
      <c r="AR49" s="742"/>
      <c r="AS49" s="742"/>
      <c r="AT49" s="742"/>
      <c r="AU49" s="742"/>
      <c r="AV49" s="742"/>
      <c r="AW49" s="742"/>
      <c r="AX49" s="742"/>
      <c r="AY49" s="742"/>
      <c r="AZ49" s="742"/>
      <c r="BA49" s="742"/>
      <c r="BB49" s="742"/>
      <c r="BC49" s="742"/>
      <c r="BD49" s="742"/>
      <c r="BE49" s="742"/>
      <c r="BF49" s="742"/>
      <c r="BG49" s="742"/>
      <c r="BH49" s="742"/>
      <c r="BI49" s="742"/>
      <c r="BJ49" s="742"/>
      <c r="BK49" s="742"/>
    </row>
    <row r="50" spans="1:63" ht="11.25" customHeight="1">
      <c r="A50" s="614"/>
      <c r="B50" s="971"/>
      <c r="C50" s="749" t="s">
        <v>235</v>
      </c>
      <c r="D50" s="1182">
        <v>12</v>
      </c>
      <c r="E50" s="1174">
        <v>9</v>
      </c>
      <c r="F50" s="1175">
        <v>3</v>
      </c>
      <c r="G50" s="1173">
        <v>12</v>
      </c>
      <c r="H50" s="1184">
        <v>0</v>
      </c>
      <c r="I50" s="1176">
        <v>0</v>
      </c>
      <c r="J50" s="1177">
        <v>0</v>
      </c>
      <c r="K50" s="1178">
        <v>0</v>
      </c>
      <c r="L50" s="742"/>
      <c r="M50" s="742"/>
      <c r="N50" s="742"/>
      <c r="O50" s="742"/>
      <c r="P50" s="742"/>
      <c r="Q50" s="742"/>
      <c r="R50" s="742"/>
      <c r="S50" s="742"/>
      <c r="T50" s="742"/>
      <c r="U50" s="742"/>
      <c r="V50" s="742"/>
      <c r="W50" s="742"/>
      <c r="X50" s="742"/>
      <c r="Y50" s="742"/>
      <c r="Z50" s="742"/>
      <c r="AA50" s="742"/>
      <c r="AB50" s="742"/>
      <c r="AC50" s="742"/>
      <c r="AD50" s="742"/>
      <c r="AE50" s="742"/>
      <c r="AF50" s="742"/>
      <c r="AG50" s="742"/>
      <c r="AH50" s="742"/>
      <c r="AI50" s="742"/>
      <c r="AJ50" s="742"/>
      <c r="AK50" s="742"/>
      <c r="AL50" s="742"/>
      <c r="AM50" s="742"/>
      <c r="AN50" s="742"/>
      <c r="AO50" s="742"/>
      <c r="AP50" s="742"/>
      <c r="AQ50" s="742"/>
      <c r="AR50" s="742"/>
      <c r="AS50" s="742"/>
      <c r="AT50" s="742"/>
      <c r="AU50" s="742"/>
      <c r="AV50" s="742"/>
      <c r="AW50" s="742"/>
      <c r="AX50" s="742"/>
      <c r="AY50" s="742"/>
      <c r="AZ50" s="742"/>
      <c r="BA50" s="742"/>
      <c r="BB50" s="742"/>
      <c r="BC50" s="742"/>
      <c r="BD50" s="742"/>
      <c r="BE50" s="742"/>
      <c r="BF50" s="742"/>
      <c r="BG50" s="742"/>
      <c r="BH50" s="742"/>
      <c r="BI50" s="742"/>
      <c r="BJ50" s="742"/>
      <c r="BK50" s="742"/>
    </row>
    <row r="51" spans="1:63" ht="11.25" customHeight="1">
      <c r="A51" s="614"/>
      <c r="B51" s="971"/>
      <c r="C51" s="749" t="s">
        <v>260</v>
      </c>
      <c r="D51" s="1182">
        <v>132</v>
      </c>
      <c r="E51" s="1174">
        <v>123</v>
      </c>
      <c r="F51" s="1175">
        <v>9</v>
      </c>
      <c r="G51" s="1173">
        <v>99</v>
      </c>
      <c r="H51" s="1184">
        <v>27</v>
      </c>
      <c r="I51" s="1176">
        <v>27</v>
      </c>
      <c r="J51" s="1177">
        <v>0</v>
      </c>
      <c r="K51" s="1178">
        <v>15</v>
      </c>
      <c r="L51" s="742"/>
      <c r="M51" s="742"/>
      <c r="N51" s="742"/>
      <c r="O51" s="742"/>
      <c r="P51" s="742"/>
      <c r="Q51" s="742"/>
      <c r="R51" s="742"/>
      <c r="S51" s="742"/>
      <c r="T51" s="742"/>
      <c r="U51" s="742"/>
      <c r="V51" s="742"/>
      <c r="W51" s="742"/>
      <c r="X51" s="742"/>
      <c r="Y51" s="742"/>
      <c r="Z51" s="742"/>
      <c r="AA51" s="742"/>
      <c r="AB51" s="742"/>
      <c r="AC51" s="742"/>
      <c r="AD51" s="742"/>
      <c r="AE51" s="742"/>
      <c r="AF51" s="742"/>
      <c r="AG51" s="742"/>
      <c r="AH51" s="742"/>
      <c r="AI51" s="742"/>
      <c r="AJ51" s="742"/>
      <c r="AK51" s="742"/>
      <c r="AL51" s="742"/>
      <c r="AM51" s="742"/>
      <c r="AN51" s="742"/>
      <c r="AO51" s="742"/>
      <c r="AP51" s="742"/>
      <c r="AQ51" s="742"/>
      <c r="AR51" s="742"/>
      <c r="AS51" s="742"/>
      <c r="AT51" s="742"/>
      <c r="AU51" s="742"/>
      <c r="AV51" s="742"/>
      <c r="AW51" s="742"/>
      <c r="AX51" s="742"/>
      <c r="AY51" s="742"/>
      <c r="AZ51" s="742"/>
      <c r="BA51" s="742"/>
      <c r="BB51" s="742"/>
      <c r="BC51" s="742"/>
      <c r="BD51" s="742"/>
      <c r="BE51" s="742"/>
      <c r="BF51" s="742"/>
      <c r="BG51" s="742"/>
      <c r="BH51" s="742"/>
      <c r="BI51" s="742"/>
      <c r="BJ51" s="742"/>
      <c r="BK51" s="742"/>
    </row>
    <row r="52" spans="1:63" ht="11.25" customHeight="1">
      <c r="A52" s="614"/>
      <c r="B52" s="971"/>
      <c r="C52" s="749" t="s">
        <v>237</v>
      </c>
      <c r="D52" s="1182">
        <v>33</v>
      </c>
      <c r="E52" s="1174">
        <v>18</v>
      </c>
      <c r="F52" s="1175">
        <v>15</v>
      </c>
      <c r="G52" s="1173">
        <v>30</v>
      </c>
      <c r="H52" s="1184">
        <v>0</v>
      </c>
      <c r="I52" s="1176">
        <v>0</v>
      </c>
      <c r="J52" s="1177">
        <v>0</v>
      </c>
      <c r="K52" s="1178">
        <v>0</v>
      </c>
      <c r="L52" s="742"/>
      <c r="M52" s="742"/>
      <c r="N52" s="742"/>
      <c r="O52" s="742"/>
      <c r="P52" s="742"/>
      <c r="Q52" s="742"/>
      <c r="R52" s="742"/>
      <c r="S52" s="742"/>
      <c r="T52" s="742"/>
      <c r="U52" s="742"/>
      <c r="V52" s="742"/>
      <c r="W52" s="742"/>
      <c r="X52" s="742"/>
      <c r="Y52" s="742"/>
      <c r="Z52" s="742"/>
      <c r="AA52" s="742"/>
      <c r="AB52" s="742"/>
      <c r="AC52" s="742"/>
      <c r="AD52" s="742"/>
      <c r="AE52" s="742"/>
      <c r="AF52" s="742"/>
      <c r="AG52" s="742"/>
      <c r="AH52" s="742"/>
      <c r="AI52" s="742"/>
      <c r="AJ52" s="742"/>
      <c r="AK52" s="742"/>
      <c r="AL52" s="742"/>
      <c r="AM52" s="742"/>
      <c r="AN52" s="742"/>
      <c r="AO52" s="742"/>
      <c r="AP52" s="742"/>
      <c r="AQ52" s="742"/>
      <c r="AR52" s="742"/>
      <c r="AS52" s="742"/>
      <c r="AT52" s="742"/>
      <c r="AU52" s="742"/>
      <c r="AV52" s="742"/>
      <c r="AW52" s="742"/>
      <c r="AX52" s="742"/>
      <c r="AY52" s="742"/>
      <c r="AZ52" s="742"/>
      <c r="BA52" s="742"/>
      <c r="BB52" s="742"/>
      <c r="BC52" s="742"/>
      <c r="BD52" s="742"/>
      <c r="BE52" s="742"/>
      <c r="BF52" s="742"/>
      <c r="BG52" s="742"/>
      <c r="BH52" s="742"/>
      <c r="BI52" s="742"/>
      <c r="BJ52" s="742"/>
      <c r="BK52" s="742"/>
    </row>
    <row r="53" spans="1:63" ht="11.25" customHeight="1">
      <c r="A53" s="614"/>
      <c r="B53" s="971"/>
      <c r="C53" s="749" t="s">
        <v>261</v>
      </c>
      <c r="D53" s="1182">
        <v>3</v>
      </c>
      <c r="E53" s="1174">
        <v>3</v>
      </c>
      <c r="F53" s="1175">
        <v>0</v>
      </c>
      <c r="G53" s="1173">
        <v>3</v>
      </c>
      <c r="H53" s="1184">
        <v>0</v>
      </c>
      <c r="I53" s="1176">
        <v>0</v>
      </c>
      <c r="J53" s="1177">
        <v>0</v>
      </c>
      <c r="K53" s="1178">
        <v>0</v>
      </c>
      <c r="L53" s="742"/>
      <c r="M53" s="742"/>
      <c r="N53" s="742"/>
      <c r="O53" s="742"/>
      <c r="P53" s="742"/>
      <c r="Q53" s="742"/>
      <c r="R53" s="742"/>
      <c r="S53" s="742"/>
      <c r="T53" s="742"/>
      <c r="U53" s="742"/>
      <c r="V53" s="742"/>
      <c r="W53" s="742"/>
      <c r="X53" s="742"/>
      <c r="Y53" s="742"/>
      <c r="Z53" s="742"/>
      <c r="AA53" s="742"/>
      <c r="AB53" s="742"/>
      <c r="AC53" s="742"/>
      <c r="AD53" s="742"/>
      <c r="AE53" s="742"/>
      <c r="AF53" s="742"/>
      <c r="AG53" s="742"/>
      <c r="AH53" s="742"/>
      <c r="AI53" s="742"/>
      <c r="AJ53" s="742"/>
      <c r="AK53" s="742"/>
      <c r="AL53" s="742"/>
      <c r="AM53" s="742"/>
      <c r="AN53" s="742"/>
      <c r="AO53" s="742"/>
      <c r="AP53" s="742"/>
      <c r="AQ53" s="742"/>
      <c r="AR53" s="742"/>
      <c r="AS53" s="742"/>
      <c r="AT53" s="742"/>
      <c r="AU53" s="742"/>
      <c r="AV53" s="742"/>
      <c r="AW53" s="742"/>
      <c r="AX53" s="742"/>
      <c r="AY53" s="742"/>
      <c r="AZ53" s="742"/>
      <c r="BA53" s="742"/>
      <c r="BB53" s="742"/>
      <c r="BC53" s="742"/>
      <c r="BD53" s="742"/>
      <c r="BE53" s="742"/>
      <c r="BF53" s="742"/>
      <c r="BG53" s="742"/>
      <c r="BH53" s="742"/>
      <c r="BI53" s="742"/>
      <c r="BJ53" s="742"/>
      <c r="BK53" s="742"/>
    </row>
    <row r="54" spans="1:63" ht="11.25" customHeight="1">
      <c r="A54" s="614"/>
      <c r="B54" s="971"/>
      <c r="C54" s="749" t="s">
        <v>245</v>
      </c>
      <c r="D54" s="1182">
        <v>21</v>
      </c>
      <c r="E54" s="1174">
        <v>21</v>
      </c>
      <c r="F54" s="1175">
        <v>0</v>
      </c>
      <c r="G54" s="1173">
        <v>21</v>
      </c>
      <c r="H54" s="1184">
        <v>0</v>
      </c>
      <c r="I54" s="1176">
        <v>0</v>
      </c>
      <c r="J54" s="1177">
        <v>0</v>
      </c>
      <c r="K54" s="1178">
        <v>0</v>
      </c>
      <c r="L54" s="742"/>
      <c r="M54" s="742"/>
      <c r="N54" s="742"/>
      <c r="O54" s="742"/>
      <c r="P54" s="742"/>
      <c r="Q54" s="742"/>
      <c r="R54" s="742"/>
      <c r="S54" s="742"/>
      <c r="T54" s="742"/>
      <c r="U54" s="742"/>
      <c r="V54" s="742"/>
      <c r="W54" s="742"/>
      <c r="X54" s="742"/>
      <c r="Y54" s="742"/>
      <c r="Z54" s="742"/>
      <c r="AA54" s="742"/>
      <c r="AB54" s="742"/>
      <c r="AC54" s="742"/>
      <c r="AD54" s="742"/>
      <c r="AE54" s="742"/>
      <c r="AF54" s="742"/>
      <c r="AG54" s="742"/>
      <c r="AH54" s="742"/>
      <c r="AI54" s="742"/>
      <c r="AJ54" s="742"/>
      <c r="AK54" s="742"/>
      <c r="AL54" s="742"/>
      <c r="AM54" s="742"/>
      <c r="AN54" s="742"/>
      <c r="AO54" s="742"/>
      <c r="AP54" s="742"/>
      <c r="AQ54" s="742"/>
      <c r="AR54" s="742"/>
      <c r="AS54" s="742"/>
      <c r="AT54" s="742"/>
      <c r="AU54" s="742"/>
      <c r="AV54" s="742"/>
      <c r="AW54" s="742"/>
      <c r="AX54" s="742"/>
      <c r="AY54" s="742"/>
      <c r="AZ54" s="742"/>
      <c r="BA54" s="742"/>
      <c r="BB54" s="742"/>
      <c r="BC54" s="742"/>
      <c r="BD54" s="742"/>
      <c r="BE54" s="742"/>
      <c r="BF54" s="742"/>
      <c r="BG54" s="742"/>
      <c r="BH54" s="742"/>
      <c r="BI54" s="742"/>
      <c r="BJ54" s="742"/>
      <c r="BK54" s="742"/>
    </row>
    <row r="55" spans="1:63" ht="11.25" customHeight="1">
      <c r="A55" s="614"/>
      <c r="B55" s="971"/>
      <c r="C55" s="749" t="s">
        <v>231</v>
      </c>
      <c r="D55" s="1182">
        <v>0</v>
      </c>
      <c r="E55" s="1174">
        <v>0</v>
      </c>
      <c r="F55" s="1175">
        <v>0</v>
      </c>
      <c r="G55" s="1173">
        <v>0</v>
      </c>
      <c r="H55" s="1184">
        <v>0</v>
      </c>
      <c r="I55" s="1176">
        <v>0</v>
      </c>
      <c r="J55" s="1177">
        <v>0</v>
      </c>
      <c r="K55" s="1178">
        <v>0</v>
      </c>
      <c r="L55" s="742"/>
      <c r="M55" s="742"/>
      <c r="N55" s="742"/>
      <c r="O55" s="742"/>
      <c r="P55" s="742"/>
      <c r="Q55" s="742"/>
      <c r="R55" s="742"/>
      <c r="S55" s="742"/>
      <c r="T55" s="742"/>
      <c r="U55" s="742"/>
      <c r="V55" s="742"/>
      <c r="W55" s="742"/>
      <c r="X55" s="742"/>
      <c r="Y55" s="742"/>
      <c r="Z55" s="742"/>
      <c r="AA55" s="742"/>
      <c r="AB55" s="742"/>
      <c r="AC55" s="742"/>
      <c r="AD55" s="742"/>
      <c r="AE55" s="742"/>
      <c r="AF55" s="742"/>
      <c r="AG55" s="742"/>
      <c r="AH55" s="742"/>
      <c r="AI55" s="742"/>
      <c r="AJ55" s="742"/>
      <c r="AK55" s="742"/>
      <c r="AL55" s="742"/>
      <c r="AM55" s="742"/>
      <c r="AN55" s="742"/>
      <c r="AO55" s="742"/>
      <c r="AP55" s="742"/>
      <c r="AQ55" s="742"/>
      <c r="AR55" s="742"/>
      <c r="AS55" s="742"/>
      <c r="AT55" s="742"/>
      <c r="AU55" s="742"/>
      <c r="AV55" s="742"/>
      <c r="AW55" s="742"/>
      <c r="AX55" s="742"/>
      <c r="AY55" s="742"/>
      <c r="AZ55" s="742"/>
      <c r="BA55" s="742"/>
      <c r="BB55" s="742"/>
      <c r="BC55" s="742"/>
      <c r="BD55" s="742"/>
      <c r="BE55" s="742"/>
      <c r="BF55" s="742"/>
      <c r="BG55" s="742"/>
      <c r="BH55" s="742"/>
      <c r="BI55" s="742"/>
      <c r="BJ55" s="742"/>
      <c r="BK55" s="742"/>
    </row>
    <row r="56" spans="1:63" ht="11.25" customHeight="1">
      <c r="A56" s="1234"/>
      <c r="B56" s="1235"/>
      <c r="C56" s="1236"/>
      <c r="D56" s="1237"/>
      <c r="E56" s="1238"/>
      <c r="F56" s="1239"/>
      <c r="G56" s="1240"/>
      <c r="H56" s="1241"/>
      <c r="I56" s="1242"/>
      <c r="J56" s="1243"/>
      <c r="K56" s="1244"/>
      <c r="L56" s="742"/>
      <c r="M56" s="742"/>
      <c r="N56" s="742"/>
      <c r="O56" s="742"/>
      <c r="P56" s="742"/>
      <c r="Q56" s="742"/>
      <c r="R56" s="742"/>
      <c r="S56" s="742"/>
      <c r="T56" s="742"/>
      <c r="U56" s="742"/>
      <c r="V56" s="742"/>
      <c r="W56" s="742"/>
      <c r="X56" s="742"/>
      <c r="Y56" s="742"/>
      <c r="Z56" s="742"/>
      <c r="AA56" s="742"/>
      <c r="AB56" s="742"/>
      <c r="AC56" s="742"/>
      <c r="AD56" s="742"/>
      <c r="AE56" s="742"/>
      <c r="AF56" s="742"/>
      <c r="AG56" s="742"/>
      <c r="AH56" s="742"/>
      <c r="AI56" s="742"/>
      <c r="AJ56" s="742"/>
      <c r="AK56" s="742"/>
      <c r="AL56" s="742"/>
      <c r="AM56" s="742"/>
      <c r="AN56" s="742"/>
      <c r="AO56" s="742"/>
      <c r="AP56" s="742"/>
      <c r="AQ56" s="742"/>
      <c r="AR56" s="742"/>
      <c r="AS56" s="742"/>
      <c r="AT56" s="742"/>
      <c r="AU56" s="742"/>
      <c r="AV56" s="742"/>
      <c r="AW56" s="742"/>
      <c r="AX56" s="742"/>
      <c r="AY56" s="742"/>
      <c r="AZ56" s="742"/>
      <c r="BA56" s="742"/>
      <c r="BB56" s="742"/>
      <c r="BC56" s="742"/>
      <c r="BD56" s="742"/>
      <c r="BE56" s="742"/>
      <c r="BF56" s="742"/>
      <c r="BG56" s="742"/>
      <c r="BH56" s="742"/>
      <c r="BI56" s="742"/>
      <c r="BJ56" s="742"/>
      <c r="BK56" s="742"/>
    </row>
    <row r="57" spans="1:63" ht="11.25" customHeight="1">
      <c r="A57" s="614" t="s">
        <v>173</v>
      </c>
      <c r="B57" s="971"/>
      <c r="C57" s="749" t="s">
        <v>247</v>
      </c>
      <c r="D57" s="1182">
        <v>3</v>
      </c>
      <c r="E57" s="1174">
        <v>3</v>
      </c>
      <c r="F57" s="1175">
        <v>0</v>
      </c>
      <c r="G57" s="1173">
        <v>3</v>
      </c>
      <c r="H57" s="1184">
        <v>3</v>
      </c>
      <c r="I57" s="1176">
        <v>3</v>
      </c>
      <c r="J57" s="1177">
        <v>0</v>
      </c>
      <c r="K57" s="1178">
        <v>3</v>
      </c>
      <c r="L57" s="742"/>
      <c r="M57" s="742"/>
      <c r="N57" s="742"/>
      <c r="O57" s="742"/>
      <c r="P57" s="742"/>
      <c r="Q57" s="742"/>
      <c r="R57" s="742"/>
      <c r="S57" s="742"/>
      <c r="T57" s="742"/>
      <c r="U57" s="742"/>
      <c r="V57" s="742"/>
      <c r="W57" s="742"/>
      <c r="X57" s="742"/>
      <c r="Y57" s="742"/>
      <c r="Z57" s="742"/>
      <c r="AA57" s="742"/>
      <c r="AB57" s="742"/>
      <c r="AC57" s="742"/>
      <c r="AD57" s="742"/>
      <c r="AE57" s="742"/>
      <c r="AF57" s="742"/>
      <c r="AG57" s="742"/>
      <c r="AH57" s="742"/>
      <c r="AI57" s="742"/>
      <c r="AJ57" s="742"/>
      <c r="AK57" s="742"/>
      <c r="AL57" s="742"/>
      <c r="AM57" s="742"/>
      <c r="AN57" s="742"/>
      <c r="AO57" s="742"/>
      <c r="AP57" s="742"/>
      <c r="AQ57" s="742"/>
      <c r="AR57" s="742"/>
      <c r="AS57" s="742"/>
      <c r="AT57" s="742"/>
      <c r="AU57" s="742"/>
      <c r="AV57" s="742"/>
      <c r="AW57" s="742"/>
      <c r="AX57" s="742"/>
      <c r="AY57" s="742"/>
      <c r="AZ57" s="742"/>
      <c r="BA57" s="742"/>
      <c r="BB57" s="742"/>
      <c r="BC57" s="742"/>
      <c r="BD57" s="742"/>
      <c r="BE57" s="742"/>
      <c r="BF57" s="742"/>
      <c r="BG57" s="742"/>
      <c r="BH57" s="742"/>
      <c r="BI57" s="742"/>
      <c r="BJ57" s="742"/>
      <c r="BK57" s="742"/>
    </row>
    <row r="58" spans="1:63" ht="11.25" customHeight="1">
      <c r="A58" s="1234"/>
      <c r="B58" s="1235"/>
      <c r="C58" s="1236"/>
      <c r="D58" s="1237"/>
      <c r="E58" s="1238"/>
      <c r="F58" s="1239"/>
      <c r="G58" s="1240"/>
      <c r="H58" s="1241"/>
      <c r="I58" s="1242"/>
      <c r="J58" s="1243"/>
      <c r="K58" s="1244"/>
      <c r="L58" s="742"/>
      <c r="M58" s="742"/>
      <c r="N58" s="742"/>
      <c r="O58" s="742"/>
      <c r="P58" s="742"/>
      <c r="Q58" s="742"/>
      <c r="R58" s="742"/>
      <c r="S58" s="742"/>
      <c r="T58" s="742"/>
      <c r="U58" s="742"/>
      <c r="V58" s="742"/>
      <c r="W58" s="742"/>
      <c r="X58" s="742"/>
      <c r="Y58" s="742"/>
      <c r="Z58" s="742"/>
      <c r="AA58" s="742"/>
      <c r="AB58" s="742"/>
      <c r="AC58" s="742"/>
      <c r="AD58" s="742"/>
      <c r="AE58" s="742"/>
      <c r="AF58" s="742"/>
      <c r="AG58" s="742"/>
      <c r="AH58" s="742"/>
      <c r="AI58" s="742"/>
      <c r="AJ58" s="742"/>
      <c r="AK58" s="742"/>
      <c r="AL58" s="742"/>
      <c r="AM58" s="742"/>
      <c r="AN58" s="742"/>
      <c r="AO58" s="742"/>
      <c r="AP58" s="742"/>
      <c r="AQ58" s="742"/>
      <c r="AR58" s="742"/>
      <c r="AS58" s="742"/>
      <c r="AT58" s="742"/>
      <c r="AU58" s="742"/>
      <c r="AV58" s="742"/>
      <c r="AW58" s="742"/>
      <c r="AX58" s="742"/>
      <c r="AY58" s="742"/>
      <c r="AZ58" s="742"/>
      <c r="BA58" s="742"/>
      <c r="BB58" s="742"/>
      <c r="BC58" s="742"/>
      <c r="BD58" s="742"/>
      <c r="BE58" s="742"/>
      <c r="BF58" s="742"/>
      <c r="BG58" s="742"/>
      <c r="BH58" s="742"/>
      <c r="BI58" s="742"/>
      <c r="BJ58" s="742"/>
      <c r="BK58" s="742"/>
    </row>
    <row r="59" spans="1:63" ht="11.25" customHeight="1">
      <c r="A59" s="614" t="s">
        <v>183</v>
      </c>
      <c r="B59" s="971"/>
      <c r="C59" s="749" t="s">
        <v>231</v>
      </c>
      <c r="D59" s="1182">
        <v>36</v>
      </c>
      <c r="E59" s="1174">
        <v>33</v>
      </c>
      <c r="F59" s="1175">
        <v>3</v>
      </c>
      <c r="G59" s="1173">
        <v>27</v>
      </c>
      <c r="H59" s="1184">
        <v>3</v>
      </c>
      <c r="I59" s="1176">
        <v>3</v>
      </c>
      <c r="J59" s="1177">
        <v>0</v>
      </c>
      <c r="K59" s="1178">
        <v>0</v>
      </c>
      <c r="L59" s="742"/>
      <c r="M59" s="742"/>
      <c r="N59" s="742"/>
      <c r="O59" s="742"/>
      <c r="P59" s="742"/>
      <c r="Q59" s="742"/>
      <c r="R59" s="742"/>
      <c r="S59" s="742"/>
      <c r="T59" s="742"/>
      <c r="U59" s="742"/>
      <c r="V59" s="742"/>
      <c r="W59" s="742"/>
      <c r="X59" s="742"/>
      <c r="Y59" s="742"/>
      <c r="Z59" s="742"/>
      <c r="AA59" s="742"/>
      <c r="AB59" s="742"/>
      <c r="AC59" s="742"/>
      <c r="AD59" s="742"/>
      <c r="AE59" s="742"/>
      <c r="AF59" s="742"/>
      <c r="AG59" s="742"/>
      <c r="AH59" s="742"/>
      <c r="AI59" s="742"/>
      <c r="AJ59" s="742"/>
      <c r="AK59" s="742"/>
      <c r="AL59" s="742"/>
      <c r="AM59" s="742"/>
      <c r="AN59" s="742"/>
      <c r="AO59" s="742"/>
      <c r="AP59" s="742"/>
      <c r="AQ59" s="742"/>
      <c r="AR59" s="742"/>
      <c r="AS59" s="742"/>
      <c r="AT59" s="742"/>
      <c r="AU59" s="742"/>
      <c r="AV59" s="742"/>
      <c r="AW59" s="742"/>
      <c r="AX59" s="742"/>
      <c r="AY59" s="742"/>
      <c r="AZ59" s="742"/>
      <c r="BA59" s="742"/>
      <c r="BB59" s="742"/>
      <c r="BC59" s="742"/>
      <c r="BD59" s="742"/>
      <c r="BE59" s="742"/>
      <c r="BF59" s="742"/>
      <c r="BG59" s="742"/>
      <c r="BH59" s="742"/>
      <c r="BI59" s="742"/>
      <c r="BJ59" s="742"/>
      <c r="BK59" s="742"/>
    </row>
    <row r="60" spans="1:63" ht="11.25" customHeight="1">
      <c r="A60" s="614"/>
      <c r="B60" s="971"/>
      <c r="C60" s="749" t="s">
        <v>248</v>
      </c>
      <c r="D60" s="1182">
        <v>24</v>
      </c>
      <c r="E60" s="1174">
        <v>24</v>
      </c>
      <c r="F60" s="1175">
        <v>0</v>
      </c>
      <c r="G60" s="1173">
        <v>15</v>
      </c>
      <c r="H60" s="1184">
        <v>6</v>
      </c>
      <c r="I60" s="1176">
        <v>6</v>
      </c>
      <c r="J60" s="1177">
        <v>0</v>
      </c>
      <c r="K60" s="1178">
        <v>3</v>
      </c>
      <c r="L60" s="742"/>
      <c r="M60" s="742"/>
      <c r="N60" s="742"/>
      <c r="O60" s="742"/>
      <c r="P60" s="742"/>
      <c r="Q60" s="742"/>
      <c r="R60" s="742"/>
      <c r="S60" s="742"/>
      <c r="T60" s="742"/>
      <c r="U60" s="742"/>
      <c r="V60" s="742"/>
      <c r="W60" s="742"/>
      <c r="X60" s="742"/>
      <c r="Y60" s="742"/>
      <c r="Z60" s="742"/>
      <c r="AA60" s="742"/>
      <c r="AB60" s="742"/>
      <c r="AC60" s="742"/>
      <c r="AD60" s="742"/>
      <c r="AE60" s="742"/>
      <c r="AF60" s="742"/>
      <c r="AG60" s="742"/>
      <c r="AH60" s="742"/>
      <c r="AI60" s="742"/>
      <c r="AJ60" s="742"/>
      <c r="AK60" s="742"/>
      <c r="AL60" s="742"/>
      <c r="AM60" s="742"/>
      <c r="AN60" s="742"/>
      <c r="AO60" s="742"/>
      <c r="AP60" s="742"/>
      <c r="AQ60" s="742"/>
      <c r="AR60" s="742"/>
      <c r="AS60" s="742"/>
      <c r="AT60" s="742"/>
      <c r="AU60" s="742"/>
      <c r="AV60" s="742"/>
      <c r="AW60" s="742"/>
      <c r="AX60" s="742"/>
      <c r="AY60" s="742"/>
      <c r="AZ60" s="742"/>
      <c r="BA60" s="742"/>
      <c r="BB60" s="742"/>
      <c r="BC60" s="742"/>
      <c r="BD60" s="742"/>
      <c r="BE60" s="742"/>
      <c r="BF60" s="742"/>
      <c r="BG60" s="742"/>
      <c r="BH60" s="742"/>
      <c r="BI60" s="742"/>
      <c r="BJ60" s="742"/>
      <c r="BK60" s="742"/>
    </row>
    <row r="61" spans="1:63" ht="11.25" customHeight="1">
      <c r="A61" s="614"/>
      <c r="B61" s="971"/>
      <c r="C61" s="764" t="s">
        <v>239</v>
      </c>
      <c r="D61" s="1182">
        <v>0</v>
      </c>
      <c r="E61" s="1174">
        <v>0</v>
      </c>
      <c r="F61" s="1175">
        <v>0</v>
      </c>
      <c r="G61" s="1173">
        <v>0</v>
      </c>
      <c r="H61" s="1184">
        <v>0</v>
      </c>
      <c r="I61" s="1176">
        <v>0</v>
      </c>
      <c r="J61" s="1177">
        <v>0</v>
      </c>
      <c r="K61" s="1178">
        <v>0</v>
      </c>
      <c r="L61" s="742"/>
      <c r="M61" s="742"/>
      <c r="N61" s="742"/>
      <c r="O61" s="742"/>
      <c r="P61" s="742"/>
      <c r="Q61" s="742"/>
      <c r="R61" s="742"/>
      <c r="S61" s="742"/>
      <c r="T61" s="742"/>
      <c r="U61" s="742"/>
      <c r="V61" s="742"/>
      <c r="W61" s="742"/>
      <c r="X61" s="742"/>
      <c r="Y61" s="742"/>
      <c r="Z61" s="742"/>
      <c r="AA61" s="742"/>
      <c r="AB61" s="742"/>
      <c r="AC61" s="742"/>
      <c r="AD61" s="742"/>
      <c r="AE61" s="742"/>
      <c r="AF61" s="742"/>
      <c r="AG61" s="742"/>
      <c r="AH61" s="742"/>
      <c r="AI61" s="742"/>
      <c r="AJ61" s="742"/>
      <c r="AK61" s="742"/>
      <c r="AL61" s="742"/>
      <c r="AM61" s="742"/>
      <c r="AN61" s="742"/>
      <c r="AO61" s="742"/>
      <c r="AP61" s="742"/>
      <c r="AQ61" s="742"/>
      <c r="AR61" s="742"/>
      <c r="AS61" s="742"/>
      <c r="AT61" s="742"/>
      <c r="AU61" s="742"/>
      <c r="AV61" s="742"/>
      <c r="AW61" s="742"/>
      <c r="AX61" s="742"/>
      <c r="AY61" s="742"/>
      <c r="AZ61" s="742"/>
      <c r="BA61" s="742"/>
      <c r="BB61" s="742"/>
      <c r="BC61" s="742"/>
      <c r="BD61" s="742"/>
      <c r="BE61" s="742"/>
      <c r="BF61" s="742"/>
      <c r="BG61" s="742"/>
      <c r="BH61" s="742"/>
      <c r="BI61" s="742"/>
      <c r="BJ61" s="742"/>
      <c r="BK61" s="742"/>
    </row>
    <row r="62" spans="1:63" ht="11.25" customHeight="1">
      <c r="A62" s="614"/>
      <c r="B62" s="971"/>
      <c r="C62" s="764" t="s">
        <v>234</v>
      </c>
      <c r="D62" s="1182">
        <v>0</v>
      </c>
      <c r="E62" s="1174">
        <v>0</v>
      </c>
      <c r="F62" s="1175">
        <v>0</v>
      </c>
      <c r="G62" s="1173">
        <v>0</v>
      </c>
      <c r="H62" s="1184">
        <v>0</v>
      </c>
      <c r="I62" s="1176">
        <v>0</v>
      </c>
      <c r="J62" s="1177">
        <v>0</v>
      </c>
      <c r="K62" s="1178">
        <v>0</v>
      </c>
      <c r="L62" s="742"/>
      <c r="M62" s="742"/>
      <c r="N62" s="742"/>
      <c r="O62" s="742"/>
      <c r="P62" s="742"/>
      <c r="Q62" s="742"/>
      <c r="R62" s="742"/>
      <c r="S62" s="742"/>
      <c r="T62" s="742"/>
      <c r="U62" s="742"/>
      <c r="V62" s="742"/>
      <c r="W62" s="742"/>
      <c r="X62" s="742"/>
      <c r="Y62" s="742"/>
      <c r="Z62" s="742"/>
      <c r="AA62" s="742"/>
      <c r="AB62" s="742"/>
      <c r="AC62" s="742"/>
      <c r="AD62" s="742"/>
      <c r="AE62" s="742"/>
      <c r="AF62" s="742"/>
      <c r="AG62" s="742"/>
      <c r="AH62" s="742"/>
      <c r="AI62" s="742"/>
      <c r="AJ62" s="742"/>
      <c r="AK62" s="742"/>
      <c r="AL62" s="742"/>
      <c r="AM62" s="742"/>
      <c r="AN62" s="742"/>
      <c r="AO62" s="742"/>
      <c r="AP62" s="742"/>
      <c r="AQ62" s="742"/>
      <c r="AR62" s="742"/>
      <c r="AS62" s="742"/>
      <c r="AT62" s="742"/>
      <c r="AU62" s="742"/>
      <c r="AV62" s="742"/>
      <c r="AW62" s="742"/>
      <c r="AX62" s="742"/>
      <c r="AY62" s="742"/>
      <c r="AZ62" s="742"/>
      <c r="BA62" s="742"/>
      <c r="BB62" s="742"/>
      <c r="BC62" s="742"/>
      <c r="BD62" s="742"/>
      <c r="BE62" s="742"/>
      <c r="BF62" s="742"/>
      <c r="BG62" s="742"/>
      <c r="BH62" s="742"/>
      <c r="BI62" s="742"/>
      <c r="BJ62" s="742"/>
      <c r="BK62" s="742"/>
    </row>
    <row r="63" spans="1:63" ht="11.25" customHeight="1">
      <c r="A63" s="614"/>
      <c r="B63" s="971"/>
      <c r="C63" s="764" t="s">
        <v>236</v>
      </c>
      <c r="D63" s="1182">
        <v>0</v>
      </c>
      <c r="E63" s="1174">
        <v>0</v>
      </c>
      <c r="F63" s="1175">
        <v>0</v>
      </c>
      <c r="G63" s="1173">
        <v>0</v>
      </c>
      <c r="H63" s="1184">
        <v>0</v>
      </c>
      <c r="I63" s="1176">
        <v>0</v>
      </c>
      <c r="J63" s="1177">
        <v>0</v>
      </c>
      <c r="K63" s="1178">
        <v>0</v>
      </c>
      <c r="L63" s="742"/>
      <c r="M63" s="742"/>
      <c r="N63" s="742"/>
      <c r="O63" s="742"/>
      <c r="P63" s="742"/>
      <c r="Q63" s="742"/>
      <c r="R63" s="742"/>
      <c r="S63" s="742"/>
      <c r="T63" s="742"/>
      <c r="U63" s="742"/>
      <c r="V63" s="742"/>
      <c r="W63" s="742"/>
      <c r="X63" s="742"/>
      <c r="Y63" s="742"/>
      <c r="Z63" s="742"/>
      <c r="AA63" s="742"/>
      <c r="AB63" s="742"/>
      <c r="AC63" s="742"/>
      <c r="AD63" s="742"/>
      <c r="AE63" s="742"/>
      <c r="AF63" s="742"/>
      <c r="AG63" s="742"/>
      <c r="AH63" s="742"/>
      <c r="AI63" s="742"/>
      <c r="AJ63" s="742"/>
      <c r="AK63" s="742"/>
      <c r="AL63" s="742"/>
      <c r="AM63" s="742"/>
      <c r="AN63" s="742"/>
      <c r="AO63" s="742"/>
      <c r="AP63" s="742"/>
      <c r="AQ63" s="742"/>
      <c r="AR63" s="742"/>
      <c r="AS63" s="742"/>
      <c r="AT63" s="742"/>
      <c r="AU63" s="742"/>
      <c r="AV63" s="742"/>
      <c r="AW63" s="742"/>
      <c r="AX63" s="742"/>
      <c r="AY63" s="742"/>
      <c r="AZ63" s="742"/>
      <c r="BA63" s="742"/>
      <c r="BB63" s="742"/>
      <c r="BC63" s="742"/>
      <c r="BD63" s="742"/>
      <c r="BE63" s="742"/>
      <c r="BF63" s="742"/>
      <c r="BG63" s="742"/>
      <c r="BH63" s="742"/>
      <c r="BI63" s="742"/>
      <c r="BJ63" s="742"/>
      <c r="BK63" s="742"/>
    </row>
    <row r="64" spans="1:63" ht="11.25" customHeight="1">
      <c r="A64" s="614"/>
      <c r="B64" s="971"/>
      <c r="C64" s="749" t="s">
        <v>261</v>
      </c>
      <c r="D64" s="1182">
        <v>21</v>
      </c>
      <c r="E64" s="1175">
        <v>18</v>
      </c>
      <c r="F64" s="1175">
        <v>0</v>
      </c>
      <c r="G64" s="1173">
        <v>18</v>
      </c>
      <c r="H64" s="1210">
        <v>0</v>
      </c>
      <c r="I64" s="1179">
        <v>0</v>
      </c>
      <c r="J64" s="1179">
        <v>0</v>
      </c>
      <c r="K64" s="1178">
        <v>0</v>
      </c>
      <c r="L64" s="742"/>
      <c r="M64" s="742"/>
      <c r="N64" s="742"/>
      <c r="O64" s="742"/>
      <c r="P64" s="742"/>
      <c r="Q64" s="742"/>
      <c r="R64" s="742"/>
      <c r="S64" s="742"/>
      <c r="T64" s="742"/>
      <c r="U64" s="742"/>
      <c r="V64" s="742"/>
      <c r="W64" s="742"/>
      <c r="X64" s="742"/>
      <c r="Y64" s="742"/>
      <c r="Z64" s="742"/>
      <c r="AA64" s="742"/>
      <c r="AB64" s="742"/>
      <c r="AC64" s="742"/>
      <c r="AD64" s="742"/>
      <c r="AE64" s="742"/>
      <c r="AF64" s="742"/>
      <c r="AG64" s="742"/>
      <c r="AH64" s="742"/>
      <c r="AI64" s="742"/>
      <c r="AJ64" s="742"/>
      <c r="AK64" s="742"/>
      <c r="AL64" s="742"/>
      <c r="AM64" s="742"/>
      <c r="AN64" s="742"/>
      <c r="AO64" s="742"/>
      <c r="AP64" s="742"/>
      <c r="AQ64" s="742"/>
      <c r="AR64" s="742"/>
      <c r="AS64" s="742"/>
      <c r="AT64" s="742"/>
      <c r="AU64" s="742"/>
      <c r="AV64" s="742"/>
      <c r="AW64" s="742"/>
      <c r="AX64" s="742"/>
      <c r="AY64" s="742"/>
      <c r="AZ64" s="742"/>
      <c r="BA64" s="742"/>
      <c r="BB64" s="742"/>
      <c r="BC64" s="742"/>
      <c r="BD64" s="742"/>
      <c r="BE64" s="742"/>
      <c r="BF64" s="742"/>
      <c r="BG64" s="742"/>
      <c r="BH64" s="742"/>
      <c r="BI64" s="742"/>
      <c r="BJ64" s="742"/>
      <c r="BK64" s="742"/>
    </row>
    <row r="65" spans="1:63" ht="4.5" customHeight="1" thickBot="1">
      <c r="A65" s="757"/>
      <c r="B65" s="978"/>
      <c r="C65" s="765"/>
      <c r="D65" s="975"/>
      <c r="E65" s="976"/>
      <c r="F65" s="976"/>
      <c r="G65" s="977"/>
      <c r="H65" s="761"/>
      <c r="I65" s="762"/>
      <c r="J65" s="762"/>
      <c r="K65" s="763"/>
      <c r="L65" s="742"/>
      <c r="M65" s="742"/>
      <c r="N65" s="742"/>
      <c r="O65" s="742"/>
      <c r="P65" s="742"/>
      <c r="Q65" s="742"/>
      <c r="R65" s="742"/>
      <c r="S65" s="742"/>
      <c r="T65" s="742"/>
      <c r="U65" s="742"/>
      <c r="V65" s="742"/>
      <c r="W65" s="742"/>
      <c r="X65" s="742"/>
      <c r="Y65" s="742"/>
      <c r="Z65" s="742"/>
      <c r="AA65" s="742"/>
      <c r="AB65" s="742"/>
      <c r="AC65" s="742"/>
      <c r="AD65" s="742"/>
      <c r="AE65" s="742"/>
      <c r="AF65" s="742"/>
      <c r="AG65" s="742"/>
      <c r="AH65" s="742"/>
      <c r="AI65" s="742"/>
      <c r="AJ65" s="742"/>
      <c r="AK65" s="742"/>
      <c r="AL65" s="742"/>
      <c r="AM65" s="742"/>
      <c r="AN65" s="742"/>
      <c r="AO65" s="742"/>
      <c r="AP65" s="742"/>
      <c r="AQ65" s="742"/>
      <c r="AR65" s="742"/>
      <c r="AS65" s="742"/>
      <c r="AT65" s="742"/>
      <c r="AU65" s="742"/>
      <c r="AV65" s="742"/>
      <c r="AW65" s="742"/>
      <c r="AX65" s="742"/>
      <c r="AY65" s="742"/>
      <c r="AZ65" s="742"/>
      <c r="BA65" s="742"/>
      <c r="BB65" s="742"/>
      <c r="BC65" s="742"/>
      <c r="BD65" s="742"/>
      <c r="BE65" s="742"/>
      <c r="BF65" s="742"/>
      <c r="BG65" s="742"/>
      <c r="BH65" s="742"/>
      <c r="BI65" s="742"/>
      <c r="BJ65" s="742"/>
      <c r="BK65" s="742"/>
    </row>
    <row r="66" spans="1:63" ht="7.5" customHeight="1">
      <c r="A66" s="767"/>
      <c r="B66" s="979"/>
      <c r="C66" s="653"/>
      <c r="D66" s="980"/>
      <c r="E66" s="973"/>
      <c r="F66" s="973"/>
      <c r="G66" s="973"/>
      <c r="H66" s="526"/>
      <c r="I66" s="526"/>
      <c r="J66" s="526"/>
      <c r="K66" s="526"/>
      <c r="L66" s="742"/>
      <c r="M66" s="742"/>
      <c r="N66" s="742"/>
      <c r="O66" s="742"/>
      <c r="P66" s="742"/>
      <c r="Q66" s="742"/>
      <c r="R66" s="742"/>
      <c r="S66" s="742"/>
      <c r="T66" s="742"/>
      <c r="U66" s="742"/>
      <c r="V66" s="742"/>
      <c r="W66" s="742"/>
      <c r="X66" s="742"/>
      <c r="Y66" s="742"/>
      <c r="Z66" s="742"/>
      <c r="AA66" s="742"/>
      <c r="AB66" s="742"/>
      <c r="AC66" s="742"/>
      <c r="AD66" s="742"/>
      <c r="AE66" s="742"/>
      <c r="AF66" s="742"/>
      <c r="AG66" s="742"/>
      <c r="AH66" s="742"/>
      <c r="AI66" s="742"/>
      <c r="AJ66" s="742"/>
      <c r="AK66" s="742"/>
      <c r="AL66" s="742"/>
      <c r="AM66" s="742"/>
      <c r="AN66" s="742"/>
      <c r="AO66" s="742"/>
      <c r="AP66" s="742"/>
      <c r="AQ66" s="742"/>
      <c r="AR66" s="742"/>
      <c r="AS66" s="742"/>
      <c r="AT66" s="742"/>
      <c r="AU66" s="742"/>
      <c r="AV66" s="742"/>
      <c r="AW66" s="742"/>
      <c r="AX66" s="742"/>
      <c r="AY66" s="742"/>
      <c r="AZ66" s="742"/>
      <c r="BA66" s="742"/>
      <c r="BB66" s="742"/>
      <c r="BC66" s="742"/>
      <c r="BD66" s="742"/>
      <c r="BE66" s="742"/>
      <c r="BF66" s="742"/>
      <c r="BG66" s="742"/>
      <c r="BH66" s="742"/>
      <c r="BI66" s="742"/>
      <c r="BJ66" s="742"/>
      <c r="BK66" s="742"/>
    </row>
    <row r="67" spans="1:63" ht="12.75" customHeight="1">
      <c r="A67" s="2173" t="s">
        <v>215</v>
      </c>
      <c r="B67" s="2173"/>
      <c r="C67" s="2173"/>
      <c r="D67" s="2174"/>
      <c r="E67" s="1017" t="s">
        <v>267</v>
      </c>
      <c r="F67" s="987"/>
      <c r="G67" s="987"/>
      <c r="H67" s="987"/>
      <c r="K67" s="534"/>
      <c r="L67" s="742"/>
      <c r="M67" s="742"/>
      <c r="N67" s="742"/>
      <c r="O67" s="742"/>
      <c r="P67" s="742"/>
      <c r="Q67" s="742"/>
      <c r="R67" s="742"/>
      <c r="S67" s="742"/>
      <c r="T67" s="742"/>
      <c r="U67" s="742"/>
      <c r="V67" s="742"/>
      <c r="W67" s="742"/>
      <c r="X67" s="742"/>
      <c r="Y67" s="742"/>
      <c r="Z67" s="742"/>
      <c r="AA67" s="742"/>
      <c r="AB67" s="742"/>
      <c r="AC67" s="742"/>
      <c r="AD67" s="742"/>
      <c r="AE67" s="742"/>
      <c r="AF67" s="742"/>
      <c r="AG67" s="742"/>
      <c r="AH67" s="742"/>
      <c r="AI67" s="742"/>
      <c r="AJ67" s="742"/>
      <c r="AK67" s="742"/>
      <c r="AL67" s="742"/>
      <c r="AM67" s="742"/>
      <c r="AN67" s="742"/>
      <c r="AO67" s="742"/>
      <c r="AP67" s="742"/>
      <c r="AQ67" s="742"/>
      <c r="AR67" s="742"/>
      <c r="AS67" s="742"/>
      <c r="AT67" s="742"/>
      <c r="AU67" s="742"/>
      <c r="AV67" s="742"/>
      <c r="AW67" s="742"/>
      <c r="AX67" s="742"/>
      <c r="AY67" s="742"/>
      <c r="AZ67" s="742"/>
      <c r="BA67" s="742"/>
      <c r="BB67" s="742"/>
      <c r="BC67" s="742"/>
      <c r="BD67" s="742"/>
      <c r="BE67" s="742"/>
      <c r="BF67" s="742"/>
      <c r="BG67" s="742"/>
      <c r="BH67" s="742"/>
      <c r="BI67" s="742"/>
      <c r="BJ67" s="742"/>
      <c r="BK67" s="742"/>
    </row>
    <row r="68" spans="1:63" ht="12.75" customHeight="1">
      <c r="A68" s="653"/>
      <c r="B68" s="653"/>
      <c r="C68" s="645"/>
      <c r="D68" s="645"/>
      <c r="E68" s="645"/>
      <c r="F68" s="645"/>
      <c r="G68" s="645"/>
      <c r="K68" s="743"/>
      <c r="L68" s="742"/>
      <c r="M68" s="742"/>
      <c r="N68" s="742"/>
      <c r="O68" s="742"/>
      <c r="P68" s="742"/>
      <c r="Q68" s="742"/>
      <c r="R68" s="742"/>
      <c r="S68" s="742"/>
      <c r="T68" s="742"/>
      <c r="U68" s="742"/>
      <c r="V68" s="742"/>
      <c r="W68" s="742"/>
      <c r="X68" s="742"/>
      <c r="Y68" s="742"/>
      <c r="Z68" s="742"/>
      <c r="AA68" s="742"/>
      <c r="AB68" s="742"/>
      <c r="AC68" s="742"/>
      <c r="AD68" s="742"/>
      <c r="AE68" s="742"/>
      <c r="AF68" s="742"/>
      <c r="AG68" s="742"/>
      <c r="AH68" s="742"/>
      <c r="AI68" s="742"/>
      <c r="AJ68" s="742"/>
      <c r="AK68" s="742"/>
      <c r="AL68" s="742"/>
      <c r="AM68" s="742"/>
      <c r="AN68" s="742"/>
      <c r="AO68" s="742"/>
      <c r="AP68" s="742"/>
      <c r="AQ68" s="742"/>
      <c r="AR68" s="742"/>
      <c r="AS68" s="742"/>
      <c r="AT68" s="742"/>
      <c r="AU68" s="742"/>
      <c r="AV68" s="742"/>
      <c r="AW68" s="742"/>
      <c r="AX68" s="742"/>
      <c r="AY68" s="742"/>
      <c r="AZ68" s="742"/>
      <c r="BA68" s="742"/>
      <c r="BB68" s="742"/>
      <c r="BC68" s="742"/>
      <c r="BD68" s="742"/>
      <c r="BE68" s="742"/>
      <c r="BF68" s="742"/>
      <c r="BG68" s="742"/>
      <c r="BH68" s="742"/>
      <c r="BI68" s="742"/>
      <c r="BJ68" s="742"/>
      <c r="BK68" s="742"/>
    </row>
    <row r="69" spans="1:63" ht="12.75" customHeight="1">
      <c r="A69" s="2175" t="s">
        <v>371</v>
      </c>
      <c r="B69" s="2175"/>
      <c r="C69" s="2175"/>
      <c r="D69" s="2175"/>
      <c r="E69" s="2175"/>
      <c r="F69" s="2175"/>
      <c r="G69" s="2175"/>
      <c r="H69" s="2175"/>
      <c r="I69" s="2175"/>
      <c r="J69" s="2175"/>
      <c r="K69" s="2175"/>
      <c r="L69" s="742"/>
      <c r="M69" s="742"/>
      <c r="N69" s="742"/>
      <c r="O69" s="742"/>
      <c r="P69" s="742"/>
      <c r="Q69" s="742"/>
      <c r="R69" s="742"/>
      <c r="S69" s="742"/>
      <c r="T69" s="742"/>
      <c r="U69" s="742"/>
      <c r="V69" s="742"/>
      <c r="W69" s="742"/>
      <c r="X69" s="742"/>
      <c r="Y69" s="742"/>
      <c r="Z69" s="742"/>
      <c r="AA69" s="742"/>
      <c r="AB69" s="742"/>
      <c r="AC69" s="742"/>
      <c r="AD69" s="742"/>
      <c r="AE69" s="742"/>
      <c r="AF69" s="742"/>
      <c r="AG69" s="742"/>
      <c r="AH69" s="742"/>
      <c r="AI69" s="742"/>
      <c r="AJ69" s="742"/>
      <c r="AK69" s="742"/>
      <c r="AL69" s="742"/>
      <c r="AM69" s="742"/>
      <c r="AN69" s="742"/>
      <c r="AO69" s="742"/>
      <c r="AP69" s="742"/>
      <c r="AQ69" s="742"/>
      <c r="AR69" s="742"/>
      <c r="AS69" s="742"/>
      <c r="AT69" s="742"/>
      <c r="AU69" s="742"/>
      <c r="AV69" s="742"/>
      <c r="AW69" s="742"/>
      <c r="AX69" s="742"/>
      <c r="AY69" s="742"/>
      <c r="AZ69" s="742"/>
      <c r="BA69" s="742"/>
      <c r="BB69" s="742"/>
      <c r="BC69" s="742"/>
      <c r="BD69" s="742"/>
      <c r="BE69" s="742"/>
      <c r="BF69" s="742"/>
      <c r="BG69" s="742"/>
      <c r="BH69" s="742"/>
      <c r="BI69" s="742"/>
      <c r="BJ69" s="742"/>
      <c r="BK69" s="742"/>
    </row>
    <row r="70" spans="1:63" ht="11.25" customHeight="1" thickBot="1">
      <c r="A70" s="1035"/>
      <c r="B70" s="1035"/>
      <c r="C70" s="1035"/>
      <c r="D70" s="1035"/>
      <c r="E70" s="1035"/>
      <c r="F70" s="1035"/>
      <c r="G70" s="1035"/>
      <c r="H70" s="1035"/>
      <c r="I70" s="1035"/>
      <c r="J70" s="1035"/>
      <c r="K70" s="1035"/>
      <c r="L70" s="742"/>
      <c r="M70" s="742"/>
      <c r="N70" s="742"/>
      <c r="O70" s="742"/>
      <c r="P70" s="742"/>
      <c r="Q70" s="742"/>
      <c r="R70" s="742"/>
      <c r="S70" s="742"/>
      <c r="T70" s="742"/>
      <c r="U70" s="742"/>
      <c r="V70" s="742"/>
      <c r="W70" s="742"/>
      <c r="X70" s="742"/>
      <c r="Y70" s="742"/>
      <c r="Z70" s="742"/>
      <c r="AA70" s="742"/>
      <c r="AB70" s="742"/>
      <c r="AC70" s="742"/>
      <c r="AD70" s="742"/>
      <c r="AE70" s="742"/>
      <c r="AF70" s="742"/>
      <c r="AG70" s="742"/>
      <c r="AH70" s="742"/>
      <c r="AI70" s="742"/>
      <c r="AJ70" s="742"/>
      <c r="AK70" s="742"/>
      <c r="AL70" s="742"/>
      <c r="AM70" s="742"/>
      <c r="AN70" s="742"/>
      <c r="AO70" s="742"/>
      <c r="AP70" s="742"/>
      <c r="AQ70" s="742"/>
      <c r="AR70" s="742"/>
      <c r="AS70" s="742"/>
      <c r="AT70" s="742"/>
      <c r="AU70" s="742"/>
      <c r="AV70" s="742"/>
      <c r="AW70" s="742"/>
      <c r="AX70" s="742"/>
      <c r="AY70" s="742"/>
      <c r="AZ70" s="742"/>
      <c r="BA70" s="742"/>
      <c r="BB70" s="742"/>
      <c r="BC70" s="742"/>
      <c r="BD70" s="742"/>
      <c r="BE70" s="742"/>
      <c r="BF70" s="742"/>
      <c r="BG70" s="742"/>
      <c r="BH70" s="742"/>
      <c r="BI70" s="742"/>
      <c r="BJ70" s="742"/>
      <c r="BK70" s="742"/>
    </row>
    <row r="71" spans="1:63" ht="15.75" customHeight="1">
      <c r="A71" s="2160" t="s">
        <v>43</v>
      </c>
      <c r="B71" s="2161"/>
      <c r="C71" s="744"/>
      <c r="D71" s="2164" t="s">
        <v>250</v>
      </c>
      <c r="E71" s="2165"/>
      <c r="F71" s="2165"/>
      <c r="G71" s="2165"/>
      <c r="H71" s="2165"/>
      <c r="I71" s="2165"/>
      <c r="J71" s="2165"/>
      <c r="K71" s="2166"/>
      <c r="L71" s="742"/>
      <c r="M71" s="742"/>
      <c r="N71" s="742"/>
      <c r="O71" s="742"/>
      <c r="P71" s="742"/>
      <c r="Q71" s="742"/>
      <c r="R71" s="742"/>
      <c r="S71" s="742"/>
      <c r="T71" s="742"/>
      <c r="U71" s="742"/>
      <c r="V71" s="742"/>
      <c r="W71" s="742"/>
      <c r="X71" s="742"/>
      <c r="Y71" s="742"/>
      <c r="Z71" s="742"/>
      <c r="AA71" s="742"/>
      <c r="AB71" s="742"/>
      <c r="AC71" s="742"/>
      <c r="AD71" s="742"/>
      <c r="AE71" s="742"/>
      <c r="AF71" s="742"/>
      <c r="AG71" s="742"/>
      <c r="AH71" s="742"/>
      <c r="AI71" s="742"/>
      <c r="AJ71" s="742"/>
      <c r="AK71" s="742"/>
      <c r="AL71" s="742"/>
      <c r="AM71" s="742"/>
      <c r="AN71" s="742"/>
      <c r="AO71" s="742"/>
      <c r="AP71" s="742"/>
      <c r="AQ71" s="742"/>
      <c r="AR71" s="742"/>
      <c r="AS71" s="742"/>
      <c r="AT71" s="742"/>
      <c r="AU71" s="742"/>
      <c r="AV71" s="742"/>
      <c r="AW71" s="742"/>
      <c r="AX71" s="742"/>
      <c r="AY71" s="742"/>
      <c r="AZ71" s="742"/>
      <c r="BA71" s="742"/>
      <c r="BB71" s="742"/>
      <c r="BC71" s="742"/>
      <c r="BD71" s="742"/>
      <c r="BE71" s="742"/>
      <c r="BF71" s="742"/>
      <c r="BG71" s="742"/>
      <c r="BH71" s="742"/>
      <c r="BI71" s="742"/>
      <c r="BJ71" s="742"/>
      <c r="BK71" s="742"/>
    </row>
    <row r="72" spans="1:63" ht="11.25" customHeight="1">
      <c r="A72" s="2033"/>
      <c r="B72" s="2162"/>
      <c r="C72" s="745"/>
      <c r="D72" s="1162"/>
      <c r="E72" s="1162"/>
      <c r="F72" s="1163"/>
      <c r="G72" s="1164"/>
      <c r="H72" s="2167" t="s">
        <v>194</v>
      </c>
      <c r="I72" s="2168"/>
      <c r="J72" s="2168"/>
      <c r="K72" s="2169"/>
      <c r="L72" s="742"/>
      <c r="M72" s="742"/>
      <c r="N72" s="742"/>
      <c r="O72" s="742"/>
      <c r="P72" s="742"/>
      <c r="Q72" s="742"/>
      <c r="R72" s="742"/>
      <c r="S72" s="742"/>
      <c r="T72" s="742"/>
      <c r="U72" s="742"/>
      <c r="V72" s="742"/>
      <c r="W72" s="742"/>
      <c r="X72" s="742"/>
      <c r="Y72" s="742"/>
      <c r="Z72" s="742"/>
      <c r="AA72" s="742"/>
      <c r="AB72" s="742"/>
      <c r="AC72" s="742"/>
      <c r="AD72" s="742"/>
      <c r="AE72" s="742"/>
      <c r="AF72" s="742"/>
      <c r="AG72" s="742"/>
      <c r="AH72" s="742"/>
      <c r="AI72" s="742"/>
      <c r="AJ72" s="742"/>
      <c r="AK72" s="742"/>
      <c r="AL72" s="742"/>
      <c r="AM72" s="742"/>
      <c r="AN72" s="742"/>
      <c r="AO72" s="742"/>
      <c r="AP72" s="742"/>
      <c r="AQ72" s="742"/>
      <c r="AR72" s="742"/>
      <c r="AS72" s="742"/>
      <c r="AT72" s="742"/>
      <c r="AU72" s="742"/>
      <c r="AV72" s="742"/>
      <c r="AW72" s="742"/>
      <c r="AX72" s="742"/>
      <c r="AY72" s="742"/>
      <c r="AZ72" s="742"/>
      <c r="BA72" s="742"/>
      <c r="BB72" s="742"/>
      <c r="BC72" s="742"/>
      <c r="BD72" s="742"/>
      <c r="BE72" s="742"/>
      <c r="BF72" s="742"/>
      <c r="BG72" s="742"/>
      <c r="BH72" s="742"/>
      <c r="BI72" s="742"/>
      <c r="BJ72" s="742"/>
      <c r="BK72" s="742"/>
    </row>
    <row r="73" spans="1:63" ht="11.25" customHeight="1">
      <c r="A73" s="2033"/>
      <c r="B73" s="2162"/>
      <c r="C73" s="2179" t="s">
        <v>193</v>
      </c>
      <c r="D73" s="1165"/>
      <c r="E73" s="1165"/>
      <c r="F73" s="1166"/>
      <c r="G73" s="795" t="s">
        <v>5</v>
      </c>
      <c r="H73" s="2170" t="s">
        <v>211</v>
      </c>
      <c r="I73" s="2171"/>
      <c r="J73" s="2171"/>
      <c r="K73" s="2172"/>
      <c r="L73" s="742"/>
      <c r="M73" s="742"/>
      <c r="N73" s="742"/>
      <c r="O73" s="742"/>
      <c r="P73" s="742"/>
      <c r="Q73" s="742"/>
      <c r="R73" s="742"/>
      <c r="S73" s="742"/>
      <c r="T73" s="742"/>
      <c r="U73" s="742"/>
      <c r="V73" s="742"/>
      <c r="W73" s="742"/>
      <c r="X73" s="742"/>
      <c r="Y73" s="742"/>
      <c r="Z73" s="742"/>
      <c r="AA73" s="742"/>
      <c r="AB73" s="742"/>
      <c r="AC73" s="742"/>
      <c r="AD73" s="742"/>
      <c r="AE73" s="742"/>
      <c r="AF73" s="742"/>
      <c r="AG73" s="742"/>
      <c r="AH73" s="742"/>
      <c r="AI73" s="742"/>
      <c r="AJ73" s="742"/>
      <c r="AK73" s="742"/>
      <c r="AL73" s="742"/>
      <c r="AM73" s="742"/>
      <c r="AN73" s="742"/>
      <c r="AO73" s="742"/>
      <c r="AP73" s="742"/>
      <c r="AQ73" s="742"/>
      <c r="AR73" s="742"/>
      <c r="AS73" s="742"/>
      <c r="AT73" s="742"/>
      <c r="AU73" s="742"/>
      <c r="AV73" s="742"/>
      <c r="AW73" s="742"/>
      <c r="AX73" s="742"/>
      <c r="AY73" s="742"/>
      <c r="AZ73" s="742"/>
      <c r="BA73" s="742"/>
      <c r="BB73" s="742"/>
      <c r="BC73" s="742"/>
      <c r="BD73" s="742"/>
      <c r="BE73" s="742"/>
      <c r="BF73" s="742"/>
      <c r="BG73" s="742"/>
      <c r="BH73" s="742"/>
      <c r="BI73" s="742"/>
      <c r="BJ73" s="742"/>
      <c r="BK73" s="742"/>
    </row>
    <row r="74" spans="1:63" ht="11.25" customHeight="1">
      <c r="A74" s="2033"/>
      <c r="B74" s="2162"/>
      <c r="C74" s="2179"/>
      <c r="D74" s="1166"/>
      <c r="E74" s="1167"/>
      <c r="F74" s="1165"/>
      <c r="G74" s="795" t="s">
        <v>192</v>
      </c>
      <c r="H74" s="1168"/>
      <c r="I74" s="960"/>
      <c r="J74" s="960"/>
      <c r="K74" s="799" t="s">
        <v>192</v>
      </c>
      <c r="L74" s="742"/>
      <c r="M74" s="742"/>
      <c r="N74" s="742"/>
      <c r="O74" s="742"/>
      <c r="P74" s="742"/>
      <c r="Q74" s="742"/>
      <c r="R74" s="742"/>
      <c r="S74" s="742"/>
      <c r="T74" s="742"/>
      <c r="U74" s="742"/>
      <c r="V74" s="742"/>
      <c r="W74" s="742"/>
      <c r="X74" s="742"/>
      <c r="Y74" s="742"/>
      <c r="Z74" s="742"/>
      <c r="AA74" s="742"/>
      <c r="AB74" s="742"/>
      <c r="AC74" s="742"/>
      <c r="AD74" s="742"/>
      <c r="AE74" s="742"/>
      <c r="AF74" s="742"/>
      <c r="AG74" s="742"/>
      <c r="AH74" s="742"/>
      <c r="AI74" s="742"/>
      <c r="AJ74" s="742"/>
      <c r="AK74" s="742"/>
      <c r="AL74" s="742"/>
      <c r="AM74" s="742"/>
      <c r="AN74" s="742"/>
      <c r="AO74" s="742"/>
      <c r="AP74" s="742"/>
      <c r="AQ74" s="742"/>
      <c r="AR74" s="742"/>
      <c r="AS74" s="742"/>
      <c r="AT74" s="742"/>
      <c r="AU74" s="742"/>
      <c r="AV74" s="742"/>
      <c r="AW74" s="742"/>
      <c r="AX74" s="742"/>
      <c r="AY74" s="742"/>
      <c r="AZ74" s="742"/>
      <c r="BA74" s="742"/>
      <c r="BB74" s="742"/>
      <c r="BC74" s="742"/>
      <c r="BD74" s="742"/>
      <c r="BE74" s="742"/>
      <c r="BF74" s="742"/>
      <c r="BG74" s="742"/>
      <c r="BH74" s="742"/>
      <c r="BI74" s="742"/>
      <c r="BJ74" s="742"/>
      <c r="BK74" s="742"/>
    </row>
    <row r="75" spans="1:63" ht="11.25" customHeight="1">
      <c r="A75" s="2033"/>
      <c r="B75" s="2162"/>
      <c r="C75" s="2179" t="s">
        <v>191</v>
      </c>
      <c r="D75" s="1169" t="s">
        <v>19</v>
      </c>
      <c r="E75" s="782" t="s">
        <v>17</v>
      </c>
      <c r="F75" s="782" t="s">
        <v>18</v>
      </c>
      <c r="G75" s="795" t="s">
        <v>190</v>
      </c>
      <c r="H75" s="1169" t="s">
        <v>19</v>
      </c>
      <c r="I75" s="782" t="s">
        <v>17</v>
      </c>
      <c r="J75" s="782" t="s">
        <v>18</v>
      </c>
      <c r="K75" s="799" t="s">
        <v>190</v>
      </c>
      <c r="L75" s="742"/>
      <c r="M75" s="742"/>
      <c r="N75" s="742"/>
      <c r="O75" s="742"/>
      <c r="P75" s="742"/>
      <c r="Q75" s="742"/>
      <c r="R75" s="742"/>
      <c r="S75" s="742"/>
      <c r="T75" s="742"/>
      <c r="U75" s="742"/>
      <c r="V75" s="742"/>
      <c r="W75" s="742"/>
      <c r="X75" s="742"/>
      <c r="Y75" s="742"/>
      <c r="Z75" s="742"/>
      <c r="AA75" s="742"/>
      <c r="AB75" s="742"/>
      <c r="AC75" s="742"/>
      <c r="AD75" s="742"/>
      <c r="AE75" s="742"/>
      <c r="AF75" s="742"/>
      <c r="AG75" s="742"/>
      <c r="AH75" s="742"/>
      <c r="AI75" s="742"/>
      <c r="AJ75" s="742"/>
      <c r="AK75" s="742"/>
      <c r="AL75" s="742"/>
      <c r="AM75" s="742"/>
      <c r="AN75" s="742"/>
      <c r="AO75" s="742"/>
      <c r="AP75" s="742"/>
      <c r="AQ75" s="742"/>
      <c r="AR75" s="742"/>
      <c r="AS75" s="742"/>
      <c r="AT75" s="742"/>
      <c r="AU75" s="742"/>
      <c r="AV75" s="742"/>
      <c r="AW75" s="742"/>
      <c r="AX75" s="742"/>
      <c r="AY75" s="742"/>
      <c r="AZ75" s="742"/>
      <c r="BA75" s="742"/>
      <c r="BB75" s="742"/>
      <c r="BC75" s="742"/>
      <c r="BD75" s="742"/>
      <c r="BE75" s="742"/>
      <c r="BF75" s="742"/>
      <c r="BG75" s="742"/>
      <c r="BH75" s="742"/>
      <c r="BI75" s="742"/>
      <c r="BJ75" s="742"/>
      <c r="BK75" s="742"/>
    </row>
    <row r="76" spans="1:63" ht="11.25" customHeight="1">
      <c r="A76" s="2034"/>
      <c r="B76" s="2163"/>
      <c r="C76" s="2180"/>
      <c r="D76" s="1171" t="s">
        <v>29</v>
      </c>
      <c r="E76" s="806" t="s">
        <v>28</v>
      </c>
      <c r="F76" s="806" t="s">
        <v>34</v>
      </c>
      <c r="G76" s="1172" t="s">
        <v>189</v>
      </c>
      <c r="H76" s="1171" t="s">
        <v>29</v>
      </c>
      <c r="I76" s="806" t="s">
        <v>28</v>
      </c>
      <c r="J76" s="806" t="s">
        <v>34</v>
      </c>
      <c r="K76" s="1170" t="s">
        <v>343</v>
      </c>
      <c r="L76" s="742"/>
      <c r="M76" s="742"/>
      <c r="N76" s="742"/>
      <c r="O76" s="742"/>
      <c r="P76" s="742"/>
      <c r="Q76" s="742"/>
      <c r="R76" s="742"/>
      <c r="S76" s="742"/>
      <c r="T76" s="742"/>
      <c r="U76" s="742"/>
      <c r="V76" s="742"/>
      <c r="W76" s="742"/>
      <c r="X76" s="742"/>
      <c r="Y76" s="742"/>
      <c r="Z76" s="742"/>
      <c r="AA76" s="742"/>
      <c r="AB76" s="742"/>
      <c r="AC76" s="742"/>
      <c r="AD76" s="742"/>
      <c r="AE76" s="742"/>
      <c r="AF76" s="742"/>
      <c r="AG76" s="742"/>
      <c r="AH76" s="742"/>
      <c r="AI76" s="742"/>
      <c r="AJ76" s="742"/>
      <c r="AK76" s="742"/>
      <c r="AL76" s="742"/>
      <c r="AM76" s="742"/>
      <c r="AN76" s="742"/>
      <c r="AO76" s="742"/>
      <c r="AP76" s="742"/>
      <c r="AQ76" s="742"/>
      <c r="AR76" s="742"/>
      <c r="AS76" s="742"/>
      <c r="AT76" s="742"/>
      <c r="AU76" s="742"/>
      <c r="AV76" s="742"/>
      <c r="AW76" s="742"/>
      <c r="AX76" s="742"/>
      <c r="AY76" s="742"/>
      <c r="AZ76" s="742"/>
      <c r="BA76" s="742"/>
      <c r="BB76" s="742"/>
      <c r="BC76" s="742"/>
      <c r="BD76" s="742"/>
      <c r="BE76" s="742"/>
      <c r="BF76" s="742"/>
      <c r="BG76" s="742"/>
      <c r="BH76" s="742"/>
      <c r="BI76" s="742"/>
      <c r="BJ76" s="742"/>
      <c r="BK76" s="742"/>
    </row>
    <row r="77" spans="1:63" ht="5.25" customHeight="1">
      <c r="A77" s="614"/>
      <c r="B77" s="971"/>
      <c r="C77" s="749"/>
      <c r="D77" s="972"/>
      <c r="E77" s="973"/>
      <c r="F77" s="973"/>
      <c r="G77" s="974"/>
      <c r="H77" s="573"/>
      <c r="I77" s="526"/>
      <c r="J77" s="526"/>
      <c r="K77" s="675"/>
      <c r="L77" s="742"/>
      <c r="M77" s="742"/>
      <c r="N77" s="742"/>
      <c r="O77" s="742"/>
      <c r="P77" s="742"/>
      <c r="Q77" s="742"/>
      <c r="R77" s="742"/>
      <c r="S77" s="742"/>
      <c r="T77" s="742"/>
      <c r="U77" s="742"/>
      <c r="V77" s="742"/>
      <c r="W77" s="742"/>
      <c r="X77" s="742"/>
      <c r="Y77" s="742"/>
      <c r="Z77" s="742"/>
      <c r="AA77" s="742"/>
      <c r="AB77" s="742"/>
      <c r="AC77" s="742"/>
      <c r="AD77" s="742"/>
      <c r="AE77" s="742"/>
      <c r="AF77" s="742"/>
      <c r="AG77" s="742"/>
      <c r="AH77" s="742"/>
      <c r="AI77" s="742"/>
      <c r="AJ77" s="742"/>
      <c r="AK77" s="742"/>
      <c r="AL77" s="742"/>
      <c r="AM77" s="742"/>
      <c r="AN77" s="742"/>
      <c r="AO77" s="742"/>
      <c r="AP77" s="742"/>
      <c r="AQ77" s="742"/>
      <c r="AR77" s="742"/>
      <c r="AS77" s="742"/>
      <c r="AT77" s="742"/>
      <c r="AU77" s="742"/>
      <c r="AV77" s="742"/>
      <c r="AW77" s="742"/>
      <c r="AX77" s="742"/>
      <c r="AY77" s="742"/>
      <c r="AZ77" s="742"/>
      <c r="BA77" s="742"/>
      <c r="BB77" s="742"/>
      <c r="BC77" s="742"/>
      <c r="BD77" s="742"/>
      <c r="BE77" s="742"/>
      <c r="BF77" s="742"/>
      <c r="BG77" s="742"/>
      <c r="BH77" s="742"/>
      <c r="BI77" s="742"/>
      <c r="BJ77" s="742"/>
      <c r="BK77" s="742"/>
    </row>
    <row r="78" spans="1:63" ht="11.25" customHeight="1">
      <c r="A78" s="614" t="s">
        <v>44</v>
      </c>
      <c r="B78" s="662"/>
      <c r="C78" s="749" t="s">
        <v>231</v>
      </c>
      <c r="D78" s="1182">
        <v>78</v>
      </c>
      <c r="E78" s="1174">
        <v>72</v>
      </c>
      <c r="F78" s="1175">
        <v>6</v>
      </c>
      <c r="G78" s="1173">
        <v>63</v>
      </c>
      <c r="H78" s="1184">
        <v>3</v>
      </c>
      <c r="I78" s="1176">
        <v>3</v>
      </c>
      <c r="J78" s="1177">
        <v>0</v>
      </c>
      <c r="K78" s="1178">
        <v>0</v>
      </c>
      <c r="L78" s="742"/>
      <c r="M78" s="742"/>
      <c r="N78" s="742"/>
      <c r="O78" s="742"/>
      <c r="P78" s="742"/>
      <c r="Q78" s="742"/>
      <c r="R78" s="742"/>
      <c r="S78" s="742"/>
      <c r="T78" s="742"/>
      <c r="U78" s="742"/>
      <c r="V78" s="742"/>
      <c r="W78" s="742"/>
      <c r="X78" s="742"/>
      <c r="Y78" s="742"/>
      <c r="Z78" s="742"/>
      <c r="AA78" s="742"/>
      <c r="AB78" s="742"/>
      <c r="AC78" s="742"/>
      <c r="AD78" s="742"/>
      <c r="AE78" s="742"/>
      <c r="AF78" s="742"/>
      <c r="AG78" s="742"/>
      <c r="AH78" s="742"/>
      <c r="AI78" s="742"/>
      <c r="AJ78" s="742"/>
      <c r="AK78" s="742"/>
      <c r="AL78" s="742"/>
      <c r="AM78" s="742"/>
      <c r="AN78" s="742"/>
      <c r="AO78" s="742"/>
      <c r="AP78" s="742"/>
      <c r="AQ78" s="742"/>
      <c r="AR78" s="742"/>
      <c r="AS78" s="742"/>
      <c r="AT78" s="742"/>
      <c r="AU78" s="742"/>
      <c r="AV78" s="742"/>
      <c r="AW78" s="742"/>
      <c r="AX78" s="742"/>
      <c r="AY78" s="742"/>
      <c r="AZ78" s="742"/>
      <c r="BA78" s="742"/>
      <c r="BB78" s="742"/>
      <c r="BC78" s="742"/>
      <c r="BD78" s="742"/>
      <c r="BE78" s="742"/>
      <c r="BF78" s="742"/>
      <c r="BG78" s="742"/>
      <c r="BH78" s="742"/>
      <c r="BI78" s="742"/>
      <c r="BJ78" s="742"/>
      <c r="BK78" s="742"/>
    </row>
    <row r="79" spans="1:63" ht="11.25" customHeight="1">
      <c r="A79" s="614"/>
      <c r="B79" s="662"/>
      <c r="C79" s="749" t="s">
        <v>258</v>
      </c>
      <c r="D79" s="1184">
        <v>21</v>
      </c>
      <c r="E79" s="1176">
        <v>18</v>
      </c>
      <c r="F79" s="1179">
        <v>3</v>
      </c>
      <c r="G79" s="1180">
        <v>18</v>
      </c>
      <c r="H79" s="1184">
        <v>0</v>
      </c>
      <c r="I79" s="1176">
        <v>0</v>
      </c>
      <c r="J79" s="1177">
        <v>0</v>
      </c>
      <c r="K79" s="1178">
        <v>0</v>
      </c>
      <c r="L79" s="742"/>
      <c r="M79" s="742"/>
      <c r="N79" s="742"/>
      <c r="O79" s="742"/>
      <c r="P79" s="742"/>
      <c r="Q79" s="742"/>
      <c r="R79" s="742"/>
      <c r="S79" s="742"/>
      <c r="T79" s="742"/>
      <c r="U79" s="742"/>
      <c r="V79" s="742"/>
      <c r="W79" s="742"/>
      <c r="X79" s="742"/>
      <c r="Y79" s="742"/>
      <c r="Z79" s="742"/>
      <c r="AA79" s="742"/>
      <c r="AB79" s="742"/>
      <c r="AC79" s="742"/>
      <c r="AD79" s="742"/>
      <c r="AE79" s="742"/>
      <c r="AF79" s="742"/>
      <c r="AG79" s="742"/>
      <c r="AH79" s="742"/>
      <c r="AI79" s="742"/>
      <c r="AJ79" s="742"/>
      <c r="AK79" s="742"/>
      <c r="AL79" s="742"/>
      <c r="AM79" s="742"/>
      <c r="AN79" s="742"/>
      <c r="AO79" s="742"/>
      <c r="AP79" s="742"/>
      <c r="AQ79" s="742"/>
      <c r="AR79" s="742"/>
      <c r="AS79" s="742"/>
      <c r="AT79" s="742"/>
      <c r="AU79" s="742"/>
      <c r="AV79" s="742"/>
      <c r="AW79" s="742"/>
      <c r="AX79" s="742"/>
      <c r="AY79" s="742"/>
      <c r="AZ79" s="742"/>
      <c r="BA79" s="742"/>
      <c r="BB79" s="742"/>
      <c r="BC79" s="742"/>
      <c r="BD79" s="742"/>
      <c r="BE79" s="742"/>
      <c r="BF79" s="742"/>
      <c r="BG79" s="742"/>
      <c r="BH79" s="742"/>
      <c r="BI79" s="742"/>
      <c r="BJ79" s="742"/>
      <c r="BK79" s="742"/>
    </row>
    <row r="80" spans="1:63" ht="11.25" customHeight="1">
      <c r="A80" s="614"/>
      <c r="B80" s="662"/>
      <c r="C80" s="749" t="s">
        <v>259</v>
      </c>
      <c r="D80" s="1182">
        <v>0</v>
      </c>
      <c r="E80" s="1174">
        <v>0</v>
      </c>
      <c r="F80" s="1175">
        <v>0</v>
      </c>
      <c r="G80" s="1173">
        <v>0</v>
      </c>
      <c r="H80" s="1184">
        <v>0</v>
      </c>
      <c r="I80" s="1176">
        <v>0</v>
      </c>
      <c r="J80" s="1177">
        <v>0</v>
      </c>
      <c r="K80" s="1178">
        <v>0</v>
      </c>
      <c r="L80" s="742"/>
      <c r="M80" s="742"/>
      <c r="N80" s="742"/>
      <c r="O80" s="742"/>
      <c r="P80" s="742"/>
      <c r="Q80" s="742"/>
      <c r="R80" s="742"/>
      <c r="S80" s="742"/>
      <c r="T80" s="742"/>
      <c r="U80" s="742"/>
      <c r="V80" s="742"/>
      <c r="W80" s="742"/>
      <c r="X80" s="742"/>
      <c r="Y80" s="742"/>
      <c r="Z80" s="742"/>
      <c r="AA80" s="742"/>
      <c r="AB80" s="742"/>
      <c r="AC80" s="742"/>
      <c r="AD80" s="742"/>
      <c r="AE80" s="742"/>
      <c r="AF80" s="742"/>
      <c r="AG80" s="742"/>
      <c r="AH80" s="742"/>
      <c r="AI80" s="742"/>
      <c r="AJ80" s="742"/>
      <c r="AK80" s="742"/>
      <c r="AL80" s="742"/>
      <c r="AM80" s="742"/>
      <c r="AN80" s="742"/>
      <c r="AO80" s="742"/>
      <c r="AP80" s="742"/>
      <c r="AQ80" s="742"/>
      <c r="AR80" s="742"/>
      <c r="AS80" s="742"/>
      <c r="AT80" s="742"/>
      <c r="AU80" s="742"/>
      <c r="AV80" s="742"/>
      <c r="AW80" s="742"/>
      <c r="AX80" s="742"/>
      <c r="AY80" s="742"/>
      <c r="AZ80" s="742"/>
      <c r="BA80" s="742"/>
      <c r="BB80" s="742"/>
      <c r="BC80" s="742"/>
      <c r="BD80" s="742"/>
      <c r="BE80" s="742"/>
      <c r="BF80" s="742"/>
      <c r="BG80" s="742"/>
      <c r="BH80" s="742"/>
      <c r="BI80" s="742"/>
      <c r="BJ80" s="742"/>
      <c r="BK80" s="742"/>
    </row>
    <row r="81" spans="1:63" ht="11.25" customHeight="1">
      <c r="A81" s="614"/>
      <c r="B81" s="662"/>
      <c r="C81" s="749" t="s">
        <v>248</v>
      </c>
      <c r="D81" s="1182">
        <v>15</v>
      </c>
      <c r="E81" s="1174">
        <v>15</v>
      </c>
      <c r="F81" s="1175">
        <v>0</v>
      </c>
      <c r="G81" s="1173">
        <v>9</v>
      </c>
      <c r="H81" s="1184">
        <v>0</v>
      </c>
      <c r="I81" s="1176">
        <v>0</v>
      </c>
      <c r="J81" s="1177">
        <v>0</v>
      </c>
      <c r="K81" s="1178">
        <v>0</v>
      </c>
      <c r="L81" s="742"/>
      <c r="M81" s="742"/>
      <c r="N81" s="742"/>
      <c r="O81" s="742"/>
      <c r="P81" s="742"/>
      <c r="Q81" s="742"/>
      <c r="R81" s="742"/>
      <c r="S81" s="742"/>
      <c r="T81" s="742"/>
      <c r="U81" s="742"/>
      <c r="V81" s="742"/>
      <c r="W81" s="742"/>
      <c r="X81" s="742"/>
      <c r="Y81" s="742"/>
      <c r="Z81" s="742"/>
      <c r="AA81" s="742"/>
      <c r="AB81" s="742"/>
      <c r="AC81" s="742"/>
      <c r="AD81" s="742"/>
      <c r="AE81" s="742"/>
      <c r="AF81" s="742"/>
      <c r="AG81" s="742"/>
      <c r="AH81" s="742"/>
      <c r="AI81" s="742"/>
      <c r="AJ81" s="742"/>
      <c r="AK81" s="742"/>
      <c r="AL81" s="742"/>
      <c r="AM81" s="742"/>
      <c r="AN81" s="742"/>
      <c r="AO81" s="742"/>
      <c r="AP81" s="742"/>
      <c r="AQ81" s="742"/>
      <c r="AR81" s="742"/>
      <c r="AS81" s="742"/>
      <c r="AT81" s="742"/>
      <c r="AU81" s="742"/>
      <c r="AV81" s="742"/>
      <c r="AW81" s="742"/>
      <c r="AX81" s="742"/>
      <c r="AY81" s="742"/>
      <c r="AZ81" s="742"/>
      <c r="BA81" s="742"/>
      <c r="BB81" s="742"/>
      <c r="BC81" s="742"/>
      <c r="BD81" s="742"/>
      <c r="BE81" s="742"/>
      <c r="BF81" s="742"/>
      <c r="BG81" s="742"/>
      <c r="BH81" s="742"/>
      <c r="BI81" s="742"/>
      <c r="BJ81" s="742"/>
      <c r="BK81" s="742"/>
    </row>
    <row r="82" spans="1:63" ht="11.25" customHeight="1">
      <c r="A82" s="614"/>
      <c r="B82" s="662"/>
      <c r="C82" s="749" t="s">
        <v>262</v>
      </c>
      <c r="D82" s="1182">
        <v>27</v>
      </c>
      <c r="E82" s="1174">
        <v>24</v>
      </c>
      <c r="F82" s="1175">
        <v>3</v>
      </c>
      <c r="G82" s="1173">
        <v>24</v>
      </c>
      <c r="H82" s="1184">
        <v>0</v>
      </c>
      <c r="I82" s="1176">
        <v>0</v>
      </c>
      <c r="J82" s="1177">
        <v>0</v>
      </c>
      <c r="K82" s="1178">
        <v>0</v>
      </c>
      <c r="L82" s="742"/>
      <c r="M82" s="742"/>
      <c r="N82" s="742"/>
      <c r="O82" s="742"/>
      <c r="P82" s="742"/>
      <c r="Q82" s="742"/>
      <c r="R82" s="742"/>
      <c r="S82" s="742"/>
      <c r="T82" s="742"/>
      <c r="U82" s="742"/>
      <c r="V82" s="742"/>
      <c r="W82" s="742"/>
      <c r="X82" s="742"/>
      <c r="Y82" s="742"/>
      <c r="Z82" s="742"/>
      <c r="AA82" s="742"/>
      <c r="AB82" s="742"/>
      <c r="AC82" s="742"/>
      <c r="AD82" s="742"/>
      <c r="AE82" s="742"/>
      <c r="AF82" s="742"/>
      <c r="AG82" s="742"/>
      <c r="AH82" s="742"/>
      <c r="AI82" s="742"/>
      <c r="AJ82" s="742"/>
      <c r="AK82" s="742"/>
      <c r="AL82" s="742"/>
      <c r="AM82" s="742"/>
      <c r="AN82" s="742"/>
      <c r="AO82" s="742"/>
      <c r="AP82" s="742"/>
      <c r="AQ82" s="742"/>
      <c r="AR82" s="742"/>
      <c r="AS82" s="742"/>
      <c r="AT82" s="742"/>
      <c r="AU82" s="742"/>
      <c r="AV82" s="742"/>
      <c r="AW82" s="742"/>
      <c r="AX82" s="742"/>
      <c r="AY82" s="742"/>
      <c r="AZ82" s="742"/>
      <c r="BA82" s="742"/>
      <c r="BB82" s="742"/>
      <c r="BC82" s="742"/>
      <c r="BD82" s="742"/>
      <c r="BE82" s="742"/>
      <c r="BF82" s="742"/>
      <c r="BG82" s="742"/>
      <c r="BH82" s="742"/>
      <c r="BI82" s="742"/>
      <c r="BJ82" s="742"/>
      <c r="BK82" s="742"/>
    </row>
    <row r="83" spans="1:63" ht="11.25" customHeight="1">
      <c r="A83" s="614"/>
      <c r="B83" s="662"/>
      <c r="C83" s="749" t="s">
        <v>247</v>
      </c>
      <c r="D83" s="1182">
        <v>0</v>
      </c>
      <c r="E83" s="1174">
        <v>0</v>
      </c>
      <c r="F83" s="1175">
        <v>0</v>
      </c>
      <c r="G83" s="1173">
        <v>0</v>
      </c>
      <c r="H83" s="1184">
        <v>0</v>
      </c>
      <c r="I83" s="1176">
        <v>0</v>
      </c>
      <c r="J83" s="1177">
        <v>0</v>
      </c>
      <c r="K83" s="1178">
        <v>0</v>
      </c>
      <c r="L83" s="742"/>
      <c r="M83" s="742"/>
      <c r="N83" s="742"/>
      <c r="O83" s="742"/>
      <c r="P83" s="742"/>
      <c r="Q83" s="742"/>
      <c r="R83" s="742"/>
      <c r="S83" s="742"/>
      <c r="T83" s="742"/>
      <c r="U83" s="742"/>
      <c r="V83" s="742"/>
      <c r="W83" s="742"/>
      <c r="X83" s="742"/>
      <c r="Y83" s="742"/>
      <c r="Z83" s="742"/>
      <c r="AA83" s="742"/>
      <c r="AB83" s="742"/>
      <c r="AC83" s="742"/>
      <c r="AD83" s="742"/>
      <c r="AE83" s="742"/>
      <c r="AF83" s="742"/>
      <c r="AG83" s="742"/>
      <c r="AH83" s="742"/>
      <c r="AI83" s="742"/>
      <c r="AJ83" s="742"/>
      <c r="AK83" s="742"/>
      <c r="AL83" s="742"/>
      <c r="AM83" s="742"/>
      <c r="AN83" s="742"/>
      <c r="AO83" s="742"/>
      <c r="AP83" s="742"/>
      <c r="AQ83" s="742"/>
      <c r="AR83" s="742"/>
      <c r="AS83" s="742"/>
      <c r="AT83" s="742"/>
      <c r="AU83" s="742"/>
      <c r="AV83" s="742"/>
      <c r="AW83" s="742"/>
      <c r="AX83" s="742"/>
      <c r="AY83" s="742"/>
      <c r="AZ83" s="742"/>
      <c r="BA83" s="742"/>
      <c r="BB83" s="742"/>
      <c r="BC83" s="742"/>
      <c r="BD83" s="742"/>
      <c r="BE83" s="742"/>
      <c r="BF83" s="742"/>
      <c r="BG83" s="742"/>
      <c r="BH83" s="742"/>
      <c r="BI83" s="742"/>
      <c r="BJ83" s="742"/>
      <c r="BK83" s="742"/>
    </row>
    <row r="84" spans="1:63" ht="11.25" customHeight="1">
      <c r="A84" s="614"/>
      <c r="B84" s="662"/>
      <c r="C84" s="749" t="s">
        <v>233</v>
      </c>
      <c r="D84" s="1182">
        <v>21</v>
      </c>
      <c r="E84" s="1174">
        <v>21</v>
      </c>
      <c r="F84" s="1175">
        <v>3</v>
      </c>
      <c r="G84" s="1173">
        <v>18</v>
      </c>
      <c r="H84" s="1184">
        <v>0</v>
      </c>
      <c r="I84" s="1176">
        <v>0</v>
      </c>
      <c r="J84" s="1177">
        <v>0</v>
      </c>
      <c r="K84" s="1178">
        <v>0</v>
      </c>
      <c r="L84" s="742"/>
      <c r="M84" s="742"/>
      <c r="N84" s="742"/>
      <c r="O84" s="742"/>
      <c r="P84" s="742"/>
      <c r="Q84" s="742"/>
      <c r="R84" s="742"/>
      <c r="S84" s="742"/>
      <c r="T84" s="742"/>
      <c r="U84" s="742"/>
      <c r="V84" s="742"/>
      <c r="W84" s="742"/>
      <c r="X84" s="742"/>
      <c r="Y84" s="742"/>
      <c r="Z84" s="742"/>
      <c r="AA84" s="742"/>
      <c r="AB84" s="742"/>
      <c r="AC84" s="742"/>
      <c r="AD84" s="742"/>
      <c r="AE84" s="742"/>
      <c r="AF84" s="742"/>
      <c r="AG84" s="742"/>
      <c r="AH84" s="742"/>
      <c r="AI84" s="742"/>
      <c r="AJ84" s="742"/>
      <c r="AK84" s="742"/>
      <c r="AL84" s="742"/>
      <c r="AM84" s="742"/>
      <c r="AN84" s="742"/>
      <c r="AO84" s="742"/>
      <c r="AP84" s="742"/>
      <c r="AQ84" s="742"/>
      <c r="AR84" s="742"/>
      <c r="AS84" s="742"/>
      <c r="AT84" s="742"/>
      <c r="AU84" s="742"/>
      <c r="AV84" s="742"/>
      <c r="AW84" s="742"/>
      <c r="AX84" s="742"/>
      <c r="AY84" s="742"/>
      <c r="AZ84" s="742"/>
      <c r="BA84" s="742"/>
      <c r="BB84" s="742"/>
      <c r="BC84" s="742"/>
      <c r="BD84" s="742"/>
      <c r="BE84" s="742"/>
      <c r="BF84" s="742"/>
      <c r="BG84" s="742"/>
      <c r="BH84" s="742"/>
      <c r="BI84" s="742"/>
      <c r="BJ84" s="742"/>
      <c r="BK84" s="742"/>
    </row>
    <row r="85" spans="1:63" ht="11.25" customHeight="1">
      <c r="A85" s="614"/>
      <c r="B85" s="662"/>
      <c r="C85" s="749" t="s">
        <v>234</v>
      </c>
      <c r="D85" s="1182">
        <v>6</v>
      </c>
      <c r="E85" s="1174">
        <v>6</v>
      </c>
      <c r="F85" s="1175">
        <v>3</v>
      </c>
      <c r="G85" s="1173">
        <v>6</v>
      </c>
      <c r="H85" s="1184">
        <v>0</v>
      </c>
      <c r="I85" s="1176">
        <v>0</v>
      </c>
      <c r="J85" s="1177">
        <v>0</v>
      </c>
      <c r="K85" s="1178">
        <v>0</v>
      </c>
      <c r="L85" s="742"/>
      <c r="M85" s="742"/>
      <c r="N85" s="742"/>
      <c r="O85" s="742"/>
      <c r="P85" s="742"/>
      <c r="Q85" s="742"/>
      <c r="R85" s="742"/>
      <c r="S85" s="742"/>
      <c r="T85" s="742"/>
      <c r="U85" s="742"/>
      <c r="V85" s="742"/>
      <c r="W85" s="742"/>
      <c r="X85" s="742"/>
      <c r="Y85" s="742"/>
      <c r="Z85" s="742"/>
      <c r="AA85" s="742"/>
      <c r="AB85" s="742"/>
      <c r="AC85" s="742"/>
      <c r="AD85" s="742"/>
      <c r="AE85" s="742"/>
      <c r="AF85" s="742"/>
      <c r="AG85" s="742"/>
      <c r="AH85" s="742"/>
      <c r="AI85" s="742"/>
      <c r="AJ85" s="742"/>
      <c r="AK85" s="742"/>
      <c r="AL85" s="742"/>
      <c r="AM85" s="742"/>
      <c r="AN85" s="742"/>
      <c r="AO85" s="742"/>
      <c r="AP85" s="742"/>
      <c r="AQ85" s="742"/>
      <c r="AR85" s="742"/>
      <c r="AS85" s="742"/>
      <c r="AT85" s="742"/>
      <c r="AU85" s="742"/>
      <c r="AV85" s="742"/>
      <c r="AW85" s="742"/>
      <c r="AX85" s="742"/>
      <c r="AY85" s="742"/>
      <c r="AZ85" s="742"/>
      <c r="BA85" s="742"/>
      <c r="BB85" s="742"/>
      <c r="BC85" s="742"/>
      <c r="BD85" s="742"/>
      <c r="BE85" s="742"/>
      <c r="BF85" s="742"/>
      <c r="BG85" s="742"/>
      <c r="BH85" s="742"/>
      <c r="BI85" s="742"/>
      <c r="BJ85" s="742"/>
      <c r="BK85" s="742"/>
    </row>
    <row r="86" spans="1:63" ht="11.25" customHeight="1">
      <c r="A86" s="614"/>
      <c r="B86" s="662"/>
      <c r="C86" s="749" t="s">
        <v>235</v>
      </c>
      <c r="D86" s="1182">
        <v>0</v>
      </c>
      <c r="E86" s="1174">
        <v>0</v>
      </c>
      <c r="F86" s="1175">
        <v>0</v>
      </c>
      <c r="G86" s="1173">
        <v>0</v>
      </c>
      <c r="H86" s="1184">
        <v>0</v>
      </c>
      <c r="I86" s="1176">
        <v>0</v>
      </c>
      <c r="J86" s="1177">
        <v>0</v>
      </c>
      <c r="K86" s="1178">
        <v>0</v>
      </c>
      <c r="L86" s="742"/>
      <c r="M86" s="742"/>
      <c r="N86" s="742"/>
      <c r="O86" s="742"/>
      <c r="P86" s="742"/>
      <c r="Q86" s="742"/>
      <c r="R86" s="742"/>
      <c r="S86" s="742"/>
      <c r="T86" s="742"/>
      <c r="U86" s="742"/>
      <c r="V86" s="742"/>
      <c r="W86" s="742"/>
      <c r="X86" s="742"/>
      <c r="Y86" s="742"/>
      <c r="Z86" s="742"/>
      <c r="AA86" s="742"/>
      <c r="AB86" s="742"/>
      <c r="AC86" s="742"/>
      <c r="AD86" s="742"/>
      <c r="AE86" s="742"/>
      <c r="AF86" s="742"/>
      <c r="AG86" s="742"/>
      <c r="AH86" s="742"/>
      <c r="AI86" s="742"/>
      <c r="AJ86" s="742"/>
      <c r="AK86" s="742"/>
      <c r="AL86" s="742"/>
      <c r="AM86" s="742"/>
      <c r="AN86" s="742"/>
      <c r="AO86" s="742"/>
      <c r="AP86" s="742"/>
      <c r="AQ86" s="742"/>
      <c r="AR86" s="742"/>
      <c r="AS86" s="742"/>
      <c r="AT86" s="742"/>
      <c r="AU86" s="742"/>
      <c r="AV86" s="742"/>
      <c r="AW86" s="742"/>
      <c r="AX86" s="742"/>
      <c r="AY86" s="742"/>
      <c r="AZ86" s="742"/>
      <c r="BA86" s="742"/>
      <c r="BB86" s="742"/>
      <c r="BC86" s="742"/>
      <c r="BD86" s="742"/>
      <c r="BE86" s="742"/>
      <c r="BF86" s="742"/>
      <c r="BG86" s="742"/>
      <c r="BH86" s="742"/>
      <c r="BI86" s="742"/>
      <c r="BJ86" s="742"/>
      <c r="BK86" s="742"/>
    </row>
    <row r="87" spans="1:63" ht="11.25" customHeight="1">
      <c r="A87" s="614"/>
      <c r="B87" s="662"/>
      <c r="C87" s="749" t="s">
        <v>236</v>
      </c>
      <c r="D87" s="1184">
        <v>21</v>
      </c>
      <c r="E87" s="1176">
        <v>18</v>
      </c>
      <c r="F87" s="1177">
        <v>3</v>
      </c>
      <c r="G87" s="1176">
        <v>21</v>
      </c>
      <c r="H87" s="1184">
        <v>0</v>
      </c>
      <c r="I87" s="1176">
        <v>0</v>
      </c>
      <c r="J87" s="1177">
        <v>0</v>
      </c>
      <c r="K87" s="1178">
        <v>0</v>
      </c>
      <c r="L87" s="742"/>
      <c r="M87" s="742"/>
      <c r="N87" s="742"/>
      <c r="O87" s="742"/>
      <c r="P87" s="742"/>
      <c r="Q87" s="742"/>
      <c r="R87" s="742"/>
      <c r="S87" s="742"/>
      <c r="T87" s="742"/>
      <c r="U87" s="742"/>
      <c r="V87" s="742"/>
      <c r="W87" s="742"/>
      <c r="X87" s="742"/>
      <c r="Y87" s="742"/>
      <c r="Z87" s="742"/>
      <c r="AA87" s="742"/>
      <c r="AB87" s="742"/>
      <c r="AC87" s="742"/>
      <c r="AD87" s="742"/>
      <c r="AE87" s="742"/>
      <c r="AF87" s="742"/>
      <c r="AG87" s="742"/>
      <c r="AH87" s="742"/>
      <c r="AI87" s="742"/>
      <c r="AJ87" s="742"/>
      <c r="AK87" s="742"/>
      <c r="AL87" s="742"/>
      <c r="AM87" s="742"/>
      <c r="AN87" s="742"/>
      <c r="AO87" s="742"/>
      <c r="AP87" s="742"/>
      <c r="AQ87" s="742"/>
      <c r="AR87" s="742"/>
      <c r="AS87" s="742"/>
      <c r="AT87" s="742"/>
      <c r="AU87" s="742"/>
      <c r="AV87" s="742"/>
      <c r="AW87" s="742"/>
      <c r="AX87" s="742"/>
      <c r="AY87" s="742"/>
      <c r="AZ87" s="742"/>
      <c r="BA87" s="742"/>
      <c r="BB87" s="742"/>
      <c r="BC87" s="742"/>
      <c r="BD87" s="742"/>
      <c r="BE87" s="742"/>
      <c r="BF87" s="742"/>
      <c r="BG87" s="742"/>
      <c r="BH87" s="742"/>
      <c r="BI87" s="742"/>
      <c r="BJ87" s="742"/>
      <c r="BK87" s="742"/>
    </row>
    <row r="88" spans="1:63" ht="11.25" customHeight="1">
      <c r="A88" s="614"/>
      <c r="B88" s="662"/>
      <c r="C88" s="749" t="s">
        <v>260</v>
      </c>
      <c r="D88" s="1182">
        <v>102</v>
      </c>
      <c r="E88" s="1174">
        <v>93</v>
      </c>
      <c r="F88" s="1175">
        <v>9</v>
      </c>
      <c r="G88" s="1173">
        <v>99</v>
      </c>
      <c r="H88" s="1184">
        <v>0</v>
      </c>
      <c r="I88" s="1176">
        <v>0</v>
      </c>
      <c r="J88" s="1177">
        <v>0</v>
      </c>
      <c r="K88" s="1178">
        <v>0</v>
      </c>
      <c r="L88" s="742"/>
      <c r="M88" s="742"/>
      <c r="N88" s="742"/>
      <c r="O88" s="742"/>
      <c r="P88" s="742"/>
      <c r="Q88" s="742"/>
      <c r="R88" s="742"/>
      <c r="S88" s="742"/>
      <c r="T88" s="742"/>
      <c r="U88" s="742"/>
      <c r="V88" s="742"/>
      <c r="W88" s="742"/>
      <c r="X88" s="742"/>
      <c r="Y88" s="742"/>
      <c r="Z88" s="742"/>
      <c r="AA88" s="742"/>
      <c r="AB88" s="742"/>
      <c r="AC88" s="742"/>
      <c r="AD88" s="742"/>
      <c r="AE88" s="742"/>
      <c r="AF88" s="742"/>
      <c r="AG88" s="742"/>
      <c r="AH88" s="742"/>
      <c r="AI88" s="742"/>
      <c r="AJ88" s="742"/>
      <c r="AK88" s="742"/>
      <c r="AL88" s="742"/>
      <c r="AM88" s="742"/>
      <c r="AN88" s="742"/>
      <c r="AO88" s="742"/>
      <c r="AP88" s="742"/>
      <c r="AQ88" s="742"/>
      <c r="AR88" s="742"/>
      <c r="AS88" s="742"/>
      <c r="AT88" s="742"/>
      <c r="AU88" s="742"/>
      <c r="AV88" s="742"/>
      <c r="AW88" s="742"/>
      <c r="AX88" s="742"/>
      <c r="AY88" s="742"/>
      <c r="AZ88" s="742"/>
      <c r="BA88" s="742"/>
      <c r="BB88" s="742"/>
      <c r="BC88" s="742"/>
      <c r="BD88" s="742"/>
      <c r="BE88" s="742"/>
      <c r="BF88" s="742"/>
      <c r="BG88" s="742"/>
      <c r="BH88" s="742"/>
      <c r="BI88" s="742"/>
      <c r="BJ88" s="742"/>
      <c r="BK88" s="742"/>
    </row>
    <row r="89" spans="1:63" ht="11.25" customHeight="1">
      <c r="A89" s="614"/>
      <c r="B89" s="662"/>
      <c r="C89" s="749" t="s">
        <v>237</v>
      </c>
      <c r="D89" s="1182">
        <v>3</v>
      </c>
      <c r="E89" s="1174">
        <v>3</v>
      </c>
      <c r="F89" s="1175">
        <v>3</v>
      </c>
      <c r="G89" s="1173">
        <v>3</v>
      </c>
      <c r="H89" s="1184">
        <v>0</v>
      </c>
      <c r="I89" s="1176">
        <v>0</v>
      </c>
      <c r="J89" s="1177">
        <v>0</v>
      </c>
      <c r="K89" s="1178">
        <v>0</v>
      </c>
      <c r="L89" s="742"/>
      <c r="M89" s="742"/>
      <c r="N89" s="742"/>
      <c r="O89" s="742"/>
      <c r="P89" s="742"/>
      <c r="Q89" s="742"/>
      <c r="R89" s="742"/>
      <c r="S89" s="742"/>
      <c r="T89" s="742"/>
      <c r="U89" s="742"/>
      <c r="V89" s="742"/>
      <c r="W89" s="742"/>
      <c r="X89" s="742"/>
      <c r="Y89" s="742"/>
      <c r="Z89" s="742"/>
      <c r="AA89" s="742"/>
      <c r="AB89" s="742"/>
      <c r="AC89" s="742"/>
      <c r="AD89" s="742"/>
      <c r="AE89" s="742"/>
      <c r="AF89" s="742"/>
      <c r="AG89" s="742"/>
      <c r="AH89" s="742"/>
      <c r="AI89" s="742"/>
      <c r="AJ89" s="742"/>
      <c r="AK89" s="742"/>
      <c r="AL89" s="742"/>
      <c r="AM89" s="742"/>
      <c r="AN89" s="742"/>
      <c r="AO89" s="742"/>
      <c r="AP89" s="742"/>
      <c r="AQ89" s="742"/>
      <c r="AR89" s="742"/>
      <c r="AS89" s="742"/>
      <c r="AT89" s="742"/>
      <c r="AU89" s="742"/>
      <c r="AV89" s="742"/>
      <c r="AW89" s="742"/>
      <c r="AX89" s="742"/>
      <c r="AY89" s="742"/>
      <c r="AZ89" s="742"/>
      <c r="BA89" s="742"/>
      <c r="BB89" s="742"/>
      <c r="BC89" s="742"/>
      <c r="BD89" s="742"/>
      <c r="BE89" s="742"/>
      <c r="BF89" s="742"/>
      <c r="BG89" s="742"/>
      <c r="BH89" s="742"/>
      <c r="BI89" s="742"/>
      <c r="BJ89" s="742"/>
      <c r="BK89" s="742"/>
    </row>
    <row r="90" spans="1:63" ht="11.25" customHeight="1">
      <c r="A90" s="614"/>
      <c r="B90" s="662"/>
      <c r="C90" s="749" t="s">
        <v>238</v>
      </c>
      <c r="D90" s="1182">
        <v>9</v>
      </c>
      <c r="E90" s="1174">
        <v>3</v>
      </c>
      <c r="F90" s="1175">
        <v>6</v>
      </c>
      <c r="G90" s="1173">
        <v>6</v>
      </c>
      <c r="H90" s="1184">
        <v>0</v>
      </c>
      <c r="I90" s="1176">
        <v>0</v>
      </c>
      <c r="J90" s="1177">
        <v>0</v>
      </c>
      <c r="K90" s="1178">
        <v>0</v>
      </c>
      <c r="L90" s="742"/>
      <c r="M90" s="742"/>
      <c r="N90" s="742"/>
      <c r="O90" s="742"/>
      <c r="P90" s="742"/>
      <c r="Q90" s="742"/>
      <c r="R90" s="742"/>
      <c r="S90" s="742"/>
      <c r="T90" s="742"/>
      <c r="U90" s="742"/>
      <c r="V90" s="742"/>
      <c r="W90" s="742"/>
      <c r="X90" s="742"/>
      <c r="Y90" s="742"/>
      <c r="Z90" s="742"/>
      <c r="AA90" s="742"/>
      <c r="AB90" s="742"/>
      <c r="AC90" s="742"/>
      <c r="AD90" s="742"/>
      <c r="AE90" s="742"/>
      <c r="AF90" s="742"/>
      <c r="AG90" s="742"/>
      <c r="AH90" s="742"/>
      <c r="AI90" s="742"/>
      <c r="AJ90" s="742"/>
      <c r="AK90" s="742"/>
      <c r="AL90" s="742"/>
      <c r="AM90" s="742"/>
      <c r="AN90" s="742"/>
      <c r="AO90" s="742"/>
      <c r="AP90" s="742"/>
      <c r="AQ90" s="742"/>
      <c r="AR90" s="742"/>
      <c r="AS90" s="742"/>
      <c r="AT90" s="742"/>
      <c r="AU90" s="742"/>
      <c r="AV90" s="742"/>
      <c r="AW90" s="742"/>
      <c r="AX90" s="742"/>
      <c r="AY90" s="742"/>
      <c r="AZ90" s="742"/>
      <c r="BA90" s="742"/>
      <c r="BB90" s="742"/>
      <c r="BC90" s="742"/>
      <c r="BD90" s="742"/>
      <c r="BE90" s="742"/>
      <c r="BF90" s="742"/>
      <c r="BG90" s="742"/>
      <c r="BH90" s="742"/>
      <c r="BI90" s="742"/>
      <c r="BJ90" s="742"/>
      <c r="BK90" s="742"/>
    </row>
    <row r="91" spans="1:63" ht="11.25" customHeight="1">
      <c r="A91" s="614"/>
      <c r="B91" s="662"/>
      <c r="C91" s="749" t="s">
        <v>242</v>
      </c>
      <c r="D91" s="1184">
        <v>6</v>
      </c>
      <c r="E91" s="1176">
        <v>6</v>
      </c>
      <c r="F91" s="1177">
        <v>0</v>
      </c>
      <c r="G91" s="1176">
        <v>6</v>
      </c>
      <c r="H91" s="1210">
        <v>0</v>
      </c>
      <c r="I91" s="1176">
        <v>0</v>
      </c>
      <c r="J91" s="1177">
        <v>0</v>
      </c>
      <c r="K91" s="1178">
        <v>0</v>
      </c>
      <c r="L91" s="742"/>
      <c r="M91" s="742"/>
      <c r="N91" s="742"/>
      <c r="O91" s="742"/>
      <c r="P91" s="742"/>
      <c r="Q91" s="742"/>
      <c r="R91" s="742"/>
      <c r="S91" s="742"/>
      <c r="T91" s="742"/>
      <c r="U91" s="742"/>
      <c r="V91" s="742"/>
      <c r="W91" s="742"/>
      <c r="X91" s="742"/>
      <c r="Y91" s="742"/>
      <c r="Z91" s="742"/>
      <c r="AA91" s="742"/>
      <c r="AB91" s="742"/>
      <c r="AC91" s="742"/>
      <c r="AD91" s="742"/>
      <c r="AE91" s="742"/>
      <c r="AF91" s="742"/>
      <c r="AG91" s="742"/>
      <c r="AH91" s="742"/>
      <c r="AI91" s="742"/>
      <c r="AJ91" s="742"/>
      <c r="AK91" s="742"/>
      <c r="AL91" s="742"/>
      <c r="AM91" s="742"/>
      <c r="AN91" s="742"/>
      <c r="AO91" s="742"/>
      <c r="AP91" s="742"/>
      <c r="AQ91" s="742"/>
      <c r="AR91" s="742"/>
      <c r="AS91" s="742"/>
      <c r="AT91" s="742"/>
      <c r="AU91" s="742"/>
      <c r="AV91" s="742"/>
      <c r="AW91" s="742"/>
      <c r="AX91" s="742"/>
      <c r="AY91" s="742"/>
      <c r="AZ91" s="742"/>
      <c r="BA91" s="742"/>
      <c r="BB91" s="742"/>
      <c r="BC91" s="742"/>
      <c r="BD91" s="742"/>
      <c r="BE91" s="742"/>
      <c r="BF91" s="742"/>
      <c r="BG91" s="742"/>
      <c r="BH91" s="742"/>
      <c r="BI91" s="742"/>
      <c r="BJ91" s="742"/>
      <c r="BK91" s="742"/>
    </row>
    <row r="92" spans="1:63" ht="11.25" customHeight="1">
      <c r="A92" s="614"/>
      <c r="B92" s="662"/>
      <c r="C92" s="749" t="s">
        <v>239</v>
      </c>
      <c r="D92" s="1182">
        <v>30</v>
      </c>
      <c r="E92" s="1174">
        <v>0</v>
      </c>
      <c r="F92" s="1175">
        <v>30</v>
      </c>
      <c r="G92" s="1173">
        <v>21</v>
      </c>
      <c r="H92" s="1184">
        <v>3</v>
      </c>
      <c r="I92" s="1176">
        <v>0</v>
      </c>
      <c r="J92" s="1177">
        <v>3</v>
      </c>
      <c r="K92" s="1178">
        <v>0</v>
      </c>
      <c r="L92" s="742"/>
      <c r="M92" s="742"/>
      <c r="N92" s="742"/>
      <c r="O92" s="742"/>
      <c r="P92" s="742"/>
      <c r="Q92" s="742"/>
      <c r="R92" s="742"/>
      <c r="S92" s="742"/>
      <c r="T92" s="742"/>
      <c r="U92" s="742"/>
      <c r="V92" s="742"/>
      <c r="W92" s="742"/>
      <c r="X92" s="742"/>
      <c r="Y92" s="742"/>
      <c r="Z92" s="742"/>
      <c r="AA92" s="742"/>
      <c r="AB92" s="742"/>
      <c r="AC92" s="742"/>
      <c r="AD92" s="742"/>
      <c r="AE92" s="742"/>
      <c r="AF92" s="742"/>
      <c r="AG92" s="742"/>
      <c r="AH92" s="742"/>
      <c r="AI92" s="742"/>
      <c r="AJ92" s="742"/>
      <c r="AK92" s="742"/>
      <c r="AL92" s="742"/>
      <c r="AM92" s="742"/>
      <c r="AN92" s="742"/>
      <c r="AO92" s="742"/>
      <c r="AP92" s="742"/>
      <c r="AQ92" s="742"/>
      <c r="AR92" s="742"/>
      <c r="AS92" s="742"/>
      <c r="AT92" s="742"/>
      <c r="AU92" s="742"/>
      <c r="AV92" s="742"/>
      <c r="AW92" s="742"/>
      <c r="AX92" s="742"/>
      <c r="AY92" s="742"/>
      <c r="AZ92" s="742"/>
      <c r="BA92" s="742"/>
      <c r="BB92" s="742"/>
      <c r="BC92" s="742"/>
      <c r="BD92" s="742"/>
      <c r="BE92" s="742"/>
      <c r="BF92" s="742"/>
      <c r="BG92" s="742"/>
      <c r="BH92" s="742"/>
      <c r="BI92" s="742"/>
      <c r="BJ92" s="742"/>
      <c r="BK92" s="742"/>
    </row>
    <row r="93" spans="1:63" ht="11.25" customHeight="1">
      <c r="A93" s="1234"/>
      <c r="B93" s="1245"/>
      <c r="C93" s="1236"/>
      <c r="D93" s="1237"/>
      <c r="E93" s="1238"/>
      <c r="F93" s="1239"/>
      <c r="G93" s="1240"/>
      <c r="H93" s="1241"/>
      <c r="I93" s="1242"/>
      <c r="J93" s="1243"/>
      <c r="K93" s="1244"/>
      <c r="L93" s="742"/>
      <c r="M93" s="742"/>
      <c r="N93" s="742"/>
      <c r="O93" s="742"/>
      <c r="P93" s="742"/>
      <c r="Q93" s="742"/>
      <c r="R93" s="742"/>
      <c r="S93" s="742"/>
      <c r="T93" s="742"/>
      <c r="U93" s="742"/>
      <c r="V93" s="742"/>
      <c r="W93" s="742"/>
      <c r="X93" s="742"/>
      <c r="Y93" s="742"/>
      <c r="Z93" s="742"/>
      <c r="AA93" s="742"/>
      <c r="AB93" s="742"/>
      <c r="AC93" s="742"/>
      <c r="AD93" s="742"/>
      <c r="AE93" s="742"/>
      <c r="AF93" s="742"/>
      <c r="AG93" s="742"/>
      <c r="AH93" s="742"/>
      <c r="AI93" s="742"/>
      <c r="AJ93" s="742"/>
      <c r="AK93" s="742"/>
      <c r="AL93" s="742"/>
      <c r="AM93" s="742"/>
      <c r="AN93" s="742"/>
      <c r="AO93" s="742"/>
      <c r="AP93" s="742"/>
      <c r="AQ93" s="742"/>
      <c r="AR93" s="742"/>
      <c r="AS93" s="742"/>
      <c r="AT93" s="742"/>
      <c r="AU93" s="742"/>
      <c r="AV93" s="742"/>
      <c r="AW93" s="742"/>
      <c r="AX93" s="742"/>
      <c r="AY93" s="742"/>
      <c r="AZ93" s="742"/>
      <c r="BA93" s="742"/>
      <c r="BB93" s="742"/>
      <c r="BC93" s="742"/>
      <c r="BD93" s="742"/>
      <c r="BE93" s="742"/>
      <c r="BF93" s="742"/>
      <c r="BG93" s="742"/>
      <c r="BH93" s="742"/>
      <c r="BI93" s="742"/>
      <c r="BJ93" s="742"/>
      <c r="BK93" s="742"/>
    </row>
    <row r="94" spans="1:63" ht="11.25" customHeight="1">
      <c r="A94" s="614" t="s">
        <v>175</v>
      </c>
      <c r="B94" s="662"/>
      <c r="C94" s="749" t="s">
        <v>231</v>
      </c>
      <c r="D94" s="1182">
        <v>519</v>
      </c>
      <c r="E94" s="1174">
        <v>483</v>
      </c>
      <c r="F94" s="1175">
        <v>36</v>
      </c>
      <c r="G94" s="1173">
        <v>402</v>
      </c>
      <c r="H94" s="1184">
        <v>21</v>
      </c>
      <c r="I94" s="1176">
        <v>21</v>
      </c>
      <c r="J94" s="1177">
        <v>0</v>
      </c>
      <c r="K94" s="1178">
        <v>12</v>
      </c>
      <c r="L94" s="742"/>
      <c r="M94" s="742"/>
      <c r="N94" s="742"/>
      <c r="O94" s="742"/>
      <c r="P94" s="742"/>
      <c r="Q94" s="742"/>
      <c r="R94" s="742"/>
      <c r="S94" s="742"/>
      <c r="T94" s="742"/>
      <c r="U94" s="742"/>
      <c r="V94" s="742"/>
      <c r="W94" s="742"/>
      <c r="X94" s="742"/>
      <c r="Y94" s="742"/>
      <c r="Z94" s="742"/>
      <c r="AA94" s="742"/>
      <c r="AB94" s="742"/>
      <c r="AC94" s="742"/>
      <c r="AD94" s="742"/>
      <c r="AE94" s="742"/>
      <c r="AF94" s="742"/>
      <c r="AG94" s="742"/>
      <c r="AH94" s="742"/>
      <c r="AI94" s="742"/>
      <c r="AJ94" s="742"/>
      <c r="AK94" s="742"/>
      <c r="AL94" s="742"/>
      <c r="AM94" s="742"/>
      <c r="AN94" s="742"/>
      <c r="AO94" s="742"/>
      <c r="AP94" s="742"/>
      <c r="AQ94" s="742"/>
      <c r="AR94" s="742"/>
      <c r="AS94" s="742"/>
      <c r="AT94" s="742"/>
      <c r="AU94" s="742"/>
      <c r="AV94" s="742"/>
      <c r="AW94" s="742"/>
      <c r="AX94" s="742"/>
      <c r="AY94" s="742"/>
      <c r="AZ94" s="742"/>
      <c r="BA94" s="742"/>
      <c r="BB94" s="742"/>
      <c r="BC94" s="742"/>
      <c r="BD94" s="742"/>
      <c r="BE94" s="742"/>
      <c r="BF94" s="742"/>
      <c r="BG94" s="742"/>
      <c r="BH94" s="742"/>
      <c r="BI94" s="742"/>
      <c r="BJ94" s="742"/>
      <c r="BK94" s="742"/>
    </row>
    <row r="95" spans="1:63" ht="11.25" customHeight="1">
      <c r="A95" s="614"/>
      <c r="B95" s="662"/>
      <c r="C95" s="671" t="s">
        <v>240</v>
      </c>
      <c r="D95" s="1184">
        <v>12</v>
      </c>
      <c r="E95" s="1176">
        <v>12</v>
      </c>
      <c r="F95" s="1177">
        <v>3</v>
      </c>
      <c r="G95" s="1176">
        <v>9</v>
      </c>
      <c r="H95" s="1184">
        <v>0</v>
      </c>
      <c r="I95" s="1176">
        <v>0</v>
      </c>
      <c r="J95" s="1177">
        <v>0</v>
      </c>
      <c r="K95" s="1178">
        <v>0</v>
      </c>
      <c r="L95" s="742"/>
      <c r="M95" s="742"/>
      <c r="N95" s="742"/>
      <c r="O95" s="742"/>
      <c r="P95" s="742"/>
      <c r="Q95" s="742"/>
      <c r="R95" s="742"/>
      <c r="S95" s="742"/>
      <c r="T95" s="742"/>
      <c r="U95" s="742"/>
      <c r="V95" s="742"/>
      <c r="W95" s="742"/>
      <c r="X95" s="742"/>
      <c r="Y95" s="742"/>
      <c r="Z95" s="742"/>
      <c r="AA95" s="742"/>
      <c r="AB95" s="742"/>
      <c r="AC95" s="742"/>
      <c r="AD95" s="742"/>
      <c r="AE95" s="742"/>
      <c r="AF95" s="742"/>
      <c r="AG95" s="742"/>
      <c r="AH95" s="742"/>
      <c r="AI95" s="742"/>
      <c r="AJ95" s="742"/>
      <c r="AK95" s="742"/>
      <c r="AL95" s="742"/>
      <c r="AM95" s="742"/>
      <c r="AN95" s="742"/>
      <c r="AO95" s="742"/>
      <c r="AP95" s="742"/>
      <c r="AQ95" s="742"/>
      <c r="AR95" s="742"/>
      <c r="AS95" s="742"/>
      <c r="AT95" s="742"/>
      <c r="AU95" s="742"/>
      <c r="AV95" s="742"/>
      <c r="AW95" s="742"/>
      <c r="AX95" s="742"/>
      <c r="AY95" s="742"/>
      <c r="AZ95" s="742"/>
      <c r="BA95" s="742"/>
      <c r="BB95" s="742"/>
      <c r="BC95" s="742"/>
      <c r="BD95" s="742"/>
      <c r="BE95" s="742"/>
      <c r="BF95" s="742"/>
      <c r="BG95" s="742"/>
      <c r="BH95" s="742"/>
      <c r="BI95" s="742"/>
      <c r="BJ95" s="742"/>
      <c r="BK95" s="742"/>
    </row>
    <row r="96" spans="1:63" ht="11.25" customHeight="1">
      <c r="A96" s="614"/>
      <c r="B96" s="662"/>
      <c r="C96" s="671" t="s">
        <v>264</v>
      </c>
      <c r="D96" s="1184">
        <v>15</v>
      </c>
      <c r="E96" s="1176">
        <v>9</v>
      </c>
      <c r="F96" s="1177">
        <v>6</v>
      </c>
      <c r="G96" s="1176">
        <v>12</v>
      </c>
      <c r="H96" s="1184">
        <v>0</v>
      </c>
      <c r="I96" s="1176">
        <v>0</v>
      </c>
      <c r="J96" s="1177">
        <v>0</v>
      </c>
      <c r="K96" s="1178">
        <v>0</v>
      </c>
      <c r="L96" s="742"/>
      <c r="M96" s="742"/>
      <c r="N96" s="742"/>
      <c r="O96" s="742"/>
      <c r="P96" s="742"/>
      <c r="Q96" s="742"/>
      <c r="R96" s="742"/>
      <c r="S96" s="742"/>
      <c r="T96" s="742"/>
      <c r="U96" s="742"/>
      <c r="V96" s="742"/>
      <c r="W96" s="742"/>
      <c r="X96" s="742"/>
      <c r="Y96" s="742"/>
      <c r="Z96" s="742"/>
      <c r="AA96" s="742"/>
      <c r="AB96" s="742"/>
      <c r="AC96" s="742"/>
      <c r="AD96" s="742"/>
      <c r="AE96" s="742"/>
      <c r="AF96" s="742"/>
      <c r="AG96" s="742"/>
      <c r="AH96" s="742"/>
      <c r="AI96" s="742"/>
      <c r="AJ96" s="742"/>
      <c r="AK96" s="742"/>
      <c r="AL96" s="742"/>
      <c r="AM96" s="742"/>
      <c r="AN96" s="742"/>
      <c r="AO96" s="742"/>
      <c r="AP96" s="742"/>
      <c r="AQ96" s="742"/>
      <c r="AR96" s="742"/>
      <c r="AS96" s="742"/>
      <c r="AT96" s="742"/>
      <c r="AU96" s="742"/>
      <c r="AV96" s="742"/>
      <c r="AW96" s="742"/>
      <c r="AX96" s="742"/>
      <c r="AY96" s="742"/>
      <c r="AZ96" s="742"/>
      <c r="BA96" s="742"/>
      <c r="BB96" s="742"/>
      <c r="BC96" s="742"/>
      <c r="BD96" s="742"/>
      <c r="BE96" s="742"/>
      <c r="BF96" s="742"/>
      <c r="BG96" s="742"/>
      <c r="BH96" s="742"/>
      <c r="BI96" s="742"/>
      <c r="BJ96" s="742"/>
      <c r="BK96" s="742"/>
    </row>
    <row r="97" spans="1:63" ht="11.25" customHeight="1">
      <c r="A97" s="614"/>
      <c r="B97" s="662"/>
      <c r="C97" s="671" t="s">
        <v>259</v>
      </c>
      <c r="D97" s="1182">
        <v>33</v>
      </c>
      <c r="E97" s="1174">
        <v>6</v>
      </c>
      <c r="F97" s="1175">
        <v>27</v>
      </c>
      <c r="G97" s="1173">
        <v>24</v>
      </c>
      <c r="H97" s="1184">
        <v>12</v>
      </c>
      <c r="I97" s="1176">
        <v>0</v>
      </c>
      <c r="J97" s="1177">
        <v>12</v>
      </c>
      <c r="K97" s="1178">
        <v>9</v>
      </c>
      <c r="L97" s="742"/>
      <c r="M97" s="742"/>
      <c r="N97" s="742"/>
      <c r="O97" s="742"/>
      <c r="P97" s="742"/>
      <c r="Q97" s="742"/>
      <c r="R97" s="742"/>
      <c r="S97" s="742"/>
      <c r="T97" s="742"/>
      <c r="U97" s="742"/>
      <c r="V97" s="742"/>
      <c r="W97" s="742"/>
      <c r="X97" s="742"/>
      <c r="Y97" s="742"/>
      <c r="Z97" s="742"/>
      <c r="AA97" s="742"/>
      <c r="AB97" s="742"/>
      <c r="AC97" s="742"/>
      <c r="AD97" s="742"/>
      <c r="AE97" s="742"/>
      <c r="AF97" s="742"/>
      <c r="AG97" s="742"/>
      <c r="AH97" s="742"/>
      <c r="AI97" s="742"/>
      <c r="AJ97" s="742"/>
      <c r="AK97" s="742"/>
      <c r="AL97" s="742"/>
      <c r="AM97" s="742"/>
      <c r="AN97" s="742"/>
      <c r="AO97" s="742"/>
      <c r="AP97" s="742"/>
      <c r="AQ97" s="742"/>
      <c r="AR97" s="742"/>
      <c r="AS97" s="742"/>
      <c r="AT97" s="742"/>
      <c r="AU97" s="742"/>
      <c r="AV97" s="742"/>
      <c r="AW97" s="742"/>
      <c r="AX97" s="742"/>
      <c r="AY97" s="742"/>
      <c r="AZ97" s="742"/>
      <c r="BA97" s="742"/>
      <c r="BB97" s="742"/>
      <c r="BC97" s="742"/>
      <c r="BD97" s="742"/>
      <c r="BE97" s="742"/>
      <c r="BF97" s="742"/>
      <c r="BG97" s="742"/>
      <c r="BH97" s="742"/>
      <c r="BI97" s="742"/>
      <c r="BJ97" s="742"/>
      <c r="BK97" s="742"/>
    </row>
    <row r="98" spans="1:63" ht="11.25" customHeight="1">
      <c r="A98" s="614"/>
      <c r="B98" s="662"/>
      <c r="C98" s="671" t="s">
        <v>241</v>
      </c>
      <c r="D98" s="1182">
        <v>12</v>
      </c>
      <c r="E98" s="1176">
        <v>0</v>
      </c>
      <c r="F98" s="1175">
        <v>12</v>
      </c>
      <c r="G98" s="1173">
        <v>9</v>
      </c>
      <c r="H98" s="1184">
        <v>3</v>
      </c>
      <c r="I98" s="1176">
        <v>0</v>
      </c>
      <c r="J98" s="1177">
        <v>3</v>
      </c>
      <c r="K98" s="1178">
        <v>0</v>
      </c>
      <c r="L98" s="742"/>
      <c r="M98" s="742"/>
      <c r="N98" s="742"/>
      <c r="O98" s="742"/>
      <c r="P98" s="742"/>
      <c r="Q98" s="742"/>
      <c r="R98" s="742"/>
      <c r="S98" s="742"/>
      <c r="T98" s="742"/>
      <c r="U98" s="742"/>
      <c r="V98" s="742"/>
      <c r="W98" s="742"/>
      <c r="X98" s="742"/>
      <c r="Y98" s="742"/>
      <c r="Z98" s="742"/>
      <c r="AA98" s="742"/>
      <c r="AB98" s="742"/>
      <c r="AC98" s="742"/>
      <c r="AD98" s="742"/>
      <c r="AE98" s="742"/>
      <c r="AF98" s="742"/>
      <c r="AG98" s="742"/>
      <c r="AH98" s="742"/>
      <c r="AI98" s="742"/>
      <c r="AJ98" s="742"/>
      <c r="AK98" s="742"/>
      <c r="AL98" s="742"/>
      <c r="AM98" s="742"/>
      <c r="AN98" s="742"/>
      <c r="AO98" s="742"/>
      <c r="AP98" s="742"/>
      <c r="AQ98" s="742"/>
      <c r="AR98" s="742"/>
      <c r="AS98" s="742"/>
      <c r="AT98" s="742"/>
      <c r="AU98" s="742"/>
      <c r="AV98" s="742"/>
      <c r="AW98" s="742"/>
      <c r="AX98" s="742"/>
      <c r="AY98" s="742"/>
      <c r="AZ98" s="742"/>
      <c r="BA98" s="742"/>
      <c r="BB98" s="742"/>
      <c r="BC98" s="742"/>
      <c r="BD98" s="742"/>
      <c r="BE98" s="742"/>
      <c r="BF98" s="742"/>
      <c r="BG98" s="742"/>
      <c r="BH98" s="742"/>
      <c r="BI98" s="742"/>
      <c r="BJ98" s="742"/>
      <c r="BK98" s="742"/>
    </row>
    <row r="99" spans="1:63" ht="11.25" customHeight="1">
      <c r="A99" s="614"/>
      <c r="B99" s="662"/>
      <c r="C99" s="671" t="s">
        <v>291</v>
      </c>
      <c r="D99" s="1182">
        <v>15</v>
      </c>
      <c r="E99" s="1174">
        <v>15</v>
      </c>
      <c r="F99" s="1177">
        <v>0</v>
      </c>
      <c r="G99" s="1173">
        <v>12</v>
      </c>
      <c r="H99" s="1184">
        <v>3</v>
      </c>
      <c r="I99" s="1176">
        <v>3</v>
      </c>
      <c r="J99" s="1177">
        <v>0</v>
      </c>
      <c r="K99" s="1178">
        <v>0</v>
      </c>
      <c r="L99" s="742"/>
      <c r="M99" s="742"/>
      <c r="N99" s="742"/>
      <c r="O99" s="742"/>
      <c r="P99" s="742"/>
      <c r="Q99" s="742"/>
      <c r="R99" s="742"/>
      <c r="S99" s="742"/>
      <c r="T99" s="742"/>
      <c r="U99" s="742"/>
      <c r="V99" s="742"/>
      <c r="W99" s="742"/>
      <c r="X99" s="742"/>
      <c r="Y99" s="742"/>
      <c r="Z99" s="742"/>
      <c r="AA99" s="742"/>
      <c r="AB99" s="742"/>
      <c r="AC99" s="742"/>
      <c r="AD99" s="742"/>
      <c r="AE99" s="742"/>
      <c r="AF99" s="742"/>
      <c r="AG99" s="742"/>
      <c r="AH99" s="742"/>
      <c r="AI99" s="742"/>
      <c r="AJ99" s="742"/>
      <c r="AK99" s="742"/>
      <c r="AL99" s="742"/>
      <c r="AM99" s="742"/>
      <c r="AN99" s="742"/>
      <c r="AO99" s="742"/>
      <c r="AP99" s="742"/>
      <c r="AQ99" s="742"/>
      <c r="AR99" s="742"/>
      <c r="AS99" s="742"/>
      <c r="AT99" s="742"/>
      <c r="AU99" s="742"/>
      <c r="AV99" s="742"/>
      <c r="AW99" s="742"/>
      <c r="AX99" s="742"/>
      <c r="AY99" s="742"/>
      <c r="AZ99" s="742"/>
      <c r="BA99" s="742"/>
      <c r="BB99" s="742"/>
      <c r="BC99" s="742"/>
      <c r="BD99" s="742"/>
      <c r="BE99" s="742"/>
      <c r="BF99" s="742"/>
      <c r="BG99" s="742"/>
      <c r="BH99" s="742"/>
      <c r="BI99" s="742"/>
      <c r="BJ99" s="742"/>
      <c r="BK99" s="742"/>
    </row>
    <row r="100" spans="1:63" ht="11.25" customHeight="1">
      <c r="A100" s="614"/>
      <c r="B100" s="662"/>
      <c r="C100" s="671" t="s">
        <v>292</v>
      </c>
      <c r="D100" s="1182">
        <v>3</v>
      </c>
      <c r="E100" s="1174">
        <v>3</v>
      </c>
      <c r="F100" s="1177">
        <v>0</v>
      </c>
      <c r="G100" s="1173">
        <v>3</v>
      </c>
      <c r="H100" s="1184">
        <v>0</v>
      </c>
      <c r="I100" s="1176">
        <v>0</v>
      </c>
      <c r="J100" s="1177">
        <v>0</v>
      </c>
      <c r="K100" s="1178">
        <v>0</v>
      </c>
      <c r="L100" s="742"/>
      <c r="M100" s="742"/>
      <c r="N100" s="742"/>
      <c r="O100" s="742"/>
      <c r="P100" s="742"/>
      <c r="Q100" s="742"/>
      <c r="R100" s="742"/>
      <c r="S100" s="742"/>
      <c r="T100" s="742"/>
      <c r="U100" s="742"/>
      <c r="V100" s="742"/>
      <c r="W100" s="742"/>
      <c r="X100" s="742"/>
      <c r="Y100" s="742"/>
      <c r="Z100" s="742"/>
      <c r="AA100" s="742"/>
      <c r="AB100" s="742"/>
      <c r="AC100" s="742"/>
      <c r="AD100" s="742"/>
      <c r="AE100" s="742"/>
      <c r="AF100" s="742"/>
      <c r="AG100" s="742"/>
      <c r="AH100" s="742"/>
      <c r="AI100" s="742"/>
      <c r="AJ100" s="742"/>
      <c r="AK100" s="742"/>
      <c r="AL100" s="742"/>
      <c r="AM100" s="742"/>
      <c r="AN100" s="742"/>
      <c r="AO100" s="742"/>
      <c r="AP100" s="742"/>
      <c r="AQ100" s="742"/>
      <c r="AR100" s="742"/>
      <c r="AS100" s="742"/>
      <c r="AT100" s="742"/>
      <c r="AU100" s="742"/>
      <c r="AV100" s="742"/>
      <c r="AW100" s="742"/>
      <c r="AX100" s="742"/>
      <c r="AY100" s="742"/>
      <c r="AZ100" s="742"/>
      <c r="BA100" s="742"/>
      <c r="BB100" s="742"/>
      <c r="BC100" s="742"/>
      <c r="BD100" s="742"/>
      <c r="BE100" s="742"/>
      <c r="BF100" s="742"/>
      <c r="BG100" s="742"/>
      <c r="BH100" s="742"/>
      <c r="BI100" s="742"/>
      <c r="BJ100" s="742"/>
      <c r="BK100" s="742"/>
    </row>
    <row r="101" spans="1:63" ht="11.25" customHeight="1">
      <c r="A101" s="614"/>
      <c r="B101" s="662"/>
      <c r="C101" s="671" t="s">
        <v>230</v>
      </c>
      <c r="D101" s="1182">
        <v>18</v>
      </c>
      <c r="E101" s="1174">
        <v>15</v>
      </c>
      <c r="F101" s="1177">
        <v>3</v>
      </c>
      <c r="G101" s="1173">
        <v>18</v>
      </c>
      <c r="H101" s="1184">
        <v>0</v>
      </c>
      <c r="I101" s="1176">
        <v>0</v>
      </c>
      <c r="J101" s="1177">
        <v>0</v>
      </c>
      <c r="K101" s="1178">
        <v>0</v>
      </c>
      <c r="L101" s="742"/>
      <c r="M101" s="742"/>
      <c r="N101" s="742"/>
      <c r="O101" s="742"/>
      <c r="P101" s="742"/>
      <c r="Q101" s="742"/>
      <c r="R101" s="742"/>
      <c r="S101" s="742"/>
      <c r="T101" s="742"/>
      <c r="U101" s="742"/>
      <c r="V101" s="742"/>
      <c r="W101" s="742"/>
      <c r="X101" s="742"/>
      <c r="Y101" s="742"/>
      <c r="Z101" s="742"/>
      <c r="AA101" s="742"/>
      <c r="AB101" s="742"/>
      <c r="AC101" s="742"/>
      <c r="AD101" s="742"/>
      <c r="AE101" s="742"/>
      <c r="AF101" s="742"/>
      <c r="AG101" s="742"/>
      <c r="AH101" s="742"/>
      <c r="AI101" s="742"/>
      <c r="AJ101" s="742"/>
      <c r="AK101" s="742"/>
      <c r="AL101" s="742"/>
      <c r="AM101" s="742"/>
      <c r="AN101" s="742"/>
      <c r="AO101" s="742"/>
      <c r="AP101" s="742"/>
      <c r="AQ101" s="742"/>
      <c r="AR101" s="742"/>
      <c r="AS101" s="742"/>
      <c r="AT101" s="742"/>
      <c r="AU101" s="742"/>
      <c r="AV101" s="742"/>
      <c r="AW101" s="742"/>
      <c r="AX101" s="742"/>
      <c r="AY101" s="742"/>
      <c r="AZ101" s="742"/>
      <c r="BA101" s="742"/>
      <c r="BB101" s="742"/>
      <c r="BC101" s="742"/>
      <c r="BD101" s="742"/>
      <c r="BE101" s="742"/>
      <c r="BF101" s="742"/>
      <c r="BG101" s="742"/>
      <c r="BH101" s="742"/>
      <c r="BI101" s="742"/>
      <c r="BJ101" s="742"/>
      <c r="BK101" s="742"/>
    </row>
    <row r="102" spans="1:63" ht="11.25" customHeight="1">
      <c r="A102" s="614"/>
      <c r="B102" s="662"/>
      <c r="C102" s="671" t="s">
        <v>246</v>
      </c>
      <c r="D102" s="1182">
        <v>0</v>
      </c>
      <c r="E102" s="1174">
        <v>0</v>
      </c>
      <c r="F102" s="1177">
        <v>0</v>
      </c>
      <c r="G102" s="1173">
        <v>0</v>
      </c>
      <c r="H102" s="1184">
        <v>0</v>
      </c>
      <c r="I102" s="1176">
        <v>0</v>
      </c>
      <c r="J102" s="1177">
        <v>0</v>
      </c>
      <c r="K102" s="1178">
        <v>0</v>
      </c>
      <c r="L102" s="742"/>
      <c r="M102" s="742"/>
      <c r="N102" s="742"/>
      <c r="O102" s="742"/>
      <c r="P102" s="742"/>
      <c r="Q102" s="742"/>
      <c r="R102" s="742"/>
      <c r="S102" s="742"/>
      <c r="T102" s="742"/>
      <c r="U102" s="742"/>
      <c r="V102" s="742"/>
      <c r="W102" s="742"/>
      <c r="X102" s="742"/>
      <c r="Y102" s="742"/>
      <c r="Z102" s="742"/>
      <c r="AA102" s="742"/>
      <c r="AB102" s="742"/>
      <c r="AC102" s="742"/>
      <c r="AD102" s="742"/>
      <c r="AE102" s="742"/>
      <c r="AF102" s="742"/>
      <c r="AG102" s="742"/>
      <c r="AH102" s="742"/>
      <c r="AI102" s="742"/>
      <c r="AJ102" s="742"/>
      <c r="AK102" s="742"/>
      <c r="AL102" s="742"/>
      <c r="AM102" s="742"/>
      <c r="AN102" s="742"/>
      <c r="AO102" s="742"/>
      <c r="AP102" s="742"/>
      <c r="AQ102" s="742"/>
      <c r="AR102" s="742"/>
      <c r="AS102" s="742"/>
      <c r="AT102" s="742"/>
      <c r="AU102" s="742"/>
      <c r="AV102" s="742"/>
      <c r="AW102" s="742"/>
      <c r="AX102" s="742"/>
      <c r="AY102" s="742"/>
      <c r="AZ102" s="742"/>
      <c r="BA102" s="742"/>
      <c r="BB102" s="742"/>
      <c r="BC102" s="742"/>
      <c r="BD102" s="742"/>
      <c r="BE102" s="742"/>
      <c r="BF102" s="742"/>
      <c r="BG102" s="742"/>
      <c r="BH102" s="742"/>
      <c r="BI102" s="742"/>
      <c r="BJ102" s="742"/>
      <c r="BK102" s="742"/>
    </row>
    <row r="103" spans="1:63" ht="11.25" customHeight="1">
      <c r="A103" s="614"/>
      <c r="B103" s="662"/>
      <c r="C103" s="671" t="s">
        <v>247</v>
      </c>
      <c r="D103" s="1183">
        <v>27</v>
      </c>
      <c r="E103" s="1179">
        <v>27</v>
      </c>
      <c r="F103" s="1177">
        <v>0</v>
      </c>
      <c r="G103" s="1176">
        <v>18</v>
      </c>
      <c r="H103" s="1184">
        <v>6</v>
      </c>
      <c r="I103" s="1176">
        <v>6</v>
      </c>
      <c r="J103" s="1177">
        <v>0</v>
      </c>
      <c r="K103" s="1178">
        <v>6</v>
      </c>
      <c r="L103" s="742"/>
      <c r="M103" s="742"/>
      <c r="N103" s="742"/>
      <c r="O103" s="742"/>
      <c r="P103" s="742"/>
      <c r="Q103" s="742"/>
      <c r="R103" s="742"/>
      <c r="S103" s="742"/>
      <c r="T103" s="742"/>
      <c r="U103" s="742"/>
      <c r="V103" s="742"/>
      <c r="W103" s="742"/>
      <c r="X103" s="742"/>
      <c r="Y103" s="742"/>
      <c r="Z103" s="742"/>
      <c r="AA103" s="742"/>
      <c r="AB103" s="742"/>
      <c r="AC103" s="742"/>
      <c r="AD103" s="742"/>
      <c r="AE103" s="742"/>
      <c r="AF103" s="742"/>
      <c r="AG103" s="742"/>
      <c r="AH103" s="742"/>
      <c r="AI103" s="742"/>
      <c r="AJ103" s="742"/>
      <c r="AK103" s="742"/>
      <c r="AL103" s="742"/>
      <c r="AM103" s="742"/>
      <c r="AN103" s="742"/>
      <c r="AO103" s="742"/>
      <c r="AP103" s="742"/>
      <c r="AQ103" s="742"/>
      <c r="AR103" s="742"/>
      <c r="AS103" s="742"/>
      <c r="AT103" s="742"/>
      <c r="AU103" s="742"/>
      <c r="AV103" s="742"/>
      <c r="AW103" s="742"/>
      <c r="AX103" s="742"/>
      <c r="AY103" s="742"/>
      <c r="AZ103" s="742"/>
      <c r="BA103" s="742"/>
      <c r="BB103" s="742"/>
      <c r="BC103" s="742"/>
      <c r="BD103" s="742"/>
      <c r="BE103" s="742"/>
      <c r="BF103" s="742"/>
      <c r="BG103" s="742"/>
      <c r="BH103" s="742"/>
      <c r="BI103" s="742"/>
      <c r="BJ103" s="742"/>
      <c r="BK103" s="742"/>
    </row>
    <row r="104" spans="1:63" ht="11.25" customHeight="1">
      <c r="A104" s="614"/>
      <c r="B104" s="662"/>
      <c r="C104" s="671" t="s">
        <v>187</v>
      </c>
      <c r="D104" s="1182">
        <v>18</v>
      </c>
      <c r="E104" s="1174">
        <v>18</v>
      </c>
      <c r="F104" s="1175">
        <v>0</v>
      </c>
      <c r="G104" s="1173">
        <v>18</v>
      </c>
      <c r="H104" s="1184">
        <v>3</v>
      </c>
      <c r="I104" s="1176">
        <v>3</v>
      </c>
      <c r="J104" s="1177">
        <v>0</v>
      </c>
      <c r="K104" s="1178">
        <v>0</v>
      </c>
      <c r="L104" s="742"/>
      <c r="M104" s="742"/>
      <c r="N104" s="742"/>
      <c r="O104" s="742"/>
      <c r="P104" s="742"/>
      <c r="Q104" s="742"/>
      <c r="R104" s="742"/>
      <c r="S104" s="742"/>
      <c r="T104" s="742"/>
      <c r="U104" s="742"/>
      <c r="V104" s="742"/>
      <c r="W104" s="742"/>
      <c r="X104" s="742"/>
      <c r="Y104" s="742"/>
      <c r="Z104" s="742"/>
      <c r="AA104" s="742"/>
      <c r="AB104" s="742"/>
      <c r="AC104" s="742"/>
      <c r="AD104" s="742"/>
      <c r="AE104" s="742"/>
      <c r="AF104" s="742"/>
      <c r="AG104" s="742"/>
      <c r="AH104" s="742"/>
      <c r="AI104" s="742"/>
      <c r="AJ104" s="742"/>
      <c r="AK104" s="742"/>
      <c r="AL104" s="742"/>
      <c r="AM104" s="742"/>
      <c r="AN104" s="742"/>
      <c r="AO104" s="742"/>
      <c r="AP104" s="742"/>
      <c r="AQ104" s="742"/>
      <c r="AR104" s="742"/>
      <c r="AS104" s="742"/>
      <c r="AT104" s="742"/>
      <c r="AU104" s="742"/>
      <c r="AV104" s="742"/>
      <c r="AW104" s="742"/>
      <c r="AX104" s="742"/>
      <c r="AY104" s="742"/>
      <c r="AZ104" s="742"/>
      <c r="BA104" s="742"/>
      <c r="BB104" s="742"/>
      <c r="BC104" s="742"/>
      <c r="BD104" s="742"/>
      <c r="BE104" s="742"/>
      <c r="BF104" s="742"/>
      <c r="BG104" s="742"/>
      <c r="BH104" s="742"/>
      <c r="BI104" s="742"/>
      <c r="BJ104" s="742"/>
      <c r="BK104" s="742"/>
    </row>
    <row r="105" spans="1:63" ht="11.25" customHeight="1">
      <c r="A105" s="614"/>
      <c r="B105" s="662"/>
      <c r="C105" s="671" t="s">
        <v>265</v>
      </c>
      <c r="D105" s="1183">
        <v>0</v>
      </c>
      <c r="E105" s="1179">
        <v>0</v>
      </c>
      <c r="F105" s="1177">
        <v>0</v>
      </c>
      <c r="G105" s="1177">
        <v>0</v>
      </c>
      <c r="H105" s="1184">
        <v>0</v>
      </c>
      <c r="I105" s="1176">
        <v>0</v>
      </c>
      <c r="J105" s="1177">
        <v>0</v>
      </c>
      <c r="K105" s="1178">
        <v>0</v>
      </c>
      <c r="L105" s="742"/>
      <c r="M105" s="742"/>
      <c r="N105" s="742"/>
      <c r="O105" s="742"/>
      <c r="P105" s="742"/>
      <c r="Q105" s="742"/>
      <c r="R105" s="742"/>
      <c r="S105" s="742"/>
      <c r="T105" s="742"/>
      <c r="U105" s="742"/>
      <c r="V105" s="742"/>
      <c r="W105" s="742"/>
      <c r="X105" s="742"/>
      <c r="Y105" s="742"/>
      <c r="Z105" s="742"/>
      <c r="AA105" s="742"/>
      <c r="AB105" s="742"/>
      <c r="AC105" s="742"/>
      <c r="AD105" s="742"/>
      <c r="AE105" s="742"/>
      <c r="AF105" s="742"/>
      <c r="AG105" s="742"/>
      <c r="AH105" s="742"/>
      <c r="AI105" s="742"/>
      <c r="AJ105" s="742"/>
      <c r="AK105" s="742"/>
      <c r="AL105" s="742"/>
      <c r="AM105" s="742"/>
      <c r="AN105" s="742"/>
      <c r="AO105" s="742"/>
      <c r="AP105" s="742"/>
      <c r="AQ105" s="742"/>
      <c r="AR105" s="742"/>
      <c r="AS105" s="742"/>
      <c r="AT105" s="742"/>
      <c r="AU105" s="742"/>
      <c r="AV105" s="742"/>
      <c r="AW105" s="742"/>
      <c r="AX105" s="742"/>
      <c r="AY105" s="742"/>
      <c r="AZ105" s="742"/>
      <c r="BA105" s="742"/>
      <c r="BB105" s="742"/>
      <c r="BC105" s="742"/>
      <c r="BD105" s="742"/>
      <c r="BE105" s="742"/>
      <c r="BF105" s="742"/>
      <c r="BG105" s="742"/>
      <c r="BH105" s="742"/>
      <c r="BI105" s="742"/>
      <c r="BJ105" s="742"/>
      <c r="BK105" s="742"/>
    </row>
    <row r="106" spans="1:63" ht="11.25" customHeight="1">
      <c r="A106" s="614"/>
      <c r="B106" s="662"/>
      <c r="C106" s="672" t="s">
        <v>262</v>
      </c>
      <c r="D106" s="1182">
        <v>51</v>
      </c>
      <c r="E106" s="1174">
        <v>51</v>
      </c>
      <c r="F106" s="1177">
        <v>0</v>
      </c>
      <c r="G106" s="1173">
        <v>36</v>
      </c>
      <c r="H106" s="1184">
        <v>3</v>
      </c>
      <c r="I106" s="1176">
        <v>3</v>
      </c>
      <c r="J106" s="1177">
        <v>0</v>
      </c>
      <c r="K106" s="1178">
        <v>3</v>
      </c>
      <c r="L106" s="742"/>
      <c r="M106" s="742"/>
      <c r="N106" s="742"/>
      <c r="O106" s="742"/>
      <c r="P106" s="742"/>
      <c r="Q106" s="742"/>
      <c r="R106" s="742"/>
      <c r="S106" s="742"/>
      <c r="T106" s="742"/>
      <c r="U106" s="742"/>
      <c r="V106" s="742"/>
      <c r="W106" s="742"/>
      <c r="X106" s="742"/>
      <c r="Y106" s="742"/>
      <c r="Z106" s="742"/>
      <c r="AA106" s="742"/>
      <c r="AB106" s="742"/>
      <c r="AC106" s="742"/>
      <c r="AD106" s="742"/>
      <c r="AE106" s="742"/>
      <c r="AF106" s="742"/>
      <c r="AG106" s="742"/>
      <c r="AH106" s="742"/>
      <c r="AI106" s="742"/>
      <c r="AJ106" s="742"/>
      <c r="AK106" s="742"/>
      <c r="AL106" s="742"/>
      <c r="AM106" s="742"/>
      <c r="AN106" s="742"/>
      <c r="AO106" s="742"/>
      <c r="AP106" s="742"/>
      <c r="AQ106" s="742"/>
      <c r="AR106" s="742"/>
      <c r="AS106" s="742"/>
      <c r="AT106" s="742"/>
      <c r="AU106" s="742"/>
      <c r="AV106" s="742"/>
      <c r="AW106" s="742"/>
      <c r="AX106" s="742"/>
      <c r="AY106" s="742"/>
      <c r="AZ106" s="742"/>
      <c r="BA106" s="742"/>
      <c r="BB106" s="742"/>
      <c r="BC106" s="742"/>
      <c r="BD106" s="742"/>
      <c r="BE106" s="742"/>
      <c r="BF106" s="742"/>
      <c r="BG106" s="742"/>
      <c r="BH106" s="742"/>
      <c r="BI106" s="742"/>
      <c r="BJ106" s="742"/>
      <c r="BK106" s="742"/>
    </row>
    <row r="107" spans="1:63" ht="11.25" customHeight="1">
      <c r="A107" s="614"/>
      <c r="B107" s="662"/>
      <c r="C107" s="672" t="s">
        <v>244</v>
      </c>
      <c r="D107" s="1182">
        <v>12</v>
      </c>
      <c r="E107" s="1174">
        <v>6</v>
      </c>
      <c r="F107" s="1175">
        <v>6</v>
      </c>
      <c r="G107" s="1173">
        <v>12</v>
      </c>
      <c r="H107" s="1184">
        <v>0</v>
      </c>
      <c r="I107" s="1176">
        <v>0</v>
      </c>
      <c r="J107" s="1177">
        <v>0</v>
      </c>
      <c r="K107" s="1178">
        <v>0</v>
      </c>
      <c r="L107" s="742"/>
      <c r="M107" s="742"/>
      <c r="N107" s="742"/>
      <c r="O107" s="742"/>
      <c r="P107" s="742"/>
      <c r="Q107" s="742"/>
      <c r="R107" s="742"/>
      <c r="S107" s="742"/>
      <c r="T107" s="742"/>
      <c r="U107" s="742"/>
      <c r="V107" s="742"/>
      <c r="W107" s="742"/>
      <c r="X107" s="742"/>
      <c r="Y107" s="742"/>
      <c r="Z107" s="742"/>
      <c r="AA107" s="742"/>
      <c r="AB107" s="742"/>
      <c r="AC107" s="742"/>
      <c r="AD107" s="742"/>
      <c r="AE107" s="742"/>
      <c r="AF107" s="742"/>
      <c r="AG107" s="742"/>
      <c r="AH107" s="742"/>
      <c r="AI107" s="742"/>
      <c r="AJ107" s="742"/>
      <c r="AK107" s="742"/>
      <c r="AL107" s="742"/>
      <c r="AM107" s="742"/>
      <c r="AN107" s="742"/>
      <c r="AO107" s="742"/>
      <c r="AP107" s="742"/>
      <c r="AQ107" s="742"/>
      <c r="AR107" s="742"/>
      <c r="AS107" s="742"/>
      <c r="AT107" s="742"/>
      <c r="AU107" s="742"/>
      <c r="AV107" s="742"/>
      <c r="AW107" s="742"/>
      <c r="AX107" s="742"/>
      <c r="AY107" s="742"/>
      <c r="AZ107" s="742"/>
      <c r="BA107" s="742"/>
      <c r="BB107" s="742"/>
      <c r="BC107" s="742"/>
      <c r="BD107" s="742"/>
      <c r="BE107" s="742"/>
      <c r="BF107" s="742"/>
      <c r="BG107" s="742"/>
      <c r="BH107" s="742"/>
      <c r="BI107" s="742"/>
      <c r="BJ107" s="742"/>
      <c r="BK107" s="742"/>
    </row>
    <row r="108" spans="1:63" ht="11.25" customHeight="1">
      <c r="A108" s="614"/>
      <c r="B108" s="662"/>
      <c r="C108" s="672" t="s">
        <v>263</v>
      </c>
      <c r="D108" s="1182">
        <v>9</v>
      </c>
      <c r="E108" s="1174">
        <v>9</v>
      </c>
      <c r="F108" s="1175">
        <v>0</v>
      </c>
      <c r="G108" s="1173">
        <v>9</v>
      </c>
      <c r="H108" s="1184">
        <v>0</v>
      </c>
      <c r="I108" s="1176">
        <v>0</v>
      </c>
      <c r="J108" s="1177">
        <v>0</v>
      </c>
      <c r="K108" s="1178">
        <v>0</v>
      </c>
      <c r="L108" s="742"/>
      <c r="M108" s="742"/>
      <c r="N108" s="742"/>
      <c r="O108" s="742"/>
      <c r="P108" s="742"/>
      <c r="Q108" s="742"/>
      <c r="R108" s="742"/>
      <c r="S108" s="742"/>
      <c r="T108" s="742"/>
      <c r="U108" s="742"/>
      <c r="V108" s="742"/>
      <c r="W108" s="742"/>
      <c r="X108" s="742"/>
      <c r="Y108" s="742"/>
      <c r="Z108" s="742"/>
      <c r="AA108" s="742"/>
      <c r="AB108" s="742"/>
      <c r="AC108" s="742"/>
      <c r="AD108" s="742"/>
      <c r="AE108" s="742"/>
      <c r="AF108" s="742"/>
      <c r="AG108" s="742"/>
      <c r="AH108" s="742"/>
      <c r="AI108" s="742"/>
      <c r="AJ108" s="742"/>
      <c r="AK108" s="742"/>
      <c r="AL108" s="742"/>
      <c r="AM108" s="742"/>
      <c r="AN108" s="742"/>
      <c r="AO108" s="742"/>
      <c r="AP108" s="742"/>
      <c r="AQ108" s="742"/>
      <c r="AR108" s="742"/>
      <c r="AS108" s="742"/>
      <c r="AT108" s="742"/>
      <c r="AU108" s="742"/>
      <c r="AV108" s="742"/>
      <c r="AW108" s="742"/>
      <c r="AX108" s="742"/>
      <c r="AY108" s="742"/>
      <c r="AZ108" s="742"/>
      <c r="BA108" s="742"/>
      <c r="BB108" s="742"/>
      <c r="BC108" s="742"/>
      <c r="BD108" s="742"/>
      <c r="BE108" s="742"/>
      <c r="BF108" s="742"/>
      <c r="BG108" s="742"/>
      <c r="BH108" s="742"/>
      <c r="BI108" s="742"/>
      <c r="BJ108" s="742"/>
      <c r="BK108" s="742"/>
    </row>
    <row r="109" spans="1:63" ht="11.25" customHeight="1">
      <c r="A109" s="614"/>
      <c r="B109" s="662"/>
      <c r="C109" s="749" t="s">
        <v>233</v>
      </c>
      <c r="D109" s="1182">
        <v>36</v>
      </c>
      <c r="E109" s="1174">
        <v>18</v>
      </c>
      <c r="F109" s="1175">
        <v>21</v>
      </c>
      <c r="G109" s="1173">
        <v>30</v>
      </c>
      <c r="H109" s="1184">
        <v>3</v>
      </c>
      <c r="I109" s="1176">
        <v>0</v>
      </c>
      <c r="J109" s="1177">
        <v>3</v>
      </c>
      <c r="K109" s="1178">
        <v>0</v>
      </c>
      <c r="L109" s="742"/>
      <c r="M109" s="742"/>
      <c r="N109" s="742"/>
      <c r="O109" s="742"/>
      <c r="P109" s="742"/>
      <c r="Q109" s="742"/>
      <c r="R109" s="742"/>
      <c r="S109" s="742"/>
      <c r="T109" s="742"/>
      <c r="U109" s="742"/>
      <c r="V109" s="742"/>
      <c r="W109" s="742"/>
      <c r="X109" s="742"/>
      <c r="Y109" s="742"/>
      <c r="Z109" s="742"/>
      <c r="AA109" s="742"/>
      <c r="AB109" s="742"/>
      <c r="AC109" s="742"/>
      <c r="AD109" s="742"/>
      <c r="AE109" s="742"/>
      <c r="AF109" s="742"/>
      <c r="AG109" s="742"/>
      <c r="AH109" s="742"/>
      <c r="AI109" s="742"/>
      <c r="AJ109" s="742"/>
      <c r="AK109" s="742"/>
      <c r="AL109" s="742"/>
      <c r="AM109" s="742"/>
      <c r="AN109" s="742"/>
      <c r="AO109" s="742"/>
      <c r="AP109" s="742"/>
      <c r="AQ109" s="742"/>
      <c r="AR109" s="742"/>
      <c r="AS109" s="742"/>
      <c r="AT109" s="742"/>
      <c r="AU109" s="742"/>
      <c r="AV109" s="742"/>
      <c r="AW109" s="742"/>
      <c r="AX109" s="742"/>
      <c r="AY109" s="742"/>
      <c r="AZ109" s="742"/>
      <c r="BA109" s="742"/>
      <c r="BB109" s="742"/>
      <c r="BC109" s="742"/>
      <c r="BD109" s="742"/>
      <c r="BE109" s="742"/>
      <c r="BF109" s="742"/>
      <c r="BG109" s="742"/>
      <c r="BH109" s="742"/>
      <c r="BI109" s="742"/>
      <c r="BJ109" s="742"/>
      <c r="BK109" s="742"/>
    </row>
    <row r="110" spans="1:63" ht="11.25" customHeight="1">
      <c r="A110" s="614"/>
      <c r="B110" s="662"/>
      <c r="C110" s="672" t="s">
        <v>235</v>
      </c>
      <c r="D110" s="1182">
        <v>18</v>
      </c>
      <c r="E110" s="1174">
        <v>15</v>
      </c>
      <c r="F110" s="1175">
        <v>3</v>
      </c>
      <c r="G110" s="1173">
        <v>15</v>
      </c>
      <c r="H110" s="1184">
        <v>0</v>
      </c>
      <c r="I110" s="1176">
        <v>0</v>
      </c>
      <c r="J110" s="1177">
        <v>0</v>
      </c>
      <c r="K110" s="1178">
        <v>0</v>
      </c>
      <c r="L110" s="742"/>
      <c r="M110" s="742"/>
      <c r="N110" s="742"/>
      <c r="O110" s="742"/>
      <c r="P110" s="742"/>
      <c r="Q110" s="742"/>
      <c r="R110" s="742"/>
      <c r="S110" s="742"/>
      <c r="T110" s="742"/>
      <c r="U110" s="742"/>
      <c r="V110" s="742"/>
      <c r="W110" s="742"/>
      <c r="X110" s="742"/>
      <c r="Y110" s="742"/>
      <c r="Z110" s="742"/>
      <c r="AA110" s="742"/>
      <c r="AB110" s="742"/>
      <c r="AC110" s="742"/>
      <c r="AD110" s="742"/>
      <c r="AE110" s="742"/>
      <c r="AF110" s="742"/>
      <c r="AG110" s="742"/>
      <c r="AH110" s="742"/>
      <c r="AI110" s="742"/>
      <c r="AJ110" s="742"/>
      <c r="AK110" s="742"/>
      <c r="AL110" s="742"/>
      <c r="AM110" s="742"/>
      <c r="AN110" s="742"/>
      <c r="AO110" s="742"/>
      <c r="AP110" s="742"/>
      <c r="AQ110" s="742"/>
      <c r="AR110" s="742"/>
      <c r="AS110" s="742"/>
      <c r="AT110" s="742"/>
      <c r="AU110" s="742"/>
      <c r="AV110" s="742"/>
      <c r="AW110" s="742"/>
      <c r="AX110" s="742"/>
      <c r="AY110" s="742"/>
      <c r="AZ110" s="742"/>
      <c r="BA110" s="742"/>
      <c r="BB110" s="742"/>
      <c r="BC110" s="742"/>
      <c r="BD110" s="742"/>
      <c r="BE110" s="742"/>
      <c r="BF110" s="742"/>
      <c r="BG110" s="742"/>
      <c r="BH110" s="742"/>
      <c r="BI110" s="742"/>
      <c r="BJ110" s="742"/>
      <c r="BK110" s="742"/>
    </row>
    <row r="111" spans="1:63" ht="11.25" customHeight="1">
      <c r="A111" s="614"/>
      <c r="B111" s="662"/>
      <c r="C111" s="749" t="s">
        <v>236</v>
      </c>
      <c r="D111" s="1182">
        <v>0</v>
      </c>
      <c r="E111" s="1174">
        <v>0</v>
      </c>
      <c r="F111" s="1175">
        <v>0</v>
      </c>
      <c r="G111" s="1173">
        <v>0</v>
      </c>
      <c r="H111" s="1184">
        <v>0</v>
      </c>
      <c r="I111" s="1176">
        <v>0</v>
      </c>
      <c r="J111" s="1177">
        <v>0</v>
      </c>
      <c r="K111" s="1178">
        <v>0</v>
      </c>
      <c r="L111" s="742"/>
      <c r="M111" s="742"/>
      <c r="N111" s="742"/>
      <c r="O111" s="742"/>
      <c r="P111" s="742"/>
      <c r="Q111" s="742"/>
      <c r="R111" s="742"/>
      <c r="S111" s="742"/>
      <c r="T111" s="742"/>
      <c r="U111" s="742"/>
      <c r="V111" s="742"/>
      <c r="W111" s="742"/>
      <c r="X111" s="742"/>
      <c r="Y111" s="742"/>
      <c r="Z111" s="742"/>
      <c r="AA111" s="742"/>
      <c r="AB111" s="742"/>
      <c r="AC111" s="742"/>
      <c r="AD111" s="742"/>
      <c r="AE111" s="742"/>
      <c r="AF111" s="742"/>
      <c r="AG111" s="742"/>
      <c r="AH111" s="742"/>
      <c r="AI111" s="742"/>
      <c r="AJ111" s="742"/>
      <c r="AK111" s="742"/>
      <c r="AL111" s="742"/>
      <c r="AM111" s="742"/>
      <c r="AN111" s="742"/>
      <c r="AO111" s="742"/>
      <c r="AP111" s="742"/>
      <c r="AQ111" s="742"/>
      <c r="AR111" s="742"/>
      <c r="AS111" s="742"/>
      <c r="AT111" s="742"/>
      <c r="AU111" s="742"/>
      <c r="AV111" s="742"/>
      <c r="AW111" s="742"/>
      <c r="AX111" s="742"/>
      <c r="AY111" s="742"/>
      <c r="AZ111" s="742"/>
      <c r="BA111" s="742"/>
      <c r="BB111" s="742"/>
      <c r="BC111" s="742"/>
      <c r="BD111" s="742"/>
      <c r="BE111" s="742"/>
      <c r="BF111" s="742"/>
      <c r="BG111" s="742"/>
      <c r="BH111" s="742"/>
      <c r="BI111" s="742"/>
      <c r="BJ111" s="742"/>
      <c r="BK111" s="742"/>
    </row>
    <row r="112" spans="1:63" ht="11.25" customHeight="1">
      <c r="A112" s="614"/>
      <c r="B112" s="662"/>
      <c r="C112" s="672" t="s">
        <v>260</v>
      </c>
      <c r="D112" s="1182">
        <v>90</v>
      </c>
      <c r="E112" s="1174">
        <v>84</v>
      </c>
      <c r="F112" s="1175">
        <v>6</v>
      </c>
      <c r="G112" s="1173">
        <v>84</v>
      </c>
      <c r="H112" s="1184">
        <v>6</v>
      </c>
      <c r="I112" s="1176">
        <v>6</v>
      </c>
      <c r="J112" s="1177">
        <v>0</v>
      </c>
      <c r="K112" s="1178">
        <v>6</v>
      </c>
      <c r="L112" s="742"/>
      <c r="M112" s="742"/>
      <c r="N112" s="742"/>
      <c r="O112" s="742"/>
      <c r="P112" s="742"/>
      <c r="Q112" s="742"/>
      <c r="R112" s="742"/>
      <c r="S112" s="742"/>
      <c r="T112" s="742"/>
      <c r="U112" s="742"/>
      <c r="V112" s="742"/>
      <c r="W112" s="742"/>
      <c r="X112" s="742"/>
      <c r="Y112" s="742"/>
      <c r="Z112" s="742"/>
      <c r="AA112" s="742"/>
      <c r="AB112" s="742"/>
      <c r="AC112" s="742"/>
      <c r="AD112" s="742"/>
      <c r="AE112" s="742"/>
      <c r="AF112" s="742"/>
      <c r="AG112" s="742"/>
      <c r="AH112" s="742"/>
      <c r="AI112" s="742"/>
      <c r="AJ112" s="742"/>
      <c r="AK112" s="742"/>
      <c r="AL112" s="742"/>
      <c r="AM112" s="742"/>
      <c r="AN112" s="742"/>
      <c r="AO112" s="742"/>
      <c r="AP112" s="742"/>
      <c r="AQ112" s="742"/>
      <c r="AR112" s="742"/>
      <c r="AS112" s="742"/>
      <c r="AT112" s="742"/>
      <c r="AU112" s="742"/>
      <c r="AV112" s="742"/>
      <c r="AW112" s="742"/>
      <c r="AX112" s="742"/>
      <c r="AY112" s="742"/>
      <c r="AZ112" s="742"/>
      <c r="BA112" s="742"/>
      <c r="BB112" s="742"/>
      <c r="BC112" s="742"/>
      <c r="BD112" s="742"/>
      <c r="BE112" s="742"/>
      <c r="BF112" s="742"/>
      <c r="BG112" s="742"/>
      <c r="BH112" s="742"/>
      <c r="BI112" s="742"/>
      <c r="BJ112" s="742"/>
      <c r="BK112" s="742"/>
    </row>
    <row r="113" spans="1:63" ht="11.25" customHeight="1">
      <c r="A113" s="614"/>
      <c r="B113" s="662"/>
      <c r="C113" s="672" t="s">
        <v>238</v>
      </c>
      <c r="D113" s="1182">
        <v>3</v>
      </c>
      <c r="E113" s="1176">
        <v>3</v>
      </c>
      <c r="F113" s="1175">
        <v>0</v>
      </c>
      <c r="G113" s="1173">
        <v>3</v>
      </c>
      <c r="H113" s="1184">
        <v>0</v>
      </c>
      <c r="I113" s="1176">
        <v>0</v>
      </c>
      <c r="J113" s="1177">
        <v>0</v>
      </c>
      <c r="K113" s="1178">
        <v>0</v>
      </c>
      <c r="L113" s="742"/>
      <c r="M113" s="742"/>
      <c r="N113" s="742"/>
      <c r="O113" s="742"/>
      <c r="P113" s="742"/>
      <c r="Q113" s="742"/>
      <c r="R113" s="742"/>
      <c r="S113" s="742"/>
      <c r="T113" s="742"/>
      <c r="U113" s="742"/>
      <c r="V113" s="742"/>
      <c r="W113" s="742"/>
      <c r="X113" s="742"/>
      <c r="Y113" s="742"/>
      <c r="Z113" s="742"/>
      <c r="AA113" s="742"/>
      <c r="AB113" s="742"/>
      <c r="AC113" s="742"/>
      <c r="AD113" s="742"/>
      <c r="AE113" s="742"/>
      <c r="AF113" s="742"/>
      <c r="AG113" s="742"/>
      <c r="AH113" s="742"/>
      <c r="AI113" s="742"/>
      <c r="AJ113" s="742"/>
      <c r="AK113" s="742"/>
      <c r="AL113" s="742"/>
      <c r="AM113" s="742"/>
      <c r="AN113" s="742"/>
      <c r="AO113" s="742"/>
      <c r="AP113" s="742"/>
      <c r="AQ113" s="742"/>
      <c r="AR113" s="742"/>
      <c r="AS113" s="742"/>
      <c r="AT113" s="742"/>
      <c r="AU113" s="742"/>
      <c r="AV113" s="742"/>
      <c r="AW113" s="742"/>
      <c r="AX113" s="742"/>
      <c r="AY113" s="742"/>
      <c r="AZ113" s="742"/>
      <c r="BA113" s="742"/>
      <c r="BB113" s="742"/>
      <c r="BC113" s="742"/>
      <c r="BD113" s="742"/>
      <c r="BE113" s="742"/>
      <c r="BF113" s="742"/>
      <c r="BG113" s="742"/>
      <c r="BH113" s="742"/>
      <c r="BI113" s="742"/>
      <c r="BJ113" s="742"/>
      <c r="BK113" s="742"/>
    </row>
    <row r="114" spans="1:63" ht="11.25" customHeight="1">
      <c r="A114" s="614"/>
      <c r="B114" s="662"/>
      <c r="C114" s="672" t="s">
        <v>234</v>
      </c>
      <c r="D114" s="1182">
        <v>0</v>
      </c>
      <c r="E114" s="1174">
        <v>0</v>
      </c>
      <c r="F114" s="1175">
        <v>0</v>
      </c>
      <c r="G114" s="1173">
        <v>0</v>
      </c>
      <c r="H114" s="1184">
        <v>0</v>
      </c>
      <c r="I114" s="1176">
        <v>0</v>
      </c>
      <c r="J114" s="1177">
        <v>0</v>
      </c>
      <c r="K114" s="1178">
        <v>0</v>
      </c>
      <c r="L114" s="742"/>
      <c r="M114" s="742"/>
      <c r="N114" s="742"/>
      <c r="O114" s="742"/>
      <c r="P114" s="742"/>
      <c r="Q114" s="742"/>
      <c r="R114" s="742"/>
      <c r="S114" s="742"/>
      <c r="T114" s="742"/>
      <c r="U114" s="742"/>
      <c r="V114" s="742"/>
      <c r="W114" s="742"/>
      <c r="X114" s="742"/>
      <c r="Y114" s="742"/>
      <c r="Z114" s="742"/>
      <c r="AA114" s="742"/>
      <c r="AB114" s="742"/>
      <c r="AC114" s="742"/>
      <c r="AD114" s="742"/>
      <c r="AE114" s="742"/>
      <c r="AF114" s="742"/>
      <c r="AG114" s="742"/>
      <c r="AH114" s="742"/>
      <c r="AI114" s="742"/>
      <c r="AJ114" s="742"/>
      <c r="AK114" s="742"/>
      <c r="AL114" s="742"/>
      <c r="AM114" s="742"/>
      <c r="AN114" s="742"/>
      <c r="AO114" s="742"/>
      <c r="AP114" s="742"/>
      <c r="AQ114" s="742"/>
      <c r="AR114" s="742"/>
      <c r="AS114" s="742"/>
      <c r="AT114" s="742"/>
      <c r="AU114" s="742"/>
      <c r="AV114" s="742"/>
      <c r="AW114" s="742"/>
      <c r="AX114" s="742"/>
      <c r="AY114" s="742"/>
      <c r="AZ114" s="742"/>
      <c r="BA114" s="742"/>
      <c r="BB114" s="742"/>
      <c r="BC114" s="742"/>
      <c r="BD114" s="742"/>
      <c r="BE114" s="742"/>
      <c r="BF114" s="742"/>
      <c r="BG114" s="742"/>
      <c r="BH114" s="742"/>
      <c r="BI114" s="742"/>
      <c r="BJ114" s="742"/>
      <c r="BK114" s="742"/>
    </row>
    <row r="115" spans="1:63" ht="11.25" customHeight="1">
      <c r="A115" s="614"/>
      <c r="B115" s="662"/>
      <c r="C115" s="672" t="s">
        <v>242</v>
      </c>
      <c r="D115" s="1182">
        <v>21</v>
      </c>
      <c r="E115" s="1174">
        <v>18</v>
      </c>
      <c r="F115" s="1177">
        <v>3</v>
      </c>
      <c r="G115" s="1173">
        <v>21</v>
      </c>
      <c r="H115" s="1184">
        <v>15</v>
      </c>
      <c r="I115" s="1176">
        <v>15</v>
      </c>
      <c r="J115" s="1177">
        <v>3</v>
      </c>
      <c r="K115" s="1178">
        <v>15</v>
      </c>
      <c r="L115" s="742"/>
      <c r="M115" s="742"/>
      <c r="N115" s="742"/>
      <c r="O115" s="742"/>
      <c r="P115" s="742"/>
      <c r="Q115" s="742"/>
      <c r="R115" s="742"/>
      <c r="S115" s="742"/>
      <c r="T115" s="742"/>
      <c r="U115" s="742"/>
      <c r="V115" s="742"/>
      <c r="W115" s="742"/>
      <c r="X115" s="742"/>
      <c r="Y115" s="742"/>
      <c r="Z115" s="742"/>
      <c r="AA115" s="742"/>
      <c r="AB115" s="742"/>
      <c r="AC115" s="742"/>
      <c r="AD115" s="742"/>
      <c r="AE115" s="742"/>
      <c r="AF115" s="742"/>
      <c r="AG115" s="742"/>
      <c r="AH115" s="742"/>
      <c r="AI115" s="742"/>
      <c r="AJ115" s="742"/>
      <c r="AK115" s="742"/>
      <c r="AL115" s="742"/>
      <c r="AM115" s="742"/>
      <c r="AN115" s="742"/>
      <c r="AO115" s="742"/>
      <c r="AP115" s="742"/>
      <c r="AQ115" s="742"/>
      <c r="AR115" s="742"/>
      <c r="AS115" s="742"/>
      <c r="AT115" s="742"/>
      <c r="AU115" s="742"/>
      <c r="AV115" s="742"/>
      <c r="AW115" s="742"/>
      <c r="AX115" s="742"/>
      <c r="AY115" s="742"/>
      <c r="AZ115" s="742"/>
      <c r="BA115" s="742"/>
      <c r="BB115" s="742"/>
      <c r="BC115" s="742"/>
      <c r="BD115" s="742"/>
      <c r="BE115" s="742"/>
      <c r="BF115" s="742"/>
      <c r="BG115" s="742"/>
      <c r="BH115" s="742"/>
      <c r="BI115" s="742"/>
      <c r="BJ115" s="742"/>
      <c r="BK115" s="742"/>
    </row>
    <row r="116" spans="1:63" ht="11.25" customHeight="1">
      <c r="A116" s="614"/>
      <c r="B116" s="662"/>
      <c r="C116" s="749" t="s">
        <v>243</v>
      </c>
      <c r="D116" s="1182">
        <v>24</v>
      </c>
      <c r="E116" s="1174">
        <v>3</v>
      </c>
      <c r="F116" s="1175">
        <v>18</v>
      </c>
      <c r="G116" s="1173">
        <v>24</v>
      </c>
      <c r="H116" s="1184">
        <v>0</v>
      </c>
      <c r="I116" s="1176">
        <v>0</v>
      </c>
      <c r="J116" s="1177">
        <v>0</v>
      </c>
      <c r="K116" s="1178">
        <v>0</v>
      </c>
      <c r="L116" s="742"/>
      <c r="M116" s="742"/>
      <c r="N116" s="742"/>
      <c r="O116" s="742"/>
      <c r="P116" s="742"/>
      <c r="Q116" s="742"/>
      <c r="R116" s="742"/>
      <c r="S116" s="742"/>
      <c r="T116" s="742"/>
      <c r="U116" s="742"/>
      <c r="V116" s="742"/>
      <c r="W116" s="742"/>
      <c r="X116" s="742"/>
      <c r="Y116" s="742"/>
      <c r="Z116" s="742"/>
      <c r="AA116" s="742"/>
      <c r="AB116" s="742"/>
      <c r="AC116" s="742"/>
      <c r="AD116" s="742"/>
      <c r="AE116" s="742"/>
      <c r="AF116" s="742"/>
      <c r="AG116" s="742"/>
      <c r="AH116" s="742"/>
      <c r="AI116" s="742"/>
      <c r="AJ116" s="742"/>
      <c r="AK116" s="742"/>
      <c r="AL116" s="742"/>
      <c r="AM116" s="742"/>
      <c r="AN116" s="742"/>
      <c r="AO116" s="742"/>
      <c r="AP116" s="742"/>
      <c r="AQ116" s="742"/>
      <c r="AR116" s="742"/>
      <c r="AS116" s="742"/>
      <c r="AT116" s="742"/>
      <c r="AU116" s="742"/>
      <c r="AV116" s="742"/>
      <c r="AW116" s="742"/>
      <c r="AX116" s="742"/>
      <c r="AY116" s="742"/>
      <c r="AZ116" s="742"/>
      <c r="BA116" s="742"/>
      <c r="BB116" s="742"/>
      <c r="BC116" s="742"/>
      <c r="BD116" s="742"/>
      <c r="BE116" s="742"/>
      <c r="BF116" s="742"/>
      <c r="BG116" s="742"/>
      <c r="BH116" s="742"/>
      <c r="BI116" s="742"/>
      <c r="BJ116" s="742"/>
      <c r="BK116" s="742"/>
    </row>
    <row r="117" spans="1:63" ht="11.25" customHeight="1">
      <c r="A117" s="614"/>
      <c r="B117" s="662"/>
      <c r="C117" s="749" t="s">
        <v>239</v>
      </c>
      <c r="D117" s="1182">
        <v>36</v>
      </c>
      <c r="E117" s="1176">
        <v>0</v>
      </c>
      <c r="F117" s="1175">
        <v>36</v>
      </c>
      <c r="G117" s="1173">
        <v>33</v>
      </c>
      <c r="H117" s="1184">
        <v>3</v>
      </c>
      <c r="I117" s="1176">
        <v>0</v>
      </c>
      <c r="J117" s="1177">
        <v>3</v>
      </c>
      <c r="K117" s="1178">
        <v>3</v>
      </c>
      <c r="L117" s="742"/>
      <c r="M117" s="742"/>
      <c r="N117" s="742"/>
      <c r="O117" s="742"/>
      <c r="P117" s="742"/>
      <c r="Q117" s="742"/>
      <c r="R117" s="742"/>
      <c r="S117" s="742"/>
      <c r="T117" s="742"/>
      <c r="U117" s="742"/>
      <c r="V117" s="742"/>
      <c r="W117" s="742"/>
      <c r="X117" s="742"/>
      <c r="Y117" s="742"/>
      <c r="Z117" s="742"/>
      <c r="AA117" s="742"/>
      <c r="AB117" s="742"/>
      <c r="AC117" s="742"/>
      <c r="AD117" s="742"/>
      <c r="AE117" s="742"/>
      <c r="AF117" s="742"/>
      <c r="AG117" s="742"/>
      <c r="AH117" s="742"/>
      <c r="AI117" s="742"/>
      <c r="AJ117" s="742"/>
      <c r="AK117" s="742"/>
      <c r="AL117" s="742"/>
      <c r="AM117" s="742"/>
      <c r="AN117" s="742"/>
      <c r="AO117" s="742"/>
      <c r="AP117" s="742"/>
      <c r="AQ117" s="742"/>
      <c r="AR117" s="742"/>
      <c r="AS117" s="742"/>
      <c r="AT117" s="742"/>
      <c r="AU117" s="742"/>
      <c r="AV117" s="742"/>
      <c r="AW117" s="742"/>
      <c r="AX117" s="742"/>
      <c r="AY117" s="742"/>
      <c r="AZ117" s="742"/>
      <c r="BA117" s="742"/>
      <c r="BB117" s="742"/>
      <c r="BC117" s="742"/>
      <c r="BD117" s="742"/>
      <c r="BE117" s="742"/>
      <c r="BF117" s="742"/>
      <c r="BG117" s="742"/>
      <c r="BH117" s="742"/>
      <c r="BI117" s="742"/>
      <c r="BJ117" s="742"/>
      <c r="BK117" s="742"/>
    </row>
    <row r="118" spans="1:63" ht="3.75" customHeight="1" thickBot="1">
      <c r="A118" s="757"/>
      <c r="B118" s="758"/>
      <c r="C118" s="765"/>
      <c r="D118" s="759"/>
      <c r="E118" s="762"/>
      <c r="F118" s="761"/>
      <c r="G118" s="759"/>
      <c r="H118" s="761"/>
      <c r="I118" s="760"/>
      <c r="J118" s="762"/>
      <c r="K118" s="763"/>
      <c r="L118" s="742"/>
      <c r="M118" s="742"/>
      <c r="N118" s="742"/>
      <c r="O118" s="742"/>
      <c r="P118" s="742"/>
      <c r="Q118" s="742"/>
      <c r="R118" s="742"/>
      <c r="S118" s="742"/>
      <c r="T118" s="742"/>
      <c r="U118" s="742"/>
      <c r="V118" s="742"/>
      <c r="W118" s="742"/>
      <c r="X118" s="742"/>
      <c r="Y118" s="742"/>
      <c r="Z118" s="742"/>
      <c r="AA118" s="742"/>
      <c r="AB118" s="742"/>
      <c r="AC118" s="742"/>
      <c r="AD118" s="742"/>
      <c r="AE118" s="742"/>
      <c r="AF118" s="742"/>
      <c r="AG118" s="742"/>
      <c r="AH118" s="742"/>
      <c r="AI118" s="742"/>
      <c r="AJ118" s="742"/>
      <c r="AK118" s="742"/>
      <c r="AL118" s="742"/>
      <c r="AM118" s="742"/>
      <c r="AN118" s="742"/>
      <c r="AO118" s="742"/>
      <c r="AP118" s="742"/>
      <c r="AQ118" s="742"/>
      <c r="AR118" s="742"/>
      <c r="AS118" s="742"/>
      <c r="AT118" s="742"/>
      <c r="AU118" s="742"/>
      <c r="AV118" s="742"/>
      <c r="AW118" s="742"/>
      <c r="AX118" s="742"/>
      <c r="AY118" s="742"/>
      <c r="AZ118" s="742"/>
      <c r="BA118" s="742"/>
      <c r="BB118" s="742"/>
      <c r="BC118" s="742"/>
      <c r="BD118" s="742"/>
      <c r="BE118" s="742"/>
      <c r="BF118" s="742"/>
      <c r="BG118" s="742"/>
      <c r="BH118" s="742"/>
      <c r="BI118" s="742"/>
      <c r="BJ118" s="742"/>
      <c r="BK118" s="742"/>
    </row>
    <row r="119" spans="1:63" ht="12.75" customHeight="1">
      <c r="A119" s="767"/>
      <c r="B119" s="768"/>
      <c r="C119" s="653"/>
      <c r="D119" s="676"/>
      <c r="E119" s="526"/>
      <c r="F119" s="526"/>
      <c r="G119" s="676"/>
      <c r="H119" s="526"/>
      <c r="I119" s="526"/>
      <c r="J119" s="526"/>
      <c r="K119" s="526"/>
      <c r="L119" s="742"/>
      <c r="M119" s="742"/>
      <c r="N119" s="742"/>
      <c r="O119" s="742"/>
      <c r="P119" s="742"/>
      <c r="Q119" s="742"/>
      <c r="R119" s="742"/>
      <c r="S119" s="742"/>
      <c r="T119" s="742"/>
      <c r="U119" s="742"/>
      <c r="V119" s="742"/>
      <c r="W119" s="742"/>
      <c r="X119" s="742"/>
      <c r="Y119" s="742"/>
      <c r="Z119" s="742"/>
      <c r="AA119" s="742"/>
      <c r="AB119" s="742"/>
      <c r="AC119" s="742"/>
      <c r="AD119" s="742"/>
      <c r="AE119" s="742"/>
      <c r="AF119" s="742"/>
      <c r="AG119" s="742"/>
      <c r="AH119" s="742"/>
      <c r="AI119" s="742"/>
      <c r="AJ119" s="742"/>
      <c r="AK119" s="742"/>
      <c r="AL119" s="742"/>
      <c r="AM119" s="742"/>
      <c r="AN119" s="742"/>
      <c r="AO119" s="742"/>
      <c r="AP119" s="742"/>
      <c r="AQ119" s="742"/>
      <c r="AR119" s="742"/>
      <c r="AS119" s="742"/>
      <c r="AT119" s="742"/>
      <c r="AU119" s="742"/>
      <c r="AV119" s="742"/>
      <c r="AW119" s="742"/>
      <c r="AX119" s="742"/>
      <c r="AY119" s="742"/>
      <c r="AZ119" s="742"/>
      <c r="BA119" s="742"/>
      <c r="BB119" s="742"/>
      <c r="BC119" s="742"/>
      <c r="BD119" s="742"/>
      <c r="BE119" s="742"/>
      <c r="BF119" s="742"/>
      <c r="BG119" s="742"/>
      <c r="BH119" s="742"/>
      <c r="BI119" s="742"/>
      <c r="BJ119" s="742"/>
      <c r="BK119" s="742"/>
    </row>
    <row r="120" spans="1:63" ht="12.75" customHeight="1">
      <c r="A120" s="2173" t="s">
        <v>215</v>
      </c>
      <c r="B120" s="2173"/>
      <c r="C120" s="2173"/>
      <c r="D120" s="2174"/>
      <c r="E120" s="1017" t="s">
        <v>268</v>
      </c>
      <c r="F120" s="987"/>
      <c r="G120" s="987"/>
      <c r="H120" s="987"/>
      <c r="K120" s="534"/>
      <c r="L120" s="742"/>
      <c r="M120" s="742"/>
      <c r="N120" s="742"/>
      <c r="O120" s="742"/>
      <c r="P120" s="742"/>
      <c r="Q120" s="742"/>
      <c r="R120" s="742"/>
      <c r="S120" s="742"/>
      <c r="T120" s="742"/>
      <c r="U120" s="742"/>
      <c r="V120" s="742"/>
      <c r="W120" s="742"/>
      <c r="X120" s="742"/>
      <c r="Y120" s="742"/>
      <c r="Z120" s="742"/>
      <c r="AA120" s="742"/>
      <c r="AB120" s="742"/>
      <c r="AC120" s="742"/>
      <c r="AD120" s="742"/>
      <c r="AE120" s="742"/>
      <c r="AF120" s="742"/>
      <c r="AG120" s="742"/>
      <c r="AH120" s="742"/>
      <c r="AI120" s="742"/>
      <c r="AJ120" s="742"/>
      <c r="AK120" s="742"/>
      <c r="AL120" s="742"/>
      <c r="AM120" s="742"/>
      <c r="AN120" s="742"/>
      <c r="AO120" s="742"/>
      <c r="AP120" s="742"/>
      <c r="AQ120" s="742"/>
      <c r="AR120" s="742"/>
      <c r="AS120" s="742"/>
      <c r="AT120" s="742"/>
      <c r="AU120" s="742"/>
      <c r="AV120" s="742"/>
      <c r="AW120" s="742"/>
      <c r="AX120" s="742"/>
      <c r="AY120" s="742"/>
      <c r="AZ120" s="742"/>
      <c r="BA120" s="742"/>
      <c r="BB120" s="742"/>
      <c r="BC120" s="742"/>
      <c r="BD120" s="742"/>
      <c r="BE120" s="742"/>
      <c r="BF120" s="742"/>
      <c r="BG120" s="742"/>
      <c r="BH120" s="742"/>
      <c r="BI120" s="742"/>
      <c r="BJ120" s="742"/>
      <c r="BK120" s="742"/>
    </row>
    <row r="121" spans="1:63" ht="12.75" customHeight="1">
      <c r="A121" s="653"/>
      <c r="B121" s="653"/>
      <c r="C121" s="645"/>
      <c r="D121" s="645"/>
      <c r="E121" s="645"/>
      <c r="F121" s="645"/>
      <c r="G121" s="645"/>
      <c r="K121" s="743"/>
      <c r="L121" s="742"/>
      <c r="M121" s="742"/>
      <c r="N121" s="742"/>
      <c r="O121" s="742"/>
      <c r="P121" s="742"/>
      <c r="Q121" s="742"/>
      <c r="R121" s="742"/>
      <c r="S121" s="742"/>
      <c r="T121" s="742"/>
      <c r="U121" s="742"/>
      <c r="V121" s="742"/>
      <c r="W121" s="742"/>
      <c r="X121" s="742"/>
      <c r="Y121" s="742"/>
      <c r="Z121" s="742"/>
      <c r="AA121" s="742"/>
      <c r="AB121" s="742"/>
      <c r="AC121" s="742"/>
      <c r="AD121" s="742"/>
      <c r="AE121" s="742"/>
      <c r="AF121" s="742"/>
      <c r="AG121" s="742"/>
      <c r="AH121" s="742"/>
      <c r="AI121" s="742"/>
      <c r="AJ121" s="742"/>
      <c r="AK121" s="742"/>
      <c r="AL121" s="742"/>
      <c r="AM121" s="742"/>
      <c r="AN121" s="742"/>
      <c r="AO121" s="742"/>
      <c r="AP121" s="742"/>
      <c r="AQ121" s="742"/>
      <c r="AR121" s="742"/>
      <c r="AS121" s="742"/>
      <c r="AT121" s="742"/>
      <c r="AU121" s="742"/>
      <c r="AV121" s="742"/>
      <c r="AW121" s="742"/>
      <c r="AX121" s="742"/>
      <c r="AY121" s="742"/>
      <c r="AZ121" s="742"/>
      <c r="BA121" s="742"/>
      <c r="BB121" s="742"/>
      <c r="BC121" s="742"/>
      <c r="BD121" s="742"/>
      <c r="BE121" s="742"/>
      <c r="BF121" s="742"/>
      <c r="BG121" s="742"/>
      <c r="BH121" s="742"/>
      <c r="BI121" s="742"/>
      <c r="BJ121" s="742"/>
      <c r="BK121" s="742"/>
    </row>
    <row r="122" spans="1:63" ht="12.75" customHeight="1">
      <c r="A122" s="2175" t="s">
        <v>371</v>
      </c>
      <c r="B122" s="2175"/>
      <c r="C122" s="2175"/>
      <c r="D122" s="2175"/>
      <c r="E122" s="2175"/>
      <c r="F122" s="2175"/>
      <c r="G122" s="2175"/>
      <c r="H122" s="2175"/>
      <c r="I122" s="2175"/>
      <c r="J122" s="2175"/>
      <c r="K122" s="2175"/>
      <c r="L122" s="742"/>
      <c r="M122" s="742"/>
      <c r="N122" s="742"/>
      <c r="O122" s="742"/>
      <c r="P122" s="742"/>
      <c r="Q122" s="742"/>
      <c r="R122" s="742"/>
      <c r="S122" s="742"/>
      <c r="T122" s="742"/>
      <c r="U122" s="742"/>
      <c r="V122" s="742"/>
      <c r="W122" s="742"/>
      <c r="X122" s="742"/>
      <c r="Y122" s="742"/>
      <c r="Z122" s="742"/>
      <c r="AA122" s="742"/>
      <c r="AB122" s="742"/>
      <c r="AC122" s="742"/>
      <c r="AD122" s="742"/>
      <c r="AE122" s="742"/>
      <c r="AF122" s="742"/>
      <c r="AG122" s="742"/>
      <c r="AH122" s="742"/>
      <c r="AI122" s="742"/>
      <c r="AJ122" s="742"/>
      <c r="AK122" s="742"/>
      <c r="AL122" s="742"/>
      <c r="AM122" s="742"/>
      <c r="AN122" s="742"/>
      <c r="AO122" s="742"/>
      <c r="AP122" s="742"/>
      <c r="AQ122" s="742"/>
      <c r="AR122" s="742"/>
      <c r="AS122" s="742"/>
      <c r="AT122" s="742"/>
      <c r="AU122" s="742"/>
      <c r="AV122" s="742"/>
      <c r="AW122" s="742"/>
      <c r="AX122" s="742"/>
      <c r="AY122" s="742"/>
      <c r="AZ122" s="742"/>
      <c r="BA122" s="742"/>
      <c r="BB122" s="742"/>
      <c r="BC122" s="742"/>
      <c r="BD122" s="742"/>
      <c r="BE122" s="742"/>
      <c r="BF122" s="742"/>
      <c r="BG122" s="742"/>
      <c r="BH122" s="742"/>
      <c r="BI122" s="742"/>
      <c r="BJ122" s="742"/>
      <c r="BK122" s="742"/>
    </row>
    <row r="123" spans="1:63" ht="11.25" customHeight="1" thickBot="1">
      <c r="A123" s="1035"/>
      <c r="B123" s="1035"/>
      <c r="C123" s="1035"/>
      <c r="D123" s="1035"/>
      <c r="E123" s="1035"/>
      <c r="F123" s="1035"/>
      <c r="G123" s="1035"/>
      <c r="H123" s="1035"/>
      <c r="I123" s="1035"/>
      <c r="J123" s="1035"/>
      <c r="K123" s="1035"/>
      <c r="L123" s="742"/>
      <c r="M123" s="742"/>
      <c r="N123" s="742"/>
      <c r="O123" s="742"/>
      <c r="P123" s="742"/>
      <c r="Q123" s="742"/>
      <c r="R123" s="742"/>
      <c r="S123" s="742"/>
      <c r="T123" s="742"/>
      <c r="U123" s="742"/>
      <c r="V123" s="742"/>
      <c r="W123" s="742"/>
      <c r="X123" s="742"/>
      <c r="Y123" s="742"/>
      <c r="Z123" s="742"/>
      <c r="AA123" s="742"/>
      <c r="AB123" s="742"/>
      <c r="AC123" s="742"/>
      <c r="AD123" s="742"/>
      <c r="AE123" s="742"/>
      <c r="AF123" s="742"/>
      <c r="AG123" s="742"/>
      <c r="AH123" s="742"/>
      <c r="AI123" s="742"/>
      <c r="AJ123" s="742"/>
      <c r="AK123" s="742"/>
      <c r="AL123" s="742"/>
      <c r="AM123" s="742"/>
      <c r="AN123" s="742"/>
      <c r="AO123" s="742"/>
      <c r="AP123" s="742"/>
      <c r="AQ123" s="742"/>
      <c r="AR123" s="742"/>
      <c r="AS123" s="742"/>
      <c r="AT123" s="742"/>
      <c r="AU123" s="742"/>
      <c r="AV123" s="742"/>
      <c r="AW123" s="742"/>
      <c r="AX123" s="742"/>
      <c r="AY123" s="742"/>
      <c r="AZ123" s="742"/>
      <c r="BA123" s="742"/>
      <c r="BB123" s="742"/>
      <c r="BC123" s="742"/>
      <c r="BD123" s="742"/>
      <c r="BE123" s="742"/>
      <c r="BF123" s="742"/>
      <c r="BG123" s="742"/>
      <c r="BH123" s="742"/>
      <c r="BI123" s="742"/>
      <c r="BJ123" s="742"/>
      <c r="BK123" s="742"/>
    </row>
    <row r="124" spans="1:63" ht="15.75" customHeight="1">
      <c r="A124" s="2160" t="s">
        <v>43</v>
      </c>
      <c r="B124" s="2161"/>
      <c r="C124" s="744"/>
      <c r="D124" s="2164" t="s">
        <v>250</v>
      </c>
      <c r="E124" s="2165"/>
      <c r="F124" s="2165"/>
      <c r="G124" s="2165"/>
      <c r="H124" s="2165"/>
      <c r="I124" s="2165"/>
      <c r="J124" s="2165"/>
      <c r="K124" s="2166"/>
      <c r="L124" s="742"/>
      <c r="M124" s="742"/>
      <c r="N124" s="742"/>
      <c r="O124" s="742"/>
      <c r="P124" s="742"/>
      <c r="Q124" s="742"/>
      <c r="R124" s="742"/>
      <c r="S124" s="742"/>
      <c r="T124" s="742"/>
      <c r="U124" s="742"/>
      <c r="V124" s="742"/>
      <c r="W124" s="742"/>
      <c r="X124" s="742"/>
      <c r="Y124" s="742"/>
      <c r="Z124" s="742"/>
      <c r="AA124" s="742"/>
      <c r="AB124" s="742"/>
      <c r="AC124" s="742"/>
      <c r="AD124" s="742"/>
      <c r="AE124" s="742"/>
      <c r="AF124" s="742"/>
      <c r="AG124" s="742"/>
      <c r="AH124" s="742"/>
      <c r="AI124" s="742"/>
      <c r="AJ124" s="742"/>
      <c r="AK124" s="742"/>
      <c r="AL124" s="742"/>
      <c r="AM124" s="742"/>
      <c r="AN124" s="742"/>
      <c r="AO124" s="742"/>
      <c r="AP124" s="742"/>
      <c r="AQ124" s="742"/>
      <c r="AR124" s="742"/>
      <c r="AS124" s="742"/>
      <c r="AT124" s="742"/>
      <c r="AU124" s="742"/>
      <c r="AV124" s="742"/>
      <c r="AW124" s="742"/>
      <c r="AX124" s="742"/>
      <c r="AY124" s="742"/>
      <c r="AZ124" s="742"/>
      <c r="BA124" s="742"/>
      <c r="BB124" s="742"/>
      <c r="BC124" s="742"/>
      <c r="BD124" s="742"/>
      <c r="BE124" s="742"/>
      <c r="BF124" s="742"/>
      <c r="BG124" s="742"/>
      <c r="BH124" s="742"/>
      <c r="BI124" s="742"/>
      <c r="BJ124" s="742"/>
      <c r="BK124" s="742"/>
    </row>
    <row r="125" spans="1:63" ht="11.25" customHeight="1">
      <c r="A125" s="2033"/>
      <c r="B125" s="2162"/>
      <c r="C125" s="745"/>
      <c r="D125" s="1162"/>
      <c r="E125" s="1162"/>
      <c r="F125" s="1163"/>
      <c r="G125" s="1164"/>
      <c r="H125" s="2167" t="s">
        <v>194</v>
      </c>
      <c r="I125" s="2168"/>
      <c r="J125" s="2168"/>
      <c r="K125" s="2169"/>
      <c r="L125" s="742"/>
      <c r="M125" s="742"/>
      <c r="N125" s="742"/>
      <c r="O125" s="742"/>
      <c r="P125" s="742"/>
      <c r="Q125" s="742"/>
      <c r="R125" s="742"/>
      <c r="S125" s="742"/>
      <c r="T125" s="742"/>
      <c r="U125" s="742"/>
      <c r="V125" s="742"/>
      <c r="W125" s="742"/>
      <c r="X125" s="742"/>
      <c r="Y125" s="742"/>
      <c r="Z125" s="742"/>
      <c r="AA125" s="742"/>
      <c r="AB125" s="742"/>
      <c r="AC125" s="742"/>
      <c r="AD125" s="742"/>
      <c r="AE125" s="742"/>
      <c r="AF125" s="742"/>
      <c r="AG125" s="742"/>
      <c r="AH125" s="742"/>
      <c r="AI125" s="742"/>
      <c r="AJ125" s="742"/>
      <c r="AK125" s="742"/>
      <c r="AL125" s="742"/>
      <c r="AM125" s="742"/>
      <c r="AN125" s="742"/>
      <c r="AO125" s="742"/>
      <c r="AP125" s="742"/>
      <c r="AQ125" s="742"/>
      <c r="AR125" s="742"/>
      <c r="AS125" s="742"/>
      <c r="AT125" s="742"/>
      <c r="AU125" s="742"/>
      <c r="AV125" s="742"/>
      <c r="AW125" s="742"/>
      <c r="AX125" s="742"/>
      <c r="AY125" s="742"/>
      <c r="AZ125" s="742"/>
      <c r="BA125" s="742"/>
      <c r="BB125" s="742"/>
      <c r="BC125" s="742"/>
      <c r="BD125" s="742"/>
      <c r="BE125" s="742"/>
      <c r="BF125" s="742"/>
      <c r="BG125" s="742"/>
      <c r="BH125" s="742"/>
      <c r="BI125" s="742"/>
      <c r="BJ125" s="742"/>
      <c r="BK125" s="742"/>
    </row>
    <row r="126" spans="1:63" ht="11.25" customHeight="1">
      <c r="A126" s="2033"/>
      <c r="B126" s="2162"/>
      <c r="C126" s="745"/>
      <c r="D126" s="1165"/>
      <c r="E126" s="1165"/>
      <c r="F126" s="1166"/>
      <c r="G126" s="795" t="s">
        <v>5</v>
      </c>
      <c r="H126" s="2170" t="s">
        <v>211</v>
      </c>
      <c r="I126" s="2171"/>
      <c r="J126" s="2171"/>
      <c r="K126" s="2172"/>
      <c r="L126" s="742"/>
      <c r="M126" s="742"/>
      <c r="N126" s="742"/>
      <c r="O126" s="742"/>
      <c r="P126" s="742"/>
      <c r="Q126" s="742"/>
      <c r="R126" s="742"/>
      <c r="S126" s="742"/>
      <c r="T126" s="742"/>
      <c r="U126" s="742"/>
      <c r="V126" s="742"/>
      <c r="W126" s="742"/>
      <c r="X126" s="742"/>
      <c r="Y126" s="742"/>
      <c r="Z126" s="742"/>
      <c r="AA126" s="742"/>
      <c r="AB126" s="742"/>
      <c r="AC126" s="742"/>
      <c r="AD126" s="742"/>
      <c r="AE126" s="742"/>
      <c r="AF126" s="742"/>
      <c r="AG126" s="742"/>
      <c r="AH126" s="742"/>
      <c r="AI126" s="742"/>
      <c r="AJ126" s="742"/>
      <c r="AK126" s="742"/>
      <c r="AL126" s="742"/>
      <c r="AM126" s="742"/>
      <c r="AN126" s="742"/>
      <c r="AO126" s="742"/>
      <c r="AP126" s="742"/>
      <c r="AQ126" s="742"/>
      <c r="AR126" s="742"/>
      <c r="AS126" s="742"/>
      <c r="AT126" s="742"/>
      <c r="AU126" s="742"/>
      <c r="AV126" s="742"/>
      <c r="AW126" s="742"/>
      <c r="AX126" s="742"/>
      <c r="AY126" s="742"/>
      <c r="AZ126" s="742"/>
      <c r="BA126" s="742"/>
      <c r="BB126" s="742"/>
      <c r="BC126" s="742"/>
      <c r="BD126" s="742"/>
      <c r="BE126" s="742"/>
      <c r="BF126" s="742"/>
      <c r="BG126" s="742"/>
      <c r="BH126" s="742"/>
      <c r="BI126" s="742"/>
      <c r="BJ126" s="742"/>
      <c r="BK126" s="742"/>
    </row>
    <row r="127" spans="1:63" ht="11.25" customHeight="1">
      <c r="A127" s="2033"/>
      <c r="B127" s="2162"/>
      <c r="C127" s="1159"/>
      <c r="D127" s="1166"/>
      <c r="E127" s="1167"/>
      <c r="F127" s="1165"/>
      <c r="G127" s="795" t="s">
        <v>192</v>
      </c>
      <c r="H127" s="1168"/>
      <c r="I127" s="960"/>
      <c r="J127" s="960"/>
      <c r="K127" s="799" t="s">
        <v>192</v>
      </c>
      <c r="L127" s="742"/>
      <c r="M127" s="742"/>
      <c r="N127" s="742"/>
      <c r="O127" s="742"/>
      <c r="P127" s="742"/>
      <c r="Q127" s="742"/>
      <c r="R127" s="742"/>
      <c r="S127" s="742"/>
      <c r="T127" s="742"/>
      <c r="U127" s="742"/>
      <c r="V127" s="742"/>
      <c r="W127" s="742"/>
      <c r="X127" s="742"/>
      <c r="Y127" s="742"/>
      <c r="Z127" s="742"/>
      <c r="AA127" s="742"/>
      <c r="AB127" s="742"/>
      <c r="AC127" s="742"/>
      <c r="AD127" s="742"/>
      <c r="AE127" s="742"/>
      <c r="AF127" s="742"/>
      <c r="AG127" s="742"/>
      <c r="AH127" s="742"/>
      <c r="AI127" s="742"/>
      <c r="AJ127" s="742"/>
      <c r="AK127" s="742"/>
      <c r="AL127" s="742"/>
      <c r="AM127" s="742"/>
      <c r="AN127" s="742"/>
      <c r="AO127" s="742"/>
      <c r="AP127" s="742"/>
      <c r="AQ127" s="742"/>
      <c r="AR127" s="742"/>
      <c r="AS127" s="742"/>
      <c r="AT127" s="742"/>
      <c r="AU127" s="742"/>
      <c r="AV127" s="742"/>
      <c r="AW127" s="742"/>
      <c r="AX127" s="742"/>
      <c r="AY127" s="742"/>
      <c r="AZ127" s="742"/>
      <c r="BA127" s="742"/>
      <c r="BB127" s="742"/>
      <c r="BC127" s="742"/>
      <c r="BD127" s="742"/>
      <c r="BE127" s="742"/>
      <c r="BF127" s="742"/>
      <c r="BG127" s="742"/>
      <c r="BH127" s="742"/>
      <c r="BI127" s="742"/>
      <c r="BJ127" s="742"/>
      <c r="BK127" s="742"/>
    </row>
    <row r="128" spans="1:63" ht="11.25" customHeight="1">
      <c r="A128" s="2033"/>
      <c r="B128" s="2162"/>
      <c r="C128" s="1158" t="s">
        <v>191</v>
      </c>
      <c r="D128" s="1169" t="s">
        <v>19</v>
      </c>
      <c r="E128" s="782" t="s">
        <v>17</v>
      </c>
      <c r="F128" s="782" t="s">
        <v>18</v>
      </c>
      <c r="G128" s="795" t="s">
        <v>190</v>
      </c>
      <c r="H128" s="1169" t="s">
        <v>19</v>
      </c>
      <c r="I128" s="782" t="s">
        <v>17</v>
      </c>
      <c r="J128" s="782" t="s">
        <v>18</v>
      </c>
      <c r="K128" s="799" t="s">
        <v>190</v>
      </c>
      <c r="L128" s="742"/>
      <c r="M128" s="742"/>
      <c r="N128" s="742"/>
      <c r="O128" s="742"/>
      <c r="P128" s="742"/>
      <c r="Q128" s="742"/>
      <c r="R128" s="742"/>
      <c r="S128" s="742"/>
      <c r="T128" s="742"/>
      <c r="U128" s="742"/>
      <c r="V128" s="742"/>
      <c r="W128" s="742"/>
      <c r="X128" s="742"/>
      <c r="Y128" s="742"/>
      <c r="Z128" s="742"/>
      <c r="AA128" s="742"/>
      <c r="AB128" s="742"/>
      <c r="AC128" s="742"/>
      <c r="AD128" s="742"/>
      <c r="AE128" s="742"/>
      <c r="AF128" s="742"/>
      <c r="AG128" s="742"/>
      <c r="AH128" s="742"/>
      <c r="AI128" s="742"/>
      <c r="AJ128" s="742"/>
      <c r="AK128" s="742"/>
      <c r="AL128" s="742"/>
      <c r="AM128" s="742"/>
      <c r="AN128" s="742"/>
      <c r="AO128" s="742"/>
      <c r="AP128" s="742"/>
      <c r="AQ128" s="742"/>
      <c r="AR128" s="742"/>
      <c r="AS128" s="742"/>
      <c r="AT128" s="742"/>
      <c r="AU128" s="742"/>
      <c r="AV128" s="742"/>
      <c r="AW128" s="742"/>
      <c r="AX128" s="742"/>
      <c r="AY128" s="742"/>
      <c r="AZ128" s="742"/>
      <c r="BA128" s="742"/>
      <c r="BB128" s="742"/>
      <c r="BC128" s="742"/>
      <c r="BD128" s="742"/>
      <c r="BE128" s="742"/>
      <c r="BF128" s="742"/>
      <c r="BG128" s="742"/>
      <c r="BH128" s="742"/>
      <c r="BI128" s="742"/>
      <c r="BJ128" s="742"/>
      <c r="BK128" s="742"/>
    </row>
    <row r="129" spans="1:63" ht="11.25" customHeight="1">
      <c r="A129" s="2034"/>
      <c r="B129" s="2163"/>
      <c r="C129" s="766"/>
      <c r="D129" s="1171" t="s">
        <v>29</v>
      </c>
      <c r="E129" s="806" t="s">
        <v>28</v>
      </c>
      <c r="F129" s="806" t="s">
        <v>34</v>
      </c>
      <c r="G129" s="1172" t="s">
        <v>189</v>
      </c>
      <c r="H129" s="1171" t="s">
        <v>29</v>
      </c>
      <c r="I129" s="806" t="s">
        <v>28</v>
      </c>
      <c r="J129" s="806" t="s">
        <v>34</v>
      </c>
      <c r="K129" s="1170" t="s">
        <v>343</v>
      </c>
      <c r="L129" s="742"/>
      <c r="M129" s="742"/>
      <c r="N129" s="742"/>
      <c r="O129" s="742"/>
      <c r="P129" s="742"/>
      <c r="Q129" s="742"/>
      <c r="R129" s="742"/>
      <c r="S129" s="742"/>
      <c r="T129" s="742"/>
      <c r="U129" s="742"/>
      <c r="V129" s="742"/>
      <c r="W129" s="742"/>
      <c r="X129" s="742"/>
      <c r="Y129" s="742"/>
      <c r="Z129" s="742"/>
      <c r="AA129" s="742"/>
      <c r="AB129" s="742"/>
      <c r="AC129" s="742"/>
      <c r="AD129" s="742"/>
      <c r="AE129" s="742"/>
      <c r="AF129" s="742"/>
      <c r="AG129" s="742"/>
      <c r="AH129" s="742"/>
      <c r="AI129" s="742"/>
      <c r="AJ129" s="742"/>
      <c r="AK129" s="742"/>
      <c r="AL129" s="742"/>
      <c r="AM129" s="742"/>
      <c r="AN129" s="742"/>
      <c r="AO129" s="742"/>
      <c r="AP129" s="742"/>
      <c r="AQ129" s="742"/>
      <c r="AR129" s="742"/>
      <c r="AS129" s="742"/>
      <c r="AT129" s="742"/>
      <c r="AU129" s="742"/>
      <c r="AV129" s="742"/>
      <c r="AW129" s="742"/>
      <c r="AX129" s="742"/>
      <c r="AY129" s="742"/>
      <c r="AZ129" s="742"/>
      <c r="BA129" s="742"/>
      <c r="BB129" s="742"/>
      <c r="BC129" s="742"/>
      <c r="BD129" s="742"/>
      <c r="BE129" s="742"/>
      <c r="BF129" s="742"/>
      <c r="BG129" s="742"/>
      <c r="BH129" s="742"/>
      <c r="BI129" s="742"/>
      <c r="BJ129" s="742"/>
      <c r="BK129" s="742"/>
    </row>
    <row r="130" spans="1:63" ht="3.75" customHeight="1">
      <c r="A130" s="614"/>
      <c r="B130" s="662"/>
      <c r="C130" s="749"/>
      <c r="D130" s="674"/>
      <c r="E130" s="526"/>
      <c r="F130" s="573"/>
      <c r="G130" s="674"/>
      <c r="H130" s="573"/>
      <c r="I130" s="574"/>
      <c r="J130" s="526"/>
      <c r="K130" s="675"/>
      <c r="L130" s="742"/>
      <c r="M130" s="742"/>
      <c r="N130" s="742"/>
      <c r="O130" s="742"/>
      <c r="P130" s="742"/>
      <c r="Q130" s="742"/>
      <c r="R130" s="742"/>
      <c r="S130" s="742"/>
      <c r="T130" s="742"/>
      <c r="U130" s="742"/>
      <c r="V130" s="742"/>
      <c r="W130" s="742"/>
      <c r="X130" s="742"/>
      <c r="Y130" s="742"/>
      <c r="Z130" s="742"/>
      <c r="AA130" s="742"/>
      <c r="AB130" s="742"/>
      <c r="AC130" s="742"/>
      <c r="AD130" s="742"/>
      <c r="AE130" s="742"/>
      <c r="AF130" s="742"/>
      <c r="AG130" s="742"/>
      <c r="AH130" s="742"/>
      <c r="AI130" s="742"/>
      <c r="AJ130" s="742"/>
      <c r="AK130" s="742"/>
      <c r="AL130" s="742"/>
      <c r="AM130" s="742"/>
      <c r="AN130" s="742"/>
      <c r="AO130" s="742"/>
      <c r="AP130" s="742"/>
      <c r="AQ130" s="742"/>
      <c r="AR130" s="742"/>
      <c r="AS130" s="742"/>
      <c r="AT130" s="742"/>
      <c r="AU130" s="742"/>
      <c r="AV130" s="742"/>
      <c r="AW130" s="742"/>
      <c r="AX130" s="742"/>
      <c r="AY130" s="742"/>
      <c r="AZ130" s="742"/>
      <c r="BA130" s="742"/>
      <c r="BB130" s="742"/>
      <c r="BC130" s="742"/>
      <c r="BD130" s="742"/>
      <c r="BE130" s="742"/>
      <c r="BF130" s="742"/>
      <c r="BG130" s="742"/>
      <c r="BH130" s="742"/>
      <c r="BI130" s="742"/>
      <c r="BJ130" s="742"/>
      <c r="BK130" s="742"/>
    </row>
    <row r="131" spans="1:63" ht="11.25" customHeight="1">
      <c r="A131" s="614" t="s">
        <v>46</v>
      </c>
      <c r="B131" s="662"/>
      <c r="C131" s="749" t="s">
        <v>260</v>
      </c>
      <c r="D131" s="1182">
        <v>12</v>
      </c>
      <c r="E131" s="1174">
        <v>12</v>
      </c>
      <c r="F131" s="1177">
        <v>0</v>
      </c>
      <c r="G131" s="1173">
        <v>12</v>
      </c>
      <c r="H131" s="1184">
        <v>0</v>
      </c>
      <c r="I131" s="1176">
        <v>0</v>
      </c>
      <c r="J131" s="1177">
        <v>0</v>
      </c>
      <c r="K131" s="1178">
        <v>0</v>
      </c>
      <c r="L131" s="742"/>
      <c r="M131" s="742"/>
      <c r="N131" s="742"/>
      <c r="O131" s="742"/>
      <c r="P131" s="742"/>
      <c r="Q131" s="742"/>
      <c r="R131" s="742"/>
      <c r="S131" s="742"/>
      <c r="T131" s="742"/>
      <c r="U131" s="742"/>
      <c r="V131" s="742"/>
      <c r="W131" s="742"/>
      <c r="X131" s="742"/>
      <c r="Y131" s="742"/>
      <c r="Z131" s="742"/>
      <c r="AA131" s="742"/>
      <c r="AB131" s="742"/>
      <c r="AC131" s="742"/>
      <c r="AD131" s="742"/>
      <c r="AE131" s="742"/>
      <c r="AF131" s="742"/>
      <c r="AG131" s="742"/>
      <c r="AH131" s="742"/>
      <c r="AI131" s="742"/>
      <c r="AJ131" s="742"/>
      <c r="AK131" s="742"/>
      <c r="AL131" s="742"/>
      <c r="AM131" s="742"/>
      <c r="AN131" s="742"/>
      <c r="AO131" s="742"/>
      <c r="AP131" s="742"/>
      <c r="AQ131" s="742"/>
      <c r="AR131" s="742"/>
      <c r="AS131" s="742"/>
      <c r="AT131" s="742"/>
      <c r="AU131" s="742"/>
      <c r="AV131" s="742"/>
      <c r="AW131" s="742"/>
      <c r="AX131" s="742"/>
      <c r="AY131" s="742"/>
      <c r="AZ131" s="742"/>
      <c r="BA131" s="742"/>
      <c r="BB131" s="742"/>
      <c r="BC131" s="742"/>
      <c r="BD131" s="742"/>
      <c r="BE131" s="742"/>
      <c r="BF131" s="742"/>
      <c r="BG131" s="742"/>
      <c r="BH131" s="742"/>
      <c r="BI131" s="742"/>
      <c r="BJ131" s="742"/>
      <c r="BK131" s="742"/>
    </row>
    <row r="132" spans="1:63" ht="11.25" customHeight="1">
      <c r="A132" s="614"/>
      <c r="B132" s="662"/>
      <c r="C132" s="749" t="s">
        <v>237</v>
      </c>
      <c r="D132" s="1182">
        <v>3</v>
      </c>
      <c r="E132" s="1174">
        <v>3</v>
      </c>
      <c r="F132" s="1177">
        <v>0</v>
      </c>
      <c r="G132" s="1173">
        <v>3</v>
      </c>
      <c r="H132" s="1184">
        <v>0</v>
      </c>
      <c r="I132" s="1176">
        <v>0</v>
      </c>
      <c r="J132" s="1177">
        <v>0</v>
      </c>
      <c r="K132" s="1178">
        <v>0</v>
      </c>
      <c r="L132" s="742"/>
      <c r="M132" s="742"/>
      <c r="N132" s="742"/>
      <c r="O132" s="742"/>
      <c r="P132" s="742"/>
      <c r="Q132" s="742"/>
      <c r="R132" s="742"/>
      <c r="S132" s="742"/>
      <c r="T132" s="742"/>
      <c r="U132" s="742"/>
      <c r="V132" s="742"/>
      <c r="W132" s="742"/>
      <c r="X132" s="742"/>
      <c r="Y132" s="742"/>
      <c r="Z132" s="742"/>
      <c r="AA132" s="742"/>
      <c r="AB132" s="742"/>
      <c r="AC132" s="742"/>
      <c r="AD132" s="742"/>
      <c r="AE132" s="742"/>
      <c r="AF132" s="742"/>
      <c r="AG132" s="742"/>
      <c r="AH132" s="742"/>
      <c r="AI132" s="742"/>
      <c r="AJ132" s="742"/>
      <c r="AK132" s="742"/>
      <c r="AL132" s="742"/>
      <c r="AM132" s="742"/>
      <c r="AN132" s="742"/>
      <c r="AO132" s="742"/>
      <c r="AP132" s="742"/>
      <c r="AQ132" s="742"/>
      <c r="AR132" s="742"/>
      <c r="AS132" s="742"/>
      <c r="AT132" s="742"/>
      <c r="AU132" s="742"/>
      <c r="AV132" s="742"/>
      <c r="AW132" s="742"/>
      <c r="AX132" s="742"/>
      <c r="AY132" s="742"/>
      <c r="AZ132" s="742"/>
      <c r="BA132" s="742"/>
      <c r="BB132" s="742"/>
      <c r="BC132" s="742"/>
      <c r="BD132" s="742"/>
      <c r="BE132" s="742"/>
      <c r="BF132" s="742"/>
      <c r="BG132" s="742"/>
      <c r="BH132" s="742"/>
      <c r="BI132" s="742"/>
      <c r="BJ132" s="742"/>
      <c r="BK132" s="742"/>
    </row>
    <row r="133" spans="1:63" ht="11.25" customHeight="1">
      <c r="A133" s="1234"/>
      <c r="B133" s="1245"/>
      <c r="C133" s="1236"/>
      <c r="D133" s="1237"/>
      <c r="E133" s="1238"/>
      <c r="F133" s="1243"/>
      <c r="G133" s="1240"/>
      <c r="H133" s="1241"/>
      <c r="I133" s="1242"/>
      <c r="J133" s="1243"/>
      <c r="K133" s="1244"/>
      <c r="L133" s="742"/>
      <c r="M133" s="742"/>
      <c r="N133" s="742"/>
      <c r="O133" s="742"/>
      <c r="P133" s="742"/>
      <c r="Q133" s="742"/>
      <c r="R133" s="742"/>
      <c r="S133" s="742"/>
      <c r="T133" s="742"/>
      <c r="U133" s="742"/>
      <c r="V133" s="742"/>
      <c r="W133" s="742"/>
      <c r="X133" s="742"/>
      <c r="Y133" s="742"/>
      <c r="Z133" s="742"/>
      <c r="AA133" s="742"/>
      <c r="AB133" s="742"/>
      <c r="AC133" s="742"/>
      <c r="AD133" s="742"/>
      <c r="AE133" s="742"/>
      <c r="AF133" s="742"/>
      <c r="AG133" s="742"/>
      <c r="AH133" s="742"/>
      <c r="AI133" s="742"/>
      <c r="AJ133" s="742"/>
      <c r="AK133" s="742"/>
      <c r="AL133" s="742"/>
      <c r="AM133" s="742"/>
      <c r="AN133" s="742"/>
      <c r="AO133" s="742"/>
      <c r="AP133" s="742"/>
      <c r="AQ133" s="742"/>
      <c r="AR133" s="742"/>
      <c r="AS133" s="742"/>
      <c r="AT133" s="742"/>
      <c r="AU133" s="742"/>
      <c r="AV133" s="742"/>
      <c r="AW133" s="742"/>
      <c r="AX133" s="742"/>
      <c r="AY133" s="742"/>
      <c r="AZ133" s="742"/>
      <c r="BA133" s="742"/>
      <c r="BB133" s="742"/>
      <c r="BC133" s="742"/>
      <c r="BD133" s="742"/>
      <c r="BE133" s="742"/>
      <c r="BF133" s="742"/>
      <c r="BG133" s="742"/>
      <c r="BH133" s="742"/>
      <c r="BI133" s="742"/>
      <c r="BJ133" s="742"/>
      <c r="BK133" s="742"/>
    </row>
    <row r="134" spans="1:63" ht="11.25" customHeight="1">
      <c r="A134" s="614" t="s">
        <v>47</v>
      </c>
      <c r="B134" s="662"/>
      <c r="C134" s="672" t="s">
        <v>231</v>
      </c>
      <c r="D134" s="1183">
        <v>57</v>
      </c>
      <c r="E134" s="1179">
        <v>48</v>
      </c>
      <c r="F134" s="1177">
        <v>9</v>
      </c>
      <c r="G134" s="1176">
        <v>39</v>
      </c>
      <c r="H134" s="1184">
        <v>12</v>
      </c>
      <c r="I134" s="1176">
        <v>12</v>
      </c>
      <c r="J134" s="1177">
        <v>0</v>
      </c>
      <c r="K134" s="1178">
        <v>3</v>
      </c>
      <c r="L134" s="742"/>
      <c r="M134" s="742"/>
      <c r="N134" s="742"/>
      <c r="O134" s="742"/>
      <c r="P134" s="742"/>
      <c r="Q134" s="742"/>
      <c r="R134" s="742"/>
      <c r="S134" s="742"/>
      <c r="T134" s="742"/>
      <c r="U134" s="742"/>
      <c r="V134" s="742"/>
      <c r="W134" s="742"/>
      <c r="X134" s="742"/>
      <c r="Y134" s="742"/>
      <c r="Z134" s="742"/>
      <c r="AA134" s="742"/>
      <c r="AB134" s="742"/>
      <c r="AC134" s="742"/>
      <c r="AD134" s="742"/>
      <c r="AE134" s="742"/>
      <c r="AF134" s="742"/>
      <c r="AG134" s="742"/>
      <c r="AH134" s="742"/>
      <c r="AI134" s="742"/>
      <c r="AJ134" s="742"/>
      <c r="AK134" s="742"/>
      <c r="AL134" s="742"/>
      <c r="AM134" s="742"/>
      <c r="AN134" s="742"/>
      <c r="AO134" s="742"/>
      <c r="AP134" s="742"/>
      <c r="AQ134" s="742"/>
      <c r="AR134" s="742"/>
      <c r="AS134" s="742"/>
      <c r="AT134" s="742"/>
      <c r="AU134" s="742"/>
      <c r="AV134" s="742"/>
      <c r="AW134" s="742"/>
      <c r="AX134" s="742"/>
      <c r="AY134" s="742"/>
      <c r="AZ134" s="742"/>
      <c r="BA134" s="742"/>
      <c r="BB134" s="742"/>
      <c r="BC134" s="742"/>
      <c r="BD134" s="742"/>
      <c r="BE134" s="742"/>
      <c r="BF134" s="742"/>
      <c r="BG134" s="742"/>
      <c r="BH134" s="742"/>
      <c r="BI134" s="742"/>
      <c r="BJ134" s="742"/>
      <c r="BK134" s="742"/>
    </row>
    <row r="135" spans="1:63" ht="11.25" customHeight="1">
      <c r="A135" s="614"/>
      <c r="B135" s="662"/>
      <c r="C135" s="673" t="s">
        <v>259</v>
      </c>
      <c r="D135" s="1182">
        <v>15</v>
      </c>
      <c r="E135" s="1174">
        <v>0</v>
      </c>
      <c r="F135" s="1175">
        <v>12</v>
      </c>
      <c r="G135" s="1173">
        <v>6</v>
      </c>
      <c r="H135" s="1184">
        <v>6</v>
      </c>
      <c r="I135" s="1176">
        <v>0</v>
      </c>
      <c r="J135" s="1177">
        <v>6</v>
      </c>
      <c r="K135" s="1178">
        <v>3</v>
      </c>
      <c r="L135" s="742"/>
      <c r="M135" s="742"/>
      <c r="N135" s="742"/>
      <c r="O135" s="742"/>
      <c r="P135" s="742"/>
      <c r="Q135" s="742"/>
      <c r="R135" s="742"/>
      <c r="S135" s="742"/>
      <c r="T135" s="742"/>
      <c r="U135" s="742"/>
      <c r="V135" s="742"/>
      <c r="W135" s="742"/>
      <c r="X135" s="742"/>
      <c r="Y135" s="742"/>
      <c r="Z135" s="742"/>
      <c r="AA135" s="742"/>
      <c r="AB135" s="742"/>
      <c r="AC135" s="742"/>
      <c r="AD135" s="742"/>
      <c r="AE135" s="742"/>
      <c r="AF135" s="742"/>
      <c r="AG135" s="742"/>
      <c r="AH135" s="742"/>
      <c r="AI135" s="742"/>
      <c r="AJ135" s="742"/>
      <c r="AK135" s="742"/>
      <c r="AL135" s="742"/>
      <c r="AM135" s="742"/>
      <c r="AN135" s="742"/>
      <c r="AO135" s="742"/>
      <c r="AP135" s="742"/>
      <c r="AQ135" s="742"/>
      <c r="AR135" s="742"/>
      <c r="AS135" s="742"/>
      <c r="AT135" s="742"/>
      <c r="AU135" s="742"/>
      <c r="AV135" s="742"/>
      <c r="AW135" s="742"/>
      <c r="AX135" s="742"/>
      <c r="AY135" s="742"/>
      <c r="AZ135" s="742"/>
      <c r="BA135" s="742"/>
      <c r="BB135" s="742"/>
      <c r="BC135" s="742"/>
      <c r="BD135" s="742"/>
      <c r="BE135" s="742"/>
      <c r="BF135" s="742"/>
      <c r="BG135" s="742"/>
      <c r="BH135" s="742"/>
      <c r="BI135" s="742"/>
      <c r="BJ135" s="742"/>
      <c r="BK135" s="742"/>
    </row>
    <row r="136" spans="1:63" ht="11.25" customHeight="1">
      <c r="A136" s="614"/>
      <c r="B136" s="662"/>
      <c r="C136" s="673" t="s">
        <v>290</v>
      </c>
      <c r="D136" s="1183">
        <v>0</v>
      </c>
      <c r="E136" s="1179">
        <v>0</v>
      </c>
      <c r="F136" s="1177">
        <v>0</v>
      </c>
      <c r="G136" s="1177">
        <v>0</v>
      </c>
      <c r="H136" s="1184">
        <v>0</v>
      </c>
      <c r="I136" s="1176">
        <v>0</v>
      </c>
      <c r="J136" s="1177">
        <v>0</v>
      </c>
      <c r="K136" s="1178">
        <v>0</v>
      </c>
      <c r="L136" s="742"/>
      <c r="M136" s="742"/>
      <c r="N136" s="742"/>
      <c r="O136" s="742"/>
      <c r="P136" s="742"/>
      <c r="Q136" s="742"/>
      <c r="R136" s="742"/>
      <c r="S136" s="742"/>
      <c r="T136" s="742"/>
      <c r="U136" s="742"/>
      <c r="V136" s="742"/>
      <c r="W136" s="742"/>
      <c r="X136" s="742"/>
      <c r="Y136" s="742"/>
      <c r="Z136" s="742"/>
      <c r="AA136" s="742"/>
      <c r="AB136" s="742"/>
      <c r="AC136" s="742"/>
      <c r="AD136" s="742"/>
      <c r="AE136" s="742"/>
      <c r="AF136" s="742"/>
      <c r="AG136" s="742"/>
      <c r="AH136" s="742"/>
      <c r="AI136" s="742"/>
      <c r="AJ136" s="742"/>
      <c r="AK136" s="742"/>
      <c r="AL136" s="742"/>
      <c r="AM136" s="742"/>
      <c r="AN136" s="742"/>
      <c r="AO136" s="742"/>
      <c r="AP136" s="742"/>
      <c r="AQ136" s="742"/>
      <c r="AR136" s="742"/>
      <c r="AS136" s="742"/>
      <c r="AT136" s="742"/>
      <c r="AU136" s="742"/>
      <c r="AV136" s="742"/>
      <c r="AW136" s="742"/>
      <c r="AX136" s="742"/>
      <c r="AY136" s="742"/>
      <c r="AZ136" s="742"/>
      <c r="BA136" s="742"/>
      <c r="BB136" s="742"/>
      <c r="BC136" s="742"/>
      <c r="BD136" s="742"/>
      <c r="BE136" s="742"/>
      <c r="BF136" s="742"/>
      <c r="BG136" s="742"/>
      <c r="BH136" s="742"/>
      <c r="BI136" s="742"/>
      <c r="BJ136" s="742"/>
      <c r="BK136" s="742"/>
    </row>
    <row r="137" spans="1:63" ht="11.25" customHeight="1">
      <c r="A137" s="614"/>
      <c r="B137" s="662"/>
      <c r="C137" s="749" t="s">
        <v>262</v>
      </c>
      <c r="D137" s="1182">
        <v>6</v>
      </c>
      <c r="E137" s="1174">
        <v>3</v>
      </c>
      <c r="F137" s="1177">
        <v>3</v>
      </c>
      <c r="G137" s="1173">
        <v>3</v>
      </c>
      <c r="H137" s="1184">
        <v>3</v>
      </c>
      <c r="I137" s="1176">
        <v>0</v>
      </c>
      <c r="J137" s="1177">
        <v>0</v>
      </c>
      <c r="K137" s="1178">
        <v>0</v>
      </c>
      <c r="L137" s="742"/>
      <c r="M137" s="742"/>
      <c r="N137" s="742"/>
      <c r="O137" s="742"/>
      <c r="P137" s="742"/>
      <c r="Q137" s="742"/>
      <c r="R137" s="742"/>
      <c r="S137" s="742"/>
      <c r="T137" s="742"/>
      <c r="U137" s="742"/>
      <c r="V137" s="742"/>
      <c r="W137" s="742"/>
      <c r="X137" s="742"/>
      <c r="Y137" s="742"/>
      <c r="Z137" s="742"/>
      <c r="AA137" s="742"/>
      <c r="AB137" s="742"/>
      <c r="AC137" s="742"/>
      <c r="AD137" s="742"/>
      <c r="AE137" s="742"/>
      <c r="AF137" s="742"/>
      <c r="AG137" s="742"/>
      <c r="AH137" s="742"/>
      <c r="AI137" s="742"/>
      <c r="AJ137" s="742"/>
      <c r="AK137" s="742"/>
      <c r="AL137" s="742"/>
      <c r="AM137" s="742"/>
      <c r="AN137" s="742"/>
      <c r="AO137" s="742"/>
      <c r="AP137" s="742"/>
      <c r="AQ137" s="742"/>
      <c r="AR137" s="742"/>
      <c r="AS137" s="742"/>
      <c r="AT137" s="742"/>
      <c r="AU137" s="742"/>
      <c r="AV137" s="742"/>
      <c r="AW137" s="742"/>
      <c r="AX137" s="742"/>
      <c r="AY137" s="742"/>
      <c r="AZ137" s="742"/>
      <c r="BA137" s="742"/>
      <c r="BB137" s="742"/>
      <c r="BC137" s="742"/>
      <c r="BD137" s="742"/>
      <c r="BE137" s="742"/>
      <c r="BF137" s="742"/>
      <c r="BG137" s="742"/>
      <c r="BH137" s="742"/>
      <c r="BI137" s="742"/>
      <c r="BJ137" s="742"/>
      <c r="BK137" s="742"/>
    </row>
    <row r="138" spans="1:63" ht="11.25" customHeight="1">
      <c r="A138" s="614"/>
      <c r="B138" s="662"/>
      <c r="C138" s="672" t="s">
        <v>260</v>
      </c>
      <c r="D138" s="1182">
        <v>3</v>
      </c>
      <c r="E138" s="1174">
        <v>3</v>
      </c>
      <c r="F138" s="1175">
        <v>0</v>
      </c>
      <c r="G138" s="1173">
        <v>3</v>
      </c>
      <c r="H138" s="1184">
        <v>0</v>
      </c>
      <c r="I138" s="1176">
        <v>0</v>
      </c>
      <c r="J138" s="1177">
        <v>0</v>
      </c>
      <c r="K138" s="1178">
        <v>0</v>
      </c>
      <c r="L138" s="742"/>
      <c r="M138" s="742"/>
      <c r="N138" s="742"/>
      <c r="O138" s="742"/>
      <c r="P138" s="742"/>
      <c r="Q138" s="742"/>
      <c r="R138" s="742"/>
      <c r="S138" s="742"/>
      <c r="T138" s="742"/>
      <c r="U138" s="742"/>
      <c r="V138" s="742"/>
      <c r="W138" s="742"/>
      <c r="X138" s="742"/>
      <c r="Y138" s="742"/>
      <c r="Z138" s="742"/>
      <c r="AA138" s="742"/>
      <c r="AB138" s="742"/>
      <c r="AC138" s="742"/>
      <c r="AD138" s="742"/>
      <c r="AE138" s="742"/>
      <c r="AF138" s="742"/>
      <c r="AG138" s="742"/>
      <c r="AH138" s="742"/>
      <c r="AI138" s="742"/>
      <c r="AJ138" s="742"/>
      <c r="AK138" s="742"/>
      <c r="AL138" s="742"/>
      <c r="AM138" s="742"/>
      <c r="AN138" s="742"/>
      <c r="AO138" s="742"/>
      <c r="AP138" s="742"/>
      <c r="AQ138" s="742"/>
      <c r="AR138" s="742"/>
      <c r="AS138" s="742"/>
      <c r="AT138" s="742"/>
      <c r="AU138" s="742"/>
      <c r="AV138" s="742"/>
      <c r="AW138" s="742"/>
      <c r="AX138" s="742"/>
      <c r="AY138" s="742"/>
      <c r="AZ138" s="742"/>
      <c r="BA138" s="742"/>
      <c r="BB138" s="742"/>
      <c r="BC138" s="742"/>
      <c r="BD138" s="742"/>
      <c r="BE138" s="742"/>
      <c r="BF138" s="742"/>
      <c r="BG138" s="742"/>
      <c r="BH138" s="742"/>
      <c r="BI138" s="742"/>
      <c r="BJ138" s="742"/>
      <c r="BK138" s="742"/>
    </row>
    <row r="139" spans="1:63" ht="11.25" customHeight="1">
      <c r="A139" s="614"/>
      <c r="B139" s="662"/>
      <c r="C139" s="1033" t="s">
        <v>233</v>
      </c>
      <c r="D139" s="1182">
        <v>0</v>
      </c>
      <c r="E139" s="1174">
        <v>0</v>
      </c>
      <c r="F139" s="1175">
        <v>0</v>
      </c>
      <c r="G139" s="1173">
        <v>0</v>
      </c>
      <c r="H139" s="1184">
        <v>0</v>
      </c>
      <c r="I139" s="1176">
        <v>0</v>
      </c>
      <c r="J139" s="1177">
        <v>0</v>
      </c>
      <c r="K139" s="1178">
        <v>0</v>
      </c>
      <c r="L139" s="742"/>
      <c r="M139" s="742"/>
      <c r="N139" s="742"/>
      <c r="O139" s="742"/>
      <c r="P139" s="742"/>
      <c r="Q139" s="742"/>
      <c r="R139" s="742"/>
      <c r="S139" s="742"/>
      <c r="T139" s="742"/>
      <c r="U139" s="742"/>
      <c r="V139" s="742"/>
      <c r="W139" s="742"/>
      <c r="X139" s="742"/>
      <c r="Y139" s="742"/>
      <c r="Z139" s="742"/>
      <c r="AA139" s="742"/>
      <c r="AB139" s="742"/>
      <c r="AC139" s="742"/>
      <c r="AD139" s="742"/>
      <c r="AE139" s="742"/>
      <c r="AF139" s="742"/>
      <c r="AG139" s="742"/>
      <c r="AH139" s="742"/>
      <c r="AI139" s="742"/>
      <c r="AJ139" s="742"/>
      <c r="AK139" s="742"/>
      <c r="AL139" s="742"/>
      <c r="AM139" s="742"/>
      <c r="AN139" s="742"/>
      <c r="AO139" s="742"/>
      <c r="AP139" s="742"/>
      <c r="AQ139" s="742"/>
      <c r="AR139" s="742"/>
      <c r="AS139" s="742"/>
      <c r="AT139" s="742"/>
      <c r="AU139" s="742"/>
      <c r="AV139" s="742"/>
      <c r="AW139" s="742"/>
      <c r="AX139" s="742"/>
      <c r="AY139" s="742"/>
      <c r="AZ139" s="742"/>
      <c r="BA139" s="742"/>
      <c r="BB139" s="742"/>
      <c r="BC139" s="742"/>
      <c r="BD139" s="742"/>
      <c r="BE139" s="742"/>
      <c r="BF139" s="742"/>
      <c r="BG139" s="742"/>
      <c r="BH139" s="742"/>
      <c r="BI139" s="742"/>
      <c r="BJ139" s="742"/>
      <c r="BK139" s="742"/>
    </row>
    <row r="140" spans="1:63" ht="11.25" customHeight="1">
      <c r="A140" s="614"/>
      <c r="B140" s="662"/>
      <c r="C140" s="749" t="s">
        <v>261</v>
      </c>
      <c r="D140" s="1182">
        <v>9</v>
      </c>
      <c r="E140" s="1174">
        <v>9</v>
      </c>
      <c r="F140" s="1175">
        <v>0</v>
      </c>
      <c r="G140" s="1173">
        <v>9</v>
      </c>
      <c r="H140" s="1184">
        <v>0</v>
      </c>
      <c r="I140" s="1176">
        <v>0</v>
      </c>
      <c r="J140" s="1177">
        <v>0</v>
      </c>
      <c r="K140" s="1178">
        <v>0</v>
      </c>
      <c r="L140" s="742"/>
      <c r="M140" s="742"/>
      <c r="N140" s="742"/>
      <c r="O140" s="742"/>
      <c r="P140" s="742"/>
      <c r="Q140" s="742"/>
      <c r="R140" s="742"/>
      <c r="S140" s="742"/>
      <c r="T140" s="742"/>
      <c r="U140" s="742"/>
      <c r="V140" s="742"/>
      <c r="W140" s="742"/>
      <c r="X140" s="742"/>
      <c r="Y140" s="742"/>
      <c r="Z140" s="742"/>
      <c r="AA140" s="742"/>
      <c r="AB140" s="742"/>
      <c r="AC140" s="742"/>
      <c r="AD140" s="742"/>
      <c r="AE140" s="742"/>
      <c r="AF140" s="742"/>
      <c r="AG140" s="742"/>
      <c r="AH140" s="742"/>
      <c r="AI140" s="742"/>
      <c r="AJ140" s="742"/>
      <c r="AK140" s="742"/>
      <c r="AL140" s="742"/>
      <c r="AM140" s="742"/>
      <c r="AN140" s="742"/>
      <c r="AO140" s="742"/>
      <c r="AP140" s="742"/>
      <c r="AQ140" s="742"/>
      <c r="AR140" s="742"/>
      <c r="AS140" s="742"/>
      <c r="AT140" s="742"/>
      <c r="AU140" s="742"/>
      <c r="AV140" s="742"/>
      <c r="AW140" s="742"/>
      <c r="AX140" s="742"/>
      <c r="AY140" s="742"/>
      <c r="AZ140" s="742"/>
      <c r="BA140" s="742"/>
      <c r="BB140" s="742"/>
      <c r="BC140" s="742"/>
      <c r="BD140" s="742"/>
      <c r="BE140" s="742"/>
      <c r="BF140" s="742"/>
      <c r="BG140" s="742"/>
      <c r="BH140" s="742"/>
      <c r="BI140" s="742"/>
      <c r="BJ140" s="742"/>
      <c r="BK140" s="742"/>
    </row>
    <row r="141" spans="1:63" ht="11.25" customHeight="1">
      <c r="A141" s="614"/>
      <c r="B141" s="662"/>
      <c r="C141" s="749" t="s">
        <v>247</v>
      </c>
      <c r="D141" s="1182">
        <v>18</v>
      </c>
      <c r="E141" s="1174">
        <v>15</v>
      </c>
      <c r="F141" s="1175">
        <v>3</v>
      </c>
      <c r="G141" s="1173">
        <v>15</v>
      </c>
      <c r="H141" s="1184">
        <v>3</v>
      </c>
      <c r="I141" s="1176">
        <v>0</v>
      </c>
      <c r="J141" s="1177">
        <v>0</v>
      </c>
      <c r="K141" s="1178">
        <v>3</v>
      </c>
      <c r="L141" s="742"/>
      <c r="M141" s="742"/>
      <c r="N141" s="742"/>
      <c r="O141" s="742"/>
      <c r="P141" s="742"/>
      <c r="Q141" s="742"/>
      <c r="R141" s="742"/>
      <c r="S141" s="742"/>
      <c r="T141" s="742"/>
      <c r="U141" s="742"/>
      <c r="V141" s="742"/>
      <c r="W141" s="742"/>
      <c r="X141" s="742"/>
      <c r="Y141" s="742"/>
      <c r="Z141" s="742"/>
      <c r="AA141" s="742"/>
      <c r="AB141" s="742"/>
      <c r="AC141" s="742"/>
      <c r="AD141" s="742"/>
      <c r="AE141" s="742"/>
      <c r="AF141" s="742"/>
      <c r="AG141" s="742"/>
      <c r="AH141" s="742"/>
      <c r="AI141" s="742"/>
      <c r="AJ141" s="742"/>
      <c r="AK141" s="742"/>
      <c r="AL141" s="742"/>
      <c r="AM141" s="742"/>
      <c r="AN141" s="742"/>
      <c r="AO141" s="742"/>
      <c r="AP141" s="742"/>
      <c r="AQ141" s="742"/>
      <c r="AR141" s="742"/>
      <c r="AS141" s="742"/>
      <c r="AT141" s="742"/>
      <c r="AU141" s="742"/>
      <c r="AV141" s="742"/>
      <c r="AW141" s="742"/>
      <c r="AX141" s="742"/>
      <c r="AY141" s="742"/>
      <c r="AZ141" s="742"/>
      <c r="BA141" s="742"/>
      <c r="BB141" s="742"/>
      <c r="BC141" s="742"/>
      <c r="BD141" s="742"/>
      <c r="BE141" s="742"/>
      <c r="BF141" s="742"/>
      <c r="BG141" s="742"/>
      <c r="BH141" s="742"/>
      <c r="BI141" s="742"/>
      <c r="BJ141" s="742"/>
      <c r="BK141" s="742"/>
    </row>
    <row r="142" spans="1:63" ht="11.25" customHeight="1">
      <c r="A142" s="614"/>
      <c r="B142" s="662"/>
      <c r="C142" s="749" t="s">
        <v>242</v>
      </c>
      <c r="D142" s="1182">
        <v>3</v>
      </c>
      <c r="E142" s="1174">
        <v>0</v>
      </c>
      <c r="F142" s="1175">
        <v>3</v>
      </c>
      <c r="G142" s="1173">
        <v>3</v>
      </c>
      <c r="H142" s="1184">
        <v>3</v>
      </c>
      <c r="I142" s="1176">
        <v>0</v>
      </c>
      <c r="J142" s="1177">
        <v>3</v>
      </c>
      <c r="K142" s="1178">
        <v>3</v>
      </c>
      <c r="L142" s="742"/>
      <c r="M142" s="742"/>
      <c r="N142" s="742"/>
      <c r="O142" s="742"/>
      <c r="P142" s="742"/>
      <c r="Q142" s="742"/>
      <c r="R142" s="742"/>
      <c r="S142" s="742"/>
      <c r="T142" s="742"/>
      <c r="U142" s="742"/>
      <c r="V142" s="742"/>
      <c r="W142" s="742"/>
      <c r="X142" s="742"/>
      <c r="Y142" s="742"/>
      <c r="Z142" s="742"/>
      <c r="AA142" s="742"/>
      <c r="AB142" s="742"/>
      <c r="AC142" s="742"/>
      <c r="AD142" s="742"/>
      <c r="AE142" s="742"/>
      <c r="AF142" s="742"/>
      <c r="AG142" s="742"/>
      <c r="AH142" s="742"/>
      <c r="AI142" s="742"/>
      <c r="AJ142" s="742"/>
      <c r="AK142" s="742"/>
      <c r="AL142" s="742"/>
      <c r="AM142" s="742"/>
      <c r="AN142" s="742"/>
      <c r="AO142" s="742"/>
      <c r="AP142" s="742"/>
      <c r="AQ142" s="742"/>
      <c r="AR142" s="742"/>
      <c r="AS142" s="742"/>
      <c r="AT142" s="742"/>
      <c r="AU142" s="742"/>
      <c r="AV142" s="742"/>
      <c r="AW142" s="742"/>
      <c r="AX142" s="742"/>
      <c r="AY142" s="742"/>
      <c r="AZ142" s="742"/>
      <c r="BA142" s="742"/>
      <c r="BB142" s="742"/>
      <c r="BC142" s="742"/>
      <c r="BD142" s="742"/>
      <c r="BE142" s="742"/>
      <c r="BF142" s="742"/>
      <c r="BG142" s="742"/>
      <c r="BH142" s="742"/>
      <c r="BI142" s="742"/>
      <c r="BJ142" s="742"/>
      <c r="BK142" s="742"/>
    </row>
    <row r="143" spans="1:63" ht="11.25" customHeight="1">
      <c r="A143" s="1234"/>
      <c r="B143" s="1245"/>
      <c r="C143" s="1236"/>
      <c r="D143" s="1237"/>
      <c r="E143" s="1242"/>
      <c r="F143" s="1239"/>
      <c r="G143" s="1240"/>
      <c r="H143" s="1241"/>
      <c r="I143" s="1242"/>
      <c r="J143" s="1243"/>
      <c r="K143" s="1244"/>
      <c r="L143" s="742"/>
      <c r="M143" s="742"/>
      <c r="N143" s="742"/>
      <c r="O143" s="742"/>
      <c r="P143" s="742"/>
      <c r="Q143" s="742"/>
      <c r="R143" s="742"/>
      <c r="S143" s="742"/>
      <c r="T143" s="742"/>
      <c r="U143" s="742"/>
      <c r="V143" s="742"/>
      <c r="W143" s="742"/>
      <c r="X143" s="742"/>
      <c r="Y143" s="742"/>
      <c r="Z143" s="742"/>
      <c r="AA143" s="742"/>
      <c r="AB143" s="742"/>
      <c r="AC143" s="742"/>
      <c r="AD143" s="742"/>
      <c r="AE143" s="742"/>
      <c r="AF143" s="742"/>
      <c r="AG143" s="742"/>
      <c r="AH143" s="742"/>
      <c r="AI143" s="742"/>
      <c r="AJ143" s="742"/>
      <c r="AK143" s="742"/>
      <c r="AL143" s="742"/>
      <c r="AM143" s="742"/>
      <c r="AN143" s="742"/>
      <c r="AO143" s="742"/>
      <c r="AP143" s="742"/>
      <c r="AQ143" s="742"/>
      <c r="AR143" s="742"/>
      <c r="AS143" s="742"/>
      <c r="AT143" s="742"/>
      <c r="AU143" s="742"/>
      <c r="AV143" s="742"/>
      <c r="AW143" s="742"/>
      <c r="AX143" s="742"/>
      <c r="AY143" s="742"/>
      <c r="AZ143" s="742"/>
      <c r="BA143" s="742"/>
      <c r="BB143" s="742"/>
      <c r="BC143" s="742"/>
      <c r="BD143" s="742"/>
      <c r="BE143" s="742"/>
      <c r="BF143" s="742"/>
      <c r="BG143" s="742"/>
      <c r="BH143" s="742"/>
      <c r="BI143" s="742"/>
      <c r="BJ143" s="742"/>
      <c r="BK143" s="742"/>
    </row>
    <row r="144" spans="1:63" ht="11.25" customHeight="1">
      <c r="A144" s="614" t="s">
        <v>51</v>
      </c>
      <c r="B144" s="662"/>
      <c r="C144" s="633" t="s">
        <v>231</v>
      </c>
      <c r="D144" s="1182">
        <v>9</v>
      </c>
      <c r="E144" s="1174">
        <v>6</v>
      </c>
      <c r="F144" s="1175">
        <v>0</v>
      </c>
      <c r="G144" s="1173">
        <v>6</v>
      </c>
      <c r="H144" s="1184">
        <v>0</v>
      </c>
      <c r="I144" s="1176">
        <v>0</v>
      </c>
      <c r="J144" s="1177">
        <v>0</v>
      </c>
      <c r="K144" s="1178">
        <v>0</v>
      </c>
      <c r="L144" s="742"/>
      <c r="M144" s="742"/>
      <c r="N144" s="742"/>
      <c r="O144" s="742"/>
      <c r="P144" s="742"/>
      <c r="Q144" s="742"/>
      <c r="R144" s="742"/>
      <c r="S144" s="742"/>
      <c r="T144" s="742"/>
      <c r="U144" s="742"/>
      <c r="V144" s="742"/>
      <c r="W144" s="742"/>
      <c r="X144" s="742"/>
      <c r="Y144" s="742"/>
      <c r="Z144" s="742"/>
      <c r="AA144" s="742"/>
      <c r="AB144" s="742"/>
      <c r="AC144" s="742"/>
      <c r="AD144" s="742"/>
      <c r="AE144" s="742"/>
      <c r="AF144" s="742"/>
      <c r="AG144" s="742"/>
      <c r="AH144" s="742"/>
      <c r="AI144" s="742"/>
      <c r="AJ144" s="742"/>
      <c r="AK144" s="742"/>
      <c r="AL144" s="742"/>
      <c r="AM144" s="742"/>
      <c r="AN144" s="742"/>
      <c r="AO144" s="742"/>
      <c r="AP144" s="742"/>
      <c r="AQ144" s="742"/>
      <c r="AR144" s="742"/>
      <c r="AS144" s="742"/>
      <c r="AT144" s="742"/>
      <c r="AU144" s="742"/>
      <c r="AV144" s="742"/>
      <c r="AW144" s="742"/>
      <c r="AX144" s="742"/>
      <c r="AY144" s="742"/>
      <c r="AZ144" s="742"/>
      <c r="BA144" s="742"/>
      <c r="BB144" s="742"/>
      <c r="BC144" s="742"/>
      <c r="BD144" s="742"/>
      <c r="BE144" s="742"/>
      <c r="BF144" s="742"/>
      <c r="BG144" s="742"/>
      <c r="BH144" s="742"/>
      <c r="BI144" s="742"/>
      <c r="BJ144" s="742"/>
      <c r="BK144" s="742"/>
    </row>
    <row r="145" spans="1:63" ht="11.25" customHeight="1">
      <c r="A145" s="614"/>
      <c r="B145" s="662"/>
      <c r="C145" s="653" t="s">
        <v>259</v>
      </c>
      <c r="D145" s="1182">
        <v>0</v>
      </c>
      <c r="E145" s="1174">
        <v>0</v>
      </c>
      <c r="F145" s="1177">
        <v>0</v>
      </c>
      <c r="G145" s="1173">
        <v>0</v>
      </c>
      <c r="H145" s="1184">
        <v>0</v>
      </c>
      <c r="I145" s="1176">
        <v>0</v>
      </c>
      <c r="J145" s="1177">
        <v>0</v>
      </c>
      <c r="K145" s="1178">
        <v>0</v>
      </c>
      <c r="L145" s="742"/>
      <c r="M145" s="742"/>
      <c r="N145" s="742"/>
      <c r="O145" s="742"/>
      <c r="P145" s="742"/>
      <c r="Q145" s="742"/>
      <c r="R145" s="742"/>
      <c r="S145" s="742"/>
      <c r="T145" s="742"/>
      <c r="U145" s="742"/>
      <c r="V145" s="742"/>
      <c r="W145" s="742"/>
      <c r="X145" s="742"/>
      <c r="Y145" s="742"/>
      <c r="Z145" s="742"/>
      <c r="AA145" s="742"/>
      <c r="AB145" s="742"/>
      <c r="AC145" s="742"/>
      <c r="AD145" s="742"/>
      <c r="AE145" s="742"/>
      <c r="AF145" s="742"/>
      <c r="AG145" s="742"/>
      <c r="AH145" s="742"/>
      <c r="AI145" s="742"/>
      <c r="AJ145" s="742"/>
      <c r="AK145" s="742"/>
      <c r="AL145" s="742"/>
      <c r="AM145" s="742"/>
      <c r="AN145" s="742"/>
      <c r="AO145" s="742"/>
      <c r="AP145" s="742"/>
      <c r="AQ145" s="742"/>
      <c r="AR145" s="742"/>
      <c r="AS145" s="742"/>
      <c r="AT145" s="742"/>
      <c r="AU145" s="742"/>
      <c r="AV145" s="742"/>
      <c r="AW145" s="742"/>
      <c r="AX145" s="742"/>
      <c r="AY145" s="742"/>
      <c r="AZ145" s="742"/>
      <c r="BA145" s="742"/>
      <c r="BB145" s="742"/>
      <c r="BC145" s="742"/>
      <c r="BD145" s="742"/>
      <c r="BE145" s="742"/>
      <c r="BF145" s="742"/>
      <c r="BG145" s="742"/>
      <c r="BH145" s="742"/>
      <c r="BI145" s="742"/>
      <c r="BJ145" s="742"/>
      <c r="BK145" s="742"/>
    </row>
    <row r="146" spans="1:63" ht="11.25" customHeight="1">
      <c r="A146" s="614"/>
      <c r="B146" s="662"/>
      <c r="C146" s="653" t="s">
        <v>260</v>
      </c>
      <c r="D146" s="1182">
        <v>12</v>
      </c>
      <c r="E146" s="1174">
        <v>12</v>
      </c>
      <c r="F146" s="1175">
        <v>0</v>
      </c>
      <c r="G146" s="1173">
        <v>12</v>
      </c>
      <c r="H146" s="1184">
        <v>0</v>
      </c>
      <c r="I146" s="1176">
        <v>0</v>
      </c>
      <c r="J146" s="1177">
        <v>0</v>
      </c>
      <c r="K146" s="1178">
        <v>0</v>
      </c>
      <c r="L146" s="742"/>
      <c r="M146" s="742"/>
      <c r="N146" s="742"/>
      <c r="O146" s="742"/>
      <c r="P146" s="742"/>
      <c r="Q146" s="742"/>
      <c r="R146" s="742"/>
      <c r="S146" s="742"/>
      <c r="T146" s="742"/>
      <c r="U146" s="742"/>
      <c r="V146" s="742"/>
      <c r="W146" s="742"/>
      <c r="X146" s="742"/>
      <c r="Y146" s="742"/>
      <c r="Z146" s="742"/>
      <c r="AA146" s="742"/>
      <c r="AB146" s="742"/>
      <c r="AC146" s="742"/>
      <c r="AD146" s="742"/>
      <c r="AE146" s="742"/>
      <c r="AF146" s="742"/>
      <c r="AG146" s="742"/>
      <c r="AH146" s="742"/>
      <c r="AI146" s="742"/>
      <c r="AJ146" s="742"/>
      <c r="AK146" s="742"/>
      <c r="AL146" s="742"/>
      <c r="AM146" s="742"/>
      <c r="AN146" s="742"/>
      <c r="AO146" s="742"/>
      <c r="AP146" s="742"/>
      <c r="AQ146" s="742"/>
      <c r="AR146" s="742"/>
      <c r="AS146" s="742"/>
      <c r="AT146" s="742"/>
      <c r="AU146" s="742"/>
      <c r="AV146" s="742"/>
      <c r="AW146" s="742"/>
      <c r="AX146" s="742"/>
      <c r="AY146" s="742"/>
      <c r="AZ146" s="742"/>
      <c r="BA146" s="742"/>
      <c r="BB146" s="742"/>
      <c r="BC146" s="742"/>
      <c r="BD146" s="742"/>
      <c r="BE146" s="742"/>
      <c r="BF146" s="742"/>
      <c r="BG146" s="742"/>
      <c r="BH146" s="742"/>
      <c r="BI146" s="742"/>
      <c r="BJ146" s="742"/>
      <c r="BK146" s="742"/>
    </row>
    <row r="147" spans="1:63" ht="11.25" customHeight="1">
      <c r="A147" s="614"/>
      <c r="B147" s="662"/>
      <c r="C147" s="672" t="s">
        <v>293</v>
      </c>
      <c r="D147" s="1182">
        <v>3</v>
      </c>
      <c r="E147" s="1174">
        <v>3</v>
      </c>
      <c r="F147" s="1175">
        <v>0</v>
      </c>
      <c r="G147" s="1173">
        <v>3</v>
      </c>
      <c r="H147" s="1184">
        <v>0</v>
      </c>
      <c r="I147" s="1176">
        <v>0</v>
      </c>
      <c r="J147" s="1177">
        <v>0</v>
      </c>
      <c r="K147" s="1178">
        <v>0</v>
      </c>
      <c r="L147" s="742"/>
      <c r="M147" s="742"/>
      <c r="N147" s="742"/>
      <c r="O147" s="742"/>
      <c r="P147" s="742"/>
      <c r="Q147" s="742"/>
      <c r="R147" s="742"/>
      <c r="S147" s="742"/>
      <c r="T147" s="742"/>
      <c r="U147" s="742"/>
      <c r="V147" s="742"/>
      <c r="W147" s="742"/>
      <c r="X147" s="742"/>
      <c r="Y147" s="742"/>
      <c r="Z147" s="742"/>
      <c r="AA147" s="742"/>
      <c r="AB147" s="742"/>
      <c r="AC147" s="742"/>
      <c r="AD147" s="742"/>
      <c r="AE147" s="742"/>
      <c r="AF147" s="742"/>
      <c r="AG147" s="742"/>
      <c r="AH147" s="742"/>
      <c r="AI147" s="742"/>
      <c r="AJ147" s="742"/>
      <c r="AK147" s="742"/>
      <c r="AL147" s="742"/>
      <c r="AM147" s="742"/>
      <c r="AN147" s="742"/>
      <c r="AO147" s="742"/>
      <c r="AP147" s="742"/>
      <c r="AQ147" s="742"/>
      <c r="AR147" s="742"/>
      <c r="AS147" s="742"/>
      <c r="AT147" s="742"/>
      <c r="AU147" s="742"/>
      <c r="AV147" s="742"/>
      <c r="AW147" s="742"/>
      <c r="AX147" s="742"/>
      <c r="AY147" s="742"/>
      <c r="AZ147" s="742"/>
      <c r="BA147" s="742"/>
      <c r="BB147" s="742"/>
      <c r="BC147" s="742"/>
      <c r="BD147" s="742"/>
      <c r="BE147" s="742"/>
      <c r="BF147" s="742"/>
      <c r="BG147" s="742"/>
      <c r="BH147" s="742"/>
      <c r="BI147" s="742"/>
      <c r="BJ147" s="742"/>
      <c r="BK147" s="742"/>
    </row>
    <row r="148" spans="1:63" ht="11.25" customHeight="1">
      <c r="A148" s="1234"/>
      <c r="B148" s="1245"/>
      <c r="C148" s="1246"/>
      <c r="D148" s="1247"/>
      <c r="E148" s="1248"/>
      <c r="F148" s="1249"/>
      <c r="G148" s="1250"/>
      <c r="H148" s="1247"/>
      <c r="I148" s="1248"/>
      <c r="J148" s="1249"/>
      <c r="K148" s="1251"/>
      <c r="L148" s="742"/>
      <c r="M148" s="742"/>
      <c r="N148" s="742"/>
      <c r="O148" s="742"/>
      <c r="P148" s="742"/>
      <c r="Q148" s="742"/>
      <c r="R148" s="742"/>
      <c r="S148" s="742"/>
      <c r="T148" s="742"/>
      <c r="U148" s="742"/>
      <c r="V148" s="742"/>
      <c r="W148" s="742"/>
      <c r="X148" s="742"/>
      <c r="Y148" s="742"/>
      <c r="Z148" s="742"/>
      <c r="AA148" s="742"/>
      <c r="AB148" s="742"/>
      <c r="AC148" s="742"/>
      <c r="AD148" s="742"/>
      <c r="AE148" s="742"/>
      <c r="AF148" s="742"/>
      <c r="AG148" s="742"/>
      <c r="AH148" s="742"/>
      <c r="AI148" s="742"/>
      <c r="AJ148" s="742"/>
      <c r="AK148" s="742"/>
      <c r="AL148" s="742"/>
      <c r="AM148" s="742"/>
      <c r="AN148" s="742"/>
      <c r="AO148" s="742"/>
      <c r="AP148" s="742"/>
      <c r="AQ148" s="742"/>
      <c r="AR148" s="742"/>
      <c r="AS148" s="742"/>
      <c r="AT148" s="742"/>
      <c r="AU148" s="742"/>
      <c r="AV148" s="742"/>
      <c r="AW148" s="742"/>
      <c r="AX148" s="742"/>
      <c r="AY148" s="742"/>
      <c r="AZ148" s="742"/>
      <c r="BA148" s="742"/>
      <c r="BB148" s="742"/>
      <c r="BC148" s="742"/>
      <c r="BD148" s="742"/>
      <c r="BE148" s="742"/>
      <c r="BF148" s="742"/>
      <c r="BG148" s="742"/>
      <c r="BH148" s="742"/>
      <c r="BI148" s="742"/>
      <c r="BJ148" s="742"/>
      <c r="BK148" s="742"/>
    </row>
    <row r="149" spans="1:63" s="388" customFormat="1" ht="11.25" customHeight="1">
      <c r="A149" s="614" t="s">
        <v>186</v>
      </c>
      <c r="B149" s="662"/>
      <c r="C149" s="673" t="s">
        <v>188</v>
      </c>
      <c r="D149" s="1182">
        <v>0</v>
      </c>
      <c r="E149" s="1174">
        <v>0</v>
      </c>
      <c r="F149" s="1175">
        <v>0</v>
      </c>
      <c r="G149" s="1173">
        <v>0</v>
      </c>
      <c r="H149" s="1184">
        <v>0</v>
      </c>
      <c r="I149" s="1176">
        <v>0</v>
      </c>
      <c r="J149" s="1177">
        <v>0</v>
      </c>
      <c r="K149" s="1178">
        <v>0</v>
      </c>
      <c r="L149" s="389"/>
      <c r="M149" s="389"/>
      <c r="N149" s="389"/>
      <c r="O149" s="389"/>
      <c r="P149" s="389"/>
      <c r="Q149" s="389"/>
      <c r="R149" s="389"/>
      <c r="S149" s="389"/>
      <c r="T149" s="389"/>
      <c r="U149" s="389"/>
      <c r="V149" s="389"/>
      <c r="W149" s="389"/>
      <c r="X149" s="389"/>
      <c r="Y149" s="389"/>
      <c r="Z149" s="389"/>
      <c r="AA149" s="389"/>
      <c r="AB149" s="389"/>
      <c r="AC149" s="389"/>
      <c r="AD149" s="389"/>
      <c r="AE149" s="389"/>
      <c r="AF149" s="389"/>
      <c r="AG149" s="389"/>
      <c r="AH149" s="389"/>
      <c r="AI149" s="389"/>
      <c r="AJ149" s="389"/>
      <c r="AK149" s="389"/>
      <c r="AL149" s="389"/>
      <c r="AM149" s="389"/>
      <c r="AN149" s="389"/>
      <c r="AO149" s="389"/>
      <c r="AP149" s="389"/>
      <c r="AQ149" s="389"/>
      <c r="AR149" s="389"/>
      <c r="AS149" s="389"/>
      <c r="AT149" s="389"/>
      <c r="AU149" s="389"/>
      <c r="AV149" s="389"/>
      <c r="AW149" s="389"/>
      <c r="AX149" s="389"/>
      <c r="AY149" s="389"/>
      <c r="AZ149" s="389"/>
      <c r="BA149" s="389"/>
      <c r="BB149" s="389"/>
      <c r="BC149" s="389"/>
      <c r="BD149" s="389"/>
      <c r="BE149" s="389"/>
      <c r="BF149" s="389"/>
      <c r="BG149" s="389"/>
      <c r="BH149" s="389"/>
      <c r="BI149" s="389"/>
      <c r="BJ149" s="389"/>
      <c r="BK149" s="389"/>
    </row>
    <row r="150" spans="1:63" s="388" customFormat="1" ht="11.25" customHeight="1">
      <c r="A150" s="1234"/>
      <c r="B150" s="1245"/>
      <c r="C150" s="1252"/>
      <c r="D150" s="1237"/>
      <c r="E150" s="1238"/>
      <c r="F150" s="1239"/>
      <c r="G150" s="1240"/>
      <c r="H150" s="1241"/>
      <c r="I150" s="1242"/>
      <c r="J150" s="1243"/>
      <c r="K150" s="1244"/>
      <c r="L150" s="389"/>
      <c r="M150" s="389"/>
      <c r="N150" s="389"/>
      <c r="O150" s="389"/>
      <c r="P150" s="389"/>
      <c r="Q150" s="389"/>
      <c r="R150" s="389"/>
      <c r="S150" s="389"/>
      <c r="T150" s="389"/>
      <c r="U150" s="389"/>
      <c r="V150" s="389"/>
      <c r="W150" s="389"/>
      <c r="X150" s="389"/>
      <c r="Y150" s="389"/>
      <c r="Z150" s="389"/>
      <c r="AA150" s="389"/>
      <c r="AB150" s="389"/>
      <c r="AC150" s="389"/>
      <c r="AD150" s="389"/>
      <c r="AE150" s="389"/>
      <c r="AF150" s="389"/>
      <c r="AG150" s="389"/>
      <c r="AH150" s="389"/>
      <c r="AI150" s="389"/>
      <c r="AJ150" s="389"/>
      <c r="AK150" s="389"/>
      <c r="AL150" s="389"/>
      <c r="AM150" s="389"/>
      <c r="AN150" s="389"/>
      <c r="AO150" s="389"/>
      <c r="AP150" s="389"/>
      <c r="AQ150" s="389"/>
      <c r="AR150" s="389"/>
      <c r="AS150" s="389"/>
      <c r="AT150" s="389"/>
      <c r="AU150" s="389"/>
      <c r="AV150" s="389"/>
      <c r="AW150" s="389"/>
      <c r="AX150" s="389"/>
      <c r="AY150" s="389"/>
      <c r="AZ150" s="389"/>
      <c r="BA150" s="389"/>
      <c r="BB150" s="389"/>
      <c r="BC150" s="389"/>
      <c r="BD150" s="389"/>
      <c r="BE150" s="389"/>
      <c r="BF150" s="389"/>
      <c r="BG150" s="389"/>
      <c r="BH150" s="389"/>
      <c r="BI150" s="389"/>
      <c r="BJ150" s="389"/>
      <c r="BK150" s="389"/>
    </row>
    <row r="151" spans="1:63" ht="11.25" customHeight="1">
      <c r="A151" s="614" t="s">
        <v>57</v>
      </c>
      <c r="B151" s="662"/>
      <c r="C151" s="749" t="s">
        <v>231</v>
      </c>
      <c r="D151" s="1182">
        <v>6</v>
      </c>
      <c r="E151" s="1176">
        <v>6</v>
      </c>
      <c r="F151" s="1175">
        <v>0</v>
      </c>
      <c r="G151" s="1173">
        <v>6</v>
      </c>
      <c r="H151" s="1184">
        <v>0</v>
      </c>
      <c r="I151" s="1176">
        <v>0</v>
      </c>
      <c r="J151" s="1177">
        <v>0</v>
      </c>
      <c r="K151" s="1178">
        <v>0</v>
      </c>
      <c r="L151" s="742"/>
      <c r="M151" s="742"/>
      <c r="N151" s="742"/>
      <c r="O151" s="742"/>
      <c r="P151" s="742"/>
      <c r="Q151" s="742"/>
      <c r="R151" s="742"/>
      <c r="S151" s="742"/>
      <c r="T151" s="742"/>
      <c r="U151" s="742"/>
      <c r="V151" s="742"/>
      <c r="W151" s="742"/>
      <c r="X151" s="742"/>
      <c r="Y151" s="742"/>
      <c r="Z151" s="742"/>
      <c r="AA151" s="742"/>
      <c r="AB151" s="742"/>
      <c r="AC151" s="742"/>
      <c r="AD151" s="742"/>
      <c r="AE151" s="742"/>
      <c r="AF151" s="742"/>
      <c r="AG151" s="742"/>
      <c r="AH151" s="742"/>
      <c r="AI151" s="742"/>
      <c r="AJ151" s="742"/>
      <c r="AK151" s="742"/>
      <c r="AL151" s="742"/>
      <c r="AM151" s="742"/>
      <c r="AN151" s="742"/>
      <c r="AO151" s="742"/>
      <c r="AP151" s="742"/>
      <c r="AQ151" s="742"/>
      <c r="AR151" s="742"/>
      <c r="AS151" s="742"/>
      <c r="AT151" s="742"/>
      <c r="AU151" s="742"/>
      <c r="AV151" s="742"/>
      <c r="AW151" s="742"/>
      <c r="AX151" s="742"/>
      <c r="AY151" s="742"/>
      <c r="AZ151" s="742"/>
      <c r="BA151" s="742"/>
      <c r="BB151" s="742"/>
      <c r="BC151" s="742"/>
      <c r="BD151" s="742"/>
      <c r="BE151" s="742"/>
      <c r="BF151" s="742"/>
      <c r="BG151" s="742"/>
      <c r="BH151" s="742"/>
      <c r="BI151" s="742"/>
      <c r="BJ151" s="742"/>
      <c r="BK151" s="742"/>
    </row>
    <row r="152" spans="1:63" ht="11.25" customHeight="1">
      <c r="A152" s="614"/>
      <c r="B152" s="662"/>
      <c r="C152" s="749" t="s">
        <v>233</v>
      </c>
      <c r="D152" s="1182">
        <v>0</v>
      </c>
      <c r="E152" s="1174">
        <v>0</v>
      </c>
      <c r="F152" s="1175">
        <v>0</v>
      </c>
      <c r="G152" s="1173">
        <v>0</v>
      </c>
      <c r="H152" s="1184">
        <v>0</v>
      </c>
      <c r="I152" s="1176">
        <v>0</v>
      </c>
      <c r="J152" s="1177">
        <v>0</v>
      </c>
      <c r="K152" s="1178">
        <v>0</v>
      </c>
      <c r="L152" s="742"/>
      <c r="M152" s="742"/>
      <c r="N152" s="742"/>
      <c r="O152" s="742"/>
      <c r="P152" s="742"/>
      <c r="Q152" s="742"/>
      <c r="R152" s="742"/>
      <c r="S152" s="742"/>
      <c r="T152" s="742"/>
      <c r="U152" s="742"/>
      <c r="V152" s="742"/>
      <c r="W152" s="742"/>
      <c r="X152" s="742"/>
      <c r="Y152" s="742"/>
      <c r="Z152" s="742"/>
      <c r="AA152" s="742"/>
      <c r="AB152" s="742"/>
      <c r="AC152" s="742"/>
      <c r="AD152" s="742"/>
      <c r="AE152" s="742"/>
      <c r="AF152" s="742"/>
      <c r="AG152" s="742"/>
      <c r="AH152" s="742"/>
      <c r="AI152" s="742"/>
      <c r="AJ152" s="742"/>
      <c r="AK152" s="742"/>
      <c r="AL152" s="742"/>
      <c r="AM152" s="742"/>
      <c r="AN152" s="742"/>
      <c r="AO152" s="742"/>
      <c r="AP152" s="742"/>
      <c r="AQ152" s="742"/>
      <c r="AR152" s="742"/>
      <c r="AS152" s="742"/>
      <c r="AT152" s="742"/>
      <c r="AU152" s="742"/>
      <c r="AV152" s="742"/>
      <c r="AW152" s="742"/>
      <c r="AX152" s="742"/>
      <c r="AY152" s="742"/>
      <c r="AZ152" s="742"/>
      <c r="BA152" s="742"/>
      <c r="BB152" s="742"/>
      <c r="BC152" s="742"/>
      <c r="BD152" s="742"/>
      <c r="BE152" s="742"/>
      <c r="BF152" s="742"/>
      <c r="BG152" s="742"/>
      <c r="BH152" s="742"/>
      <c r="BI152" s="742"/>
      <c r="BJ152" s="742"/>
      <c r="BK152" s="742"/>
    </row>
    <row r="153" spans="1:63" s="388" customFormat="1" ht="11.25" customHeight="1">
      <c r="A153" s="614"/>
      <c r="B153" s="662"/>
      <c r="C153" s="672" t="s">
        <v>260</v>
      </c>
      <c r="D153" s="1182">
        <v>3</v>
      </c>
      <c r="E153" s="1174">
        <v>3</v>
      </c>
      <c r="F153" s="1177">
        <v>0</v>
      </c>
      <c r="G153" s="1173">
        <v>0</v>
      </c>
      <c r="H153" s="1184">
        <v>3</v>
      </c>
      <c r="I153" s="1176">
        <v>3</v>
      </c>
      <c r="J153" s="1177">
        <v>0</v>
      </c>
      <c r="K153" s="1178">
        <v>0</v>
      </c>
      <c r="L153" s="389"/>
      <c r="M153" s="389"/>
      <c r="N153" s="389"/>
      <c r="O153" s="389"/>
      <c r="P153" s="389"/>
      <c r="Q153" s="389"/>
      <c r="R153" s="389"/>
      <c r="S153" s="389"/>
      <c r="T153" s="389"/>
      <c r="U153" s="389"/>
      <c r="V153" s="389"/>
      <c r="W153" s="389"/>
      <c r="X153" s="389"/>
      <c r="Y153" s="389"/>
      <c r="Z153" s="389"/>
      <c r="AA153" s="389"/>
      <c r="AB153" s="389"/>
      <c r="AC153" s="389"/>
      <c r="AD153" s="389"/>
      <c r="AE153" s="389"/>
      <c r="AF153" s="389"/>
      <c r="AG153" s="389"/>
      <c r="AH153" s="389"/>
      <c r="AI153" s="389"/>
      <c r="AJ153" s="389"/>
      <c r="AK153" s="389"/>
      <c r="AL153" s="389"/>
      <c r="AM153" s="389"/>
      <c r="AN153" s="389"/>
      <c r="AO153" s="389"/>
      <c r="AP153" s="389"/>
      <c r="AQ153" s="389"/>
      <c r="AR153" s="389"/>
      <c r="AS153" s="389"/>
      <c r="AT153" s="389"/>
      <c r="AU153" s="389"/>
      <c r="AV153" s="389"/>
      <c r="AW153" s="389"/>
      <c r="AX153" s="389"/>
      <c r="AY153" s="389"/>
      <c r="AZ153" s="389"/>
      <c r="BA153" s="389"/>
      <c r="BB153" s="389"/>
      <c r="BC153" s="389"/>
      <c r="BD153" s="389"/>
      <c r="BE153" s="389"/>
      <c r="BF153" s="389"/>
      <c r="BG153" s="389"/>
      <c r="BH153" s="389"/>
      <c r="BI153" s="389"/>
      <c r="BJ153" s="389"/>
      <c r="BK153" s="389"/>
    </row>
    <row r="154" spans="1:63" s="388" customFormat="1" ht="11.25" customHeight="1">
      <c r="A154" s="1234"/>
      <c r="B154" s="1245"/>
      <c r="C154" s="1253"/>
      <c r="D154" s="1237"/>
      <c r="E154" s="1238"/>
      <c r="F154" s="1239"/>
      <c r="G154" s="1240"/>
      <c r="H154" s="1241"/>
      <c r="I154" s="1242"/>
      <c r="J154" s="1243"/>
      <c r="K154" s="1244"/>
      <c r="L154" s="389"/>
      <c r="M154" s="389"/>
      <c r="N154" s="389"/>
      <c r="O154" s="389"/>
      <c r="P154" s="389"/>
      <c r="Q154" s="389"/>
      <c r="R154" s="389"/>
      <c r="S154" s="389"/>
      <c r="T154" s="389"/>
      <c r="U154" s="389"/>
      <c r="V154" s="389"/>
      <c r="W154" s="389"/>
      <c r="X154" s="389"/>
      <c r="Y154" s="389"/>
      <c r="Z154" s="389"/>
      <c r="AA154" s="389"/>
      <c r="AB154" s="389"/>
      <c r="AC154" s="389"/>
      <c r="AD154" s="389"/>
      <c r="AE154" s="389"/>
      <c r="AF154" s="389"/>
      <c r="AG154" s="389"/>
      <c r="AH154" s="389"/>
      <c r="AI154" s="389"/>
      <c r="AJ154" s="389"/>
      <c r="AK154" s="389"/>
      <c r="AL154" s="389"/>
      <c r="AM154" s="389"/>
      <c r="AN154" s="389"/>
      <c r="AO154" s="389"/>
      <c r="AP154" s="389"/>
      <c r="AQ154" s="389"/>
      <c r="AR154" s="389"/>
      <c r="AS154" s="389"/>
      <c r="AT154" s="389"/>
      <c r="AU154" s="389"/>
      <c r="AV154" s="389"/>
      <c r="AW154" s="389"/>
      <c r="AX154" s="389"/>
      <c r="AY154" s="389"/>
      <c r="AZ154" s="389"/>
      <c r="BA154" s="389"/>
      <c r="BB154" s="389"/>
      <c r="BC154" s="389"/>
      <c r="BD154" s="389"/>
      <c r="BE154" s="389"/>
      <c r="BF154" s="389"/>
      <c r="BG154" s="389"/>
      <c r="BH154" s="389"/>
      <c r="BI154" s="389"/>
      <c r="BJ154" s="389"/>
      <c r="BK154" s="389"/>
    </row>
    <row r="155" spans="1:63" ht="11.25" customHeight="1">
      <c r="A155" s="614" t="s">
        <v>59</v>
      </c>
      <c r="B155" s="662"/>
      <c r="C155" s="749" t="s">
        <v>247</v>
      </c>
      <c r="D155" s="1182">
        <v>0</v>
      </c>
      <c r="E155" s="1174">
        <v>0</v>
      </c>
      <c r="F155" s="1175">
        <v>0</v>
      </c>
      <c r="G155" s="1173">
        <v>0</v>
      </c>
      <c r="H155" s="1184">
        <v>0</v>
      </c>
      <c r="I155" s="1176">
        <v>0</v>
      </c>
      <c r="J155" s="1177">
        <v>0</v>
      </c>
      <c r="K155" s="1178">
        <v>0</v>
      </c>
      <c r="L155" s="742"/>
      <c r="M155" s="742"/>
      <c r="N155" s="742"/>
      <c r="O155" s="742"/>
      <c r="P155" s="742"/>
      <c r="Q155" s="742"/>
      <c r="R155" s="742"/>
      <c r="S155" s="742"/>
      <c r="T155" s="742"/>
      <c r="U155" s="742"/>
      <c r="V155" s="742"/>
      <c r="W155" s="742"/>
      <c r="X155" s="742"/>
      <c r="Y155" s="742"/>
      <c r="Z155" s="742"/>
      <c r="AA155" s="742"/>
      <c r="AB155" s="742"/>
      <c r="AC155" s="742"/>
      <c r="AD155" s="742"/>
      <c r="AE155" s="742"/>
      <c r="AF155" s="742"/>
      <c r="AG155" s="742"/>
      <c r="AH155" s="742"/>
      <c r="AI155" s="742"/>
      <c r="AJ155" s="742"/>
      <c r="AK155" s="742"/>
      <c r="AL155" s="742"/>
      <c r="AM155" s="742"/>
      <c r="AN155" s="742"/>
      <c r="AO155" s="742"/>
      <c r="AP155" s="742"/>
      <c r="AQ155" s="742"/>
      <c r="AR155" s="742"/>
      <c r="AS155" s="742"/>
      <c r="AT155" s="742"/>
      <c r="AU155" s="742"/>
      <c r="AV155" s="742"/>
      <c r="AW155" s="742"/>
      <c r="AX155" s="742"/>
      <c r="AY155" s="742"/>
      <c r="AZ155" s="742"/>
      <c r="BA155" s="742"/>
      <c r="BB155" s="742"/>
      <c r="BC155" s="742"/>
      <c r="BD155" s="742"/>
      <c r="BE155" s="742"/>
      <c r="BF155" s="742"/>
      <c r="BG155" s="742"/>
      <c r="BH155" s="742"/>
      <c r="BI155" s="742"/>
      <c r="BJ155" s="742"/>
      <c r="BK155" s="742"/>
    </row>
    <row r="156" spans="1:63" ht="11.25" customHeight="1">
      <c r="A156" s="614"/>
      <c r="B156" s="662"/>
      <c r="C156" s="749" t="s">
        <v>231</v>
      </c>
      <c r="D156" s="1182">
        <v>33</v>
      </c>
      <c r="E156" s="1176">
        <v>27</v>
      </c>
      <c r="F156" s="1175">
        <v>6</v>
      </c>
      <c r="G156" s="1173">
        <v>24</v>
      </c>
      <c r="H156" s="1184">
        <v>3</v>
      </c>
      <c r="I156" s="1176">
        <v>3</v>
      </c>
      <c r="J156" s="1177">
        <v>0</v>
      </c>
      <c r="K156" s="1178">
        <v>3</v>
      </c>
      <c r="L156" s="742"/>
      <c r="M156" s="742"/>
      <c r="N156" s="742"/>
      <c r="O156" s="742"/>
      <c r="P156" s="742"/>
      <c r="Q156" s="742"/>
      <c r="R156" s="742"/>
      <c r="S156" s="742"/>
      <c r="T156" s="742"/>
      <c r="U156" s="742"/>
      <c r="V156" s="742"/>
      <c r="W156" s="742"/>
      <c r="X156" s="742"/>
      <c r="Y156" s="742"/>
      <c r="Z156" s="742"/>
      <c r="AA156" s="742"/>
      <c r="AB156" s="742"/>
      <c r="AC156" s="742"/>
      <c r="AD156" s="742"/>
      <c r="AE156" s="742"/>
      <c r="AF156" s="742"/>
      <c r="AG156" s="742"/>
      <c r="AH156" s="742"/>
      <c r="AI156" s="742"/>
      <c r="AJ156" s="742"/>
      <c r="AK156" s="742"/>
      <c r="AL156" s="742"/>
      <c r="AM156" s="742"/>
      <c r="AN156" s="742"/>
      <c r="AO156" s="742"/>
      <c r="AP156" s="742"/>
      <c r="AQ156" s="742"/>
      <c r="AR156" s="742"/>
      <c r="AS156" s="742"/>
      <c r="AT156" s="742"/>
      <c r="AU156" s="742"/>
      <c r="AV156" s="742"/>
      <c r="AW156" s="742"/>
      <c r="AX156" s="742"/>
      <c r="AY156" s="742"/>
      <c r="AZ156" s="742"/>
      <c r="BA156" s="742"/>
      <c r="BB156" s="742"/>
      <c r="BC156" s="742"/>
      <c r="BD156" s="742"/>
      <c r="BE156" s="742"/>
      <c r="BF156" s="742"/>
      <c r="BG156" s="742"/>
      <c r="BH156" s="742"/>
      <c r="BI156" s="742"/>
      <c r="BJ156" s="742"/>
      <c r="BK156" s="742"/>
    </row>
    <row r="157" spans="1:63" ht="11.25" customHeight="1">
      <c r="A157" s="614"/>
      <c r="B157" s="662"/>
      <c r="C157" s="672" t="s">
        <v>293</v>
      </c>
      <c r="D157" s="1182">
        <v>0</v>
      </c>
      <c r="E157" s="1174">
        <v>0</v>
      </c>
      <c r="F157" s="1175">
        <v>0</v>
      </c>
      <c r="G157" s="1173">
        <v>0</v>
      </c>
      <c r="H157" s="1184">
        <v>0</v>
      </c>
      <c r="I157" s="1176">
        <v>0</v>
      </c>
      <c r="J157" s="1177">
        <v>0</v>
      </c>
      <c r="K157" s="1178">
        <v>0</v>
      </c>
      <c r="L157" s="742"/>
      <c r="M157" s="742"/>
      <c r="N157" s="742"/>
      <c r="O157" s="742"/>
      <c r="P157" s="742"/>
      <c r="Q157" s="742"/>
      <c r="R157" s="742"/>
      <c r="S157" s="742"/>
      <c r="T157" s="742"/>
      <c r="U157" s="742"/>
      <c r="V157" s="742"/>
      <c r="W157" s="742"/>
      <c r="X157" s="742"/>
      <c r="Y157" s="742"/>
      <c r="Z157" s="742"/>
      <c r="AA157" s="742"/>
      <c r="AB157" s="742"/>
      <c r="AC157" s="742"/>
      <c r="AD157" s="742"/>
      <c r="AE157" s="742"/>
      <c r="AF157" s="742"/>
      <c r="AG157" s="742"/>
      <c r="AH157" s="742"/>
      <c r="AI157" s="742"/>
      <c r="AJ157" s="742"/>
      <c r="AK157" s="742"/>
      <c r="AL157" s="742"/>
      <c r="AM157" s="742"/>
      <c r="AN157" s="742"/>
      <c r="AO157" s="742"/>
      <c r="AP157" s="742"/>
      <c r="AQ157" s="742"/>
      <c r="AR157" s="742"/>
      <c r="AS157" s="742"/>
      <c r="AT157" s="742"/>
      <c r="AU157" s="742"/>
      <c r="AV157" s="742"/>
      <c r="AW157" s="742"/>
      <c r="AX157" s="742"/>
      <c r="AY157" s="742"/>
      <c r="AZ157" s="742"/>
      <c r="BA157" s="742"/>
      <c r="BB157" s="742"/>
      <c r="BC157" s="742"/>
      <c r="BD157" s="742"/>
      <c r="BE157" s="742"/>
      <c r="BF157" s="742"/>
      <c r="BG157" s="742"/>
      <c r="BH157" s="742"/>
      <c r="BI157" s="742"/>
      <c r="BJ157" s="742"/>
      <c r="BK157" s="742"/>
    </row>
    <row r="158" spans="1:63" ht="11.25" customHeight="1">
      <c r="A158" s="614"/>
      <c r="B158" s="662"/>
      <c r="C158" s="672" t="s">
        <v>294</v>
      </c>
      <c r="D158" s="1182">
        <v>0</v>
      </c>
      <c r="E158" s="1174">
        <v>0</v>
      </c>
      <c r="F158" s="1177">
        <v>0</v>
      </c>
      <c r="G158" s="1173">
        <v>0</v>
      </c>
      <c r="H158" s="1184">
        <v>0</v>
      </c>
      <c r="I158" s="1176">
        <v>0</v>
      </c>
      <c r="J158" s="1177">
        <v>0</v>
      </c>
      <c r="K158" s="1178">
        <v>0</v>
      </c>
      <c r="L158" s="742"/>
      <c r="M158" s="742"/>
      <c r="N158" s="742"/>
      <c r="O158" s="742"/>
      <c r="P158" s="742"/>
      <c r="Q158" s="742"/>
      <c r="R158" s="742"/>
      <c r="S158" s="742"/>
      <c r="T158" s="742"/>
      <c r="U158" s="742"/>
      <c r="V158" s="742"/>
      <c r="W158" s="742"/>
      <c r="X158" s="742"/>
      <c r="Y158" s="742"/>
      <c r="Z158" s="742"/>
      <c r="AA158" s="742"/>
      <c r="AB158" s="742"/>
      <c r="AC158" s="742"/>
      <c r="AD158" s="742"/>
      <c r="AE158" s="742"/>
      <c r="AF158" s="742"/>
      <c r="AG158" s="742"/>
      <c r="AH158" s="742"/>
      <c r="AI158" s="742"/>
      <c r="AJ158" s="742"/>
      <c r="AK158" s="742"/>
      <c r="AL158" s="742"/>
      <c r="AM158" s="742"/>
      <c r="AN158" s="742"/>
      <c r="AO158" s="742"/>
      <c r="AP158" s="742"/>
      <c r="AQ158" s="742"/>
      <c r="AR158" s="742"/>
      <c r="AS158" s="742"/>
      <c r="AT158" s="742"/>
      <c r="AU158" s="742"/>
      <c r="AV158" s="742"/>
      <c r="AW158" s="742"/>
      <c r="AX158" s="742"/>
      <c r="AY158" s="742"/>
      <c r="AZ158" s="742"/>
      <c r="BA158" s="742"/>
      <c r="BB158" s="742"/>
      <c r="BC158" s="742"/>
      <c r="BD158" s="742"/>
      <c r="BE158" s="742"/>
      <c r="BF158" s="742"/>
      <c r="BG158" s="742"/>
      <c r="BH158" s="742"/>
      <c r="BI158" s="742"/>
      <c r="BJ158" s="742"/>
      <c r="BK158" s="742"/>
    </row>
    <row r="159" spans="1:63" ht="11.25" customHeight="1">
      <c r="A159" s="614"/>
      <c r="B159" s="662"/>
      <c r="C159" s="749" t="s">
        <v>232</v>
      </c>
      <c r="D159" s="1182">
        <v>0</v>
      </c>
      <c r="E159" s="1174">
        <v>0</v>
      </c>
      <c r="F159" s="1175">
        <v>0</v>
      </c>
      <c r="G159" s="1173">
        <v>0</v>
      </c>
      <c r="H159" s="1184">
        <v>0</v>
      </c>
      <c r="I159" s="1176">
        <v>0</v>
      </c>
      <c r="J159" s="1177">
        <v>0</v>
      </c>
      <c r="K159" s="1178">
        <v>0</v>
      </c>
      <c r="L159" s="742"/>
      <c r="M159" s="742"/>
      <c r="N159" s="742"/>
      <c r="O159" s="742"/>
      <c r="P159" s="742"/>
      <c r="Q159" s="742"/>
      <c r="R159" s="742"/>
      <c r="S159" s="742"/>
      <c r="T159" s="742"/>
      <c r="U159" s="742"/>
      <c r="V159" s="742"/>
      <c r="W159" s="742"/>
      <c r="X159" s="742"/>
      <c r="Y159" s="742"/>
      <c r="Z159" s="742"/>
      <c r="AA159" s="742"/>
      <c r="AB159" s="742"/>
      <c r="AC159" s="742"/>
      <c r="AD159" s="742"/>
      <c r="AE159" s="742"/>
      <c r="AF159" s="742"/>
      <c r="AG159" s="742"/>
      <c r="AH159" s="742"/>
      <c r="AI159" s="742"/>
      <c r="AJ159" s="742"/>
      <c r="AK159" s="742"/>
      <c r="AL159" s="742"/>
      <c r="AM159" s="742"/>
      <c r="AN159" s="742"/>
      <c r="AO159" s="742"/>
      <c r="AP159" s="742"/>
      <c r="AQ159" s="742"/>
      <c r="AR159" s="742"/>
      <c r="AS159" s="742"/>
      <c r="AT159" s="742"/>
      <c r="AU159" s="742"/>
      <c r="AV159" s="742"/>
      <c r="AW159" s="742"/>
      <c r="AX159" s="742"/>
      <c r="AY159" s="742"/>
      <c r="AZ159" s="742"/>
      <c r="BA159" s="742"/>
      <c r="BB159" s="742"/>
      <c r="BC159" s="742"/>
      <c r="BD159" s="742"/>
      <c r="BE159" s="742"/>
      <c r="BF159" s="742"/>
      <c r="BG159" s="742"/>
      <c r="BH159" s="742"/>
      <c r="BI159" s="742"/>
      <c r="BJ159" s="742"/>
      <c r="BK159" s="742"/>
    </row>
    <row r="160" spans="1:63" ht="11.25" customHeight="1">
      <c r="A160" s="614"/>
      <c r="B160" s="662"/>
      <c r="C160" s="672" t="s">
        <v>260</v>
      </c>
      <c r="D160" s="1182">
        <v>18</v>
      </c>
      <c r="E160" s="1174">
        <v>18</v>
      </c>
      <c r="F160" s="1175">
        <v>3</v>
      </c>
      <c r="G160" s="1173">
        <v>18</v>
      </c>
      <c r="H160" s="1184">
        <v>0</v>
      </c>
      <c r="I160" s="1176">
        <v>0</v>
      </c>
      <c r="J160" s="1177">
        <v>0</v>
      </c>
      <c r="K160" s="1178">
        <v>0</v>
      </c>
      <c r="L160" s="742"/>
      <c r="M160" s="742"/>
      <c r="N160" s="742"/>
      <c r="O160" s="742"/>
      <c r="P160" s="742"/>
      <c r="Q160" s="742"/>
      <c r="R160" s="742"/>
      <c r="S160" s="742"/>
      <c r="T160" s="742"/>
      <c r="U160" s="742"/>
      <c r="V160" s="742"/>
      <c r="W160" s="742"/>
      <c r="X160" s="742"/>
      <c r="Y160" s="742"/>
      <c r="Z160" s="742"/>
      <c r="AA160" s="742"/>
      <c r="AB160" s="742"/>
      <c r="AC160" s="742"/>
      <c r="AD160" s="742"/>
      <c r="AE160" s="742"/>
      <c r="AF160" s="742"/>
      <c r="AG160" s="742"/>
      <c r="AH160" s="742"/>
      <c r="AI160" s="742"/>
      <c r="AJ160" s="742"/>
      <c r="AK160" s="742"/>
      <c r="AL160" s="742"/>
      <c r="AM160" s="742"/>
      <c r="AN160" s="742"/>
      <c r="AO160" s="742"/>
      <c r="AP160" s="742"/>
      <c r="AQ160" s="742"/>
      <c r="AR160" s="742"/>
      <c r="AS160" s="742"/>
      <c r="AT160" s="742"/>
      <c r="AU160" s="742"/>
      <c r="AV160" s="742"/>
      <c r="AW160" s="742"/>
      <c r="AX160" s="742"/>
      <c r="AY160" s="742"/>
      <c r="AZ160" s="742"/>
      <c r="BA160" s="742"/>
      <c r="BB160" s="742"/>
      <c r="BC160" s="742"/>
      <c r="BD160" s="742"/>
      <c r="BE160" s="742"/>
      <c r="BF160" s="742"/>
      <c r="BG160" s="742"/>
      <c r="BH160" s="742"/>
      <c r="BI160" s="742"/>
      <c r="BJ160" s="742"/>
      <c r="BK160" s="742"/>
    </row>
    <row r="161" spans="1:63" s="388" customFormat="1" ht="3" customHeight="1">
      <c r="A161" s="751"/>
      <c r="B161" s="752"/>
      <c r="C161" s="661" t="s">
        <v>260</v>
      </c>
      <c r="D161" s="1182"/>
      <c r="E161" s="1176"/>
      <c r="F161" s="1175"/>
      <c r="G161" s="1173"/>
      <c r="H161" s="1176"/>
      <c r="I161" s="1176"/>
      <c r="J161" s="1177"/>
      <c r="K161" s="1178"/>
      <c r="L161" s="389"/>
      <c r="M161" s="389"/>
      <c r="N161" s="389"/>
      <c r="O161" s="389"/>
      <c r="P161" s="389"/>
      <c r="Q161" s="389"/>
      <c r="R161" s="389"/>
      <c r="S161" s="389"/>
      <c r="T161" s="389"/>
      <c r="U161" s="389"/>
      <c r="V161" s="389"/>
      <c r="W161" s="389"/>
      <c r="X161" s="389"/>
      <c r="Y161" s="389"/>
      <c r="Z161" s="389"/>
      <c r="AA161" s="389"/>
      <c r="AB161" s="389"/>
      <c r="AC161" s="389"/>
      <c r="AD161" s="389"/>
      <c r="AE161" s="389"/>
      <c r="AF161" s="389"/>
      <c r="AG161" s="389"/>
      <c r="AH161" s="389"/>
      <c r="AI161" s="389"/>
      <c r="AJ161" s="389"/>
      <c r="AK161" s="389"/>
      <c r="AL161" s="389"/>
      <c r="AM161" s="389"/>
      <c r="AN161" s="389"/>
      <c r="AO161" s="389"/>
      <c r="AP161" s="389"/>
      <c r="AQ161" s="389"/>
      <c r="AR161" s="389"/>
      <c r="AS161" s="389"/>
      <c r="AT161" s="389"/>
      <c r="AU161" s="389"/>
      <c r="AV161" s="389"/>
      <c r="AW161" s="389"/>
      <c r="AX161" s="389"/>
      <c r="AY161" s="389"/>
      <c r="AZ161" s="389"/>
      <c r="BA161" s="389"/>
      <c r="BB161" s="389"/>
      <c r="BC161" s="389"/>
      <c r="BD161" s="389"/>
      <c r="BE161" s="389"/>
      <c r="BF161" s="389"/>
      <c r="BG161" s="389"/>
      <c r="BH161" s="389"/>
      <c r="BI161" s="389"/>
      <c r="BJ161" s="389"/>
      <c r="BK161" s="389"/>
    </row>
    <row r="162" spans="1:63" s="388" customFormat="1" ht="18" customHeight="1" thickBot="1">
      <c r="A162" s="1160"/>
      <c r="B162" s="1161"/>
      <c r="C162" s="1277" t="s">
        <v>342</v>
      </c>
      <c r="D162" s="1278">
        <f t="shared" ref="D162:K162" si="0">SUM(D15:D64,D78:D117,D131:D160)</f>
        <v>2307</v>
      </c>
      <c r="E162" s="1279">
        <f t="shared" si="0"/>
        <v>1917</v>
      </c>
      <c r="F162" s="1280">
        <f t="shared" si="0"/>
        <v>396</v>
      </c>
      <c r="G162" s="1278">
        <f t="shared" si="0"/>
        <v>1884</v>
      </c>
      <c r="H162" s="1281">
        <f t="shared" si="0"/>
        <v>207</v>
      </c>
      <c r="I162" s="1281">
        <f t="shared" si="0"/>
        <v>165</v>
      </c>
      <c r="J162" s="1282">
        <f t="shared" si="0"/>
        <v>39</v>
      </c>
      <c r="K162" s="1283">
        <f t="shared" si="0"/>
        <v>120</v>
      </c>
      <c r="L162" s="389"/>
      <c r="M162" s="389"/>
      <c r="N162" s="389"/>
      <c r="O162" s="389"/>
      <c r="P162" s="389"/>
      <c r="Q162" s="389"/>
      <c r="R162" s="389"/>
      <c r="S162" s="389"/>
      <c r="T162" s="389"/>
      <c r="U162" s="389"/>
      <c r="V162" s="389"/>
      <c r="W162" s="389"/>
      <c r="X162" s="389"/>
      <c r="Y162" s="389"/>
      <c r="Z162" s="389"/>
      <c r="AA162" s="389"/>
      <c r="AB162" s="389"/>
      <c r="AC162" s="389"/>
      <c r="AD162" s="389"/>
      <c r="AE162" s="389"/>
      <c r="AF162" s="389"/>
      <c r="AG162" s="389"/>
      <c r="AH162" s="389"/>
      <c r="AI162" s="389"/>
      <c r="AJ162" s="389"/>
      <c r="AK162" s="389"/>
      <c r="AL162" s="389"/>
      <c r="AM162" s="389"/>
      <c r="AN162" s="389"/>
      <c r="AO162" s="389"/>
      <c r="AP162" s="389"/>
      <c r="AQ162" s="389"/>
      <c r="AR162" s="389"/>
      <c r="AS162" s="389"/>
      <c r="AT162" s="389"/>
      <c r="AU162" s="389"/>
      <c r="AV162" s="389"/>
      <c r="AW162" s="389"/>
      <c r="AX162" s="389"/>
      <c r="AY162" s="389"/>
      <c r="AZ162" s="389"/>
      <c r="BA162" s="389"/>
      <c r="BB162" s="389"/>
      <c r="BC162" s="389"/>
      <c r="BD162" s="389"/>
      <c r="BE162" s="389"/>
      <c r="BF162" s="389"/>
      <c r="BG162" s="389"/>
      <c r="BH162" s="389"/>
      <c r="BI162" s="389"/>
      <c r="BJ162" s="389"/>
      <c r="BK162" s="389"/>
    </row>
    <row r="163" spans="1:63" s="388" customFormat="1" ht="3.75" customHeight="1"/>
    <row r="164" spans="1:63" s="388" customFormat="1" ht="11.85" customHeight="1">
      <c r="A164" s="70" t="s">
        <v>344</v>
      </c>
      <c r="B164" s="70"/>
    </row>
    <row r="165" spans="1:63" ht="11.85" customHeight="1">
      <c r="A165" s="8" t="s">
        <v>251</v>
      </c>
      <c r="B165" s="8"/>
    </row>
    <row r="166" spans="1:63" ht="12" customHeight="1">
      <c r="A166" s="1021"/>
    </row>
    <row r="167" spans="1:63" ht="12" customHeight="1">
      <c r="A167" s="753"/>
      <c r="B167" s="753"/>
      <c r="K167" s="754"/>
    </row>
    <row r="168" spans="1:63" ht="12" customHeight="1">
      <c r="A168" s="753"/>
      <c r="B168" s="753"/>
      <c r="K168" s="754"/>
    </row>
    <row r="169" spans="1:63" ht="12" customHeight="1">
      <c r="A169" s="753"/>
      <c r="B169" s="753"/>
      <c r="K169" s="754"/>
    </row>
    <row r="170" spans="1:63" ht="12" customHeight="1">
      <c r="A170" s="753"/>
      <c r="B170" s="753"/>
      <c r="K170" s="754"/>
    </row>
    <row r="171" spans="1:63" ht="12" customHeight="1">
      <c r="A171" s="753"/>
      <c r="B171" s="753"/>
      <c r="K171" s="754"/>
    </row>
    <row r="172" spans="1:63" ht="12" customHeight="1">
      <c r="A172" s="753"/>
      <c r="B172" s="753"/>
      <c r="K172" s="754"/>
    </row>
    <row r="173" spans="1:63" ht="12" customHeight="1">
      <c r="A173" s="753"/>
      <c r="B173" s="753"/>
      <c r="K173" s="754"/>
    </row>
    <row r="174" spans="1:63" ht="12" customHeight="1">
      <c r="A174" s="753"/>
      <c r="B174" s="753"/>
      <c r="K174" s="754"/>
    </row>
    <row r="175" spans="1:63" ht="12" customHeight="1">
      <c r="A175" s="753"/>
      <c r="B175" s="753"/>
      <c r="K175" s="754"/>
    </row>
    <row r="176" spans="1:63">
      <c r="C176" s="742"/>
      <c r="D176" s="750"/>
      <c r="E176" s="742"/>
    </row>
    <row r="177" spans="3:11">
      <c r="C177" s="742"/>
      <c r="D177" s="742"/>
      <c r="E177" s="742"/>
    </row>
    <row r="178" spans="3:11">
      <c r="C178" s="387"/>
      <c r="D178" s="742"/>
      <c r="E178" s="750"/>
      <c r="F178" s="738"/>
      <c r="G178" s="738"/>
      <c r="H178" s="738"/>
      <c r="I178" s="738"/>
      <c r="J178" s="738"/>
      <c r="K178" s="738"/>
    </row>
    <row r="179" spans="3:11">
      <c r="C179" s="742"/>
      <c r="D179" s="742"/>
      <c r="E179" s="742"/>
    </row>
    <row r="180" spans="3:11">
      <c r="C180" s="742"/>
      <c r="D180" s="742"/>
      <c r="E180" s="742"/>
    </row>
    <row r="181" spans="3:11">
      <c r="C181" s="386"/>
      <c r="D181" s="742"/>
      <c r="E181" s="742"/>
    </row>
    <row r="182" spans="3:11">
      <c r="C182" s="386"/>
      <c r="D182" s="742"/>
      <c r="E182" s="742"/>
    </row>
    <row r="183" spans="3:11">
      <c r="C183" s="385"/>
      <c r="D183" s="742"/>
      <c r="E183" s="742"/>
    </row>
    <row r="184" spans="3:11">
      <c r="C184" s="742"/>
      <c r="D184" s="742"/>
      <c r="E184" s="742"/>
    </row>
    <row r="185" spans="3:11">
      <c r="C185" s="742"/>
      <c r="D185" s="750"/>
      <c r="E185" s="742"/>
    </row>
    <row r="186" spans="3:11">
      <c r="C186" s="742"/>
      <c r="D186" s="750"/>
      <c r="E186" s="742"/>
    </row>
    <row r="187" spans="3:11">
      <c r="C187" s="742"/>
      <c r="D187" s="750"/>
      <c r="E187" s="742"/>
    </row>
    <row r="188" spans="3:11">
      <c r="C188" s="742"/>
      <c r="D188" s="750"/>
      <c r="E188" s="742"/>
    </row>
    <row r="189" spans="3:11">
      <c r="C189" s="742"/>
      <c r="D189" s="750"/>
      <c r="E189" s="742"/>
    </row>
    <row r="190" spans="3:11">
      <c r="C190" s="742"/>
      <c r="D190" s="750"/>
      <c r="E190" s="742"/>
    </row>
    <row r="191" spans="3:11">
      <c r="C191" s="755"/>
      <c r="D191" s="750"/>
      <c r="E191" s="750"/>
    </row>
    <row r="192" spans="3:11">
      <c r="C192" s="742"/>
      <c r="D192" s="750"/>
      <c r="E192" s="742"/>
    </row>
    <row r="193" spans="3:5">
      <c r="C193" s="742"/>
      <c r="D193" s="750"/>
      <c r="E193" s="742"/>
    </row>
    <row r="194" spans="3:5">
      <c r="C194" s="755"/>
      <c r="D194" s="750"/>
      <c r="E194" s="750"/>
    </row>
    <row r="195" spans="3:5">
      <c r="C195" s="742"/>
      <c r="D195" s="750"/>
      <c r="E195" s="742"/>
    </row>
    <row r="196" spans="3:5">
      <c r="C196" s="755"/>
      <c r="D196" s="750"/>
      <c r="E196" s="750"/>
    </row>
    <row r="197" spans="3:5">
      <c r="C197" s="742"/>
      <c r="D197" s="750"/>
      <c r="E197" s="742"/>
    </row>
    <row r="198" spans="3:5">
      <c r="C198" s="755"/>
      <c r="D198" s="756"/>
      <c r="E198" s="756"/>
    </row>
    <row r="199" spans="3:5">
      <c r="C199" s="742"/>
      <c r="D199" s="756"/>
      <c r="E199" s="742"/>
    </row>
    <row r="200" spans="3:5">
      <c r="C200" s="742"/>
      <c r="D200" s="756"/>
      <c r="E200" s="742"/>
    </row>
    <row r="201" spans="3:5">
      <c r="C201" s="385"/>
      <c r="D201" s="756"/>
      <c r="E201" s="756"/>
    </row>
    <row r="202" spans="3:5">
      <c r="C202" s="742"/>
      <c r="D202" s="756"/>
      <c r="E202" s="742"/>
    </row>
  </sheetData>
  <mergeCells count="22">
    <mergeCell ref="A67:D67"/>
    <mergeCell ref="A69:K69"/>
    <mergeCell ref="A71:B76"/>
    <mergeCell ref="D71:K71"/>
    <mergeCell ref="H72:K72"/>
    <mergeCell ref="H73:K73"/>
    <mergeCell ref="C73:C74"/>
    <mergeCell ref="C75:C76"/>
    <mergeCell ref="A3:D3"/>
    <mergeCell ref="H9:K9"/>
    <mergeCell ref="H10:K10"/>
    <mergeCell ref="D8:K8"/>
    <mergeCell ref="A5:K5"/>
    <mergeCell ref="A8:B13"/>
    <mergeCell ref="C10:C11"/>
    <mergeCell ref="C12:C13"/>
    <mergeCell ref="A124:B129"/>
    <mergeCell ref="D124:K124"/>
    <mergeCell ref="H125:K125"/>
    <mergeCell ref="H126:K126"/>
    <mergeCell ref="A120:D120"/>
    <mergeCell ref="A122:K122"/>
  </mergeCells>
  <printOptions horizontalCentered="1"/>
  <pageMargins left="0.23622047244094491" right="0.19685039370078741" top="0.70866141732283472" bottom="0.27559055118110237" header="0.51181102362204722" footer="0.15748031496062992"/>
  <pageSetup paperSize="9" scale="77" fitToHeight="2" orientation="landscape" r:id="rId1"/>
  <headerFooter alignWithMargins="0">
    <oddHeader>&amp;C&amp;"Arial,Standard"&amp;8
&amp;R&amp;8&amp;D</oddHeader>
    <oddFooter>&amp;R
&amp;12...</oddFooter>
  </headerFooter>
  <rowBreaks count="2" manualBreakCount="2">
    <brk id="65" max="16383" man="1"/>
    <brk id="118"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C00000"/>
  </sheetPr>
  <dimension ref="A2:AG36"/>
  <sheetViews>
    <sheetView zoomScaleNormal="100" zoomScaleSheetLayoutView="100" workbookViewId="0">
      <selection activeCell="C12" sqref="C12"/>
    </sheetView>
  </sheetViews>
  <sheetFormatPr baseColWidth="10" defaultColWidth="11.42578125" defaultRowHeight="15"/>
  <cols>
    <col min="1" max="1" width="5.42578125" style="772" customWidth="1"/>
    <col min="2" max="2" width="1.140625" style="772" customWidth="1"/>
    <col min="3" max="4" width="9.42578125" style="772" customWidth="1"/>
    <col min="5" max="5" width="9.42578125" style="840" customWidth="1"/>
    <col min="6" max="8" width="9.42578125" style="772" customWidth="1"/>
    <col min="9" max="10" width="11.42578125" style="772" customWidth="1"/>
    <col min="11" max="12" width="9.42578125" style="772" customWidth="1"/>
    <col min="13" max="13" width="9.42578125" style="840" customWidth="1"/>
    <col min="14" max="16" width="9.42578125" style="772" customWidth="1"/>
    <col min="17" max="16384" width="11.42578125" style="772"/>
  </cols>
  <sheetData>
    <row r="2" spans="1:23">
      <c r="A2" s="2173" t="s">
        <v>387</v>
      </c>
      <c r="B2" s="2173"/>
      <c r="C2" s="2173"/>
      <c r="D2" s="2173"/>
      <c r="E2" s="769"/>
      <c r="F2" s="769"/>
      <c r="G2" s="769"/>
      <c r="H2" s="769"/>
      <c r="I2" s="770"/>
      <c r="J2" s="771"/>
      <c r="K2" s="771"/>
      <c r="L2" s="771"/>
      <c r="M2" s="771"/>
      <c r="N2" s="648"/>
    </row>
    <row r="3" spans="1:23" ht="12" customHeight="1">
      <c r="A3" s="773"/>
      <c r="B3" s="773"/>
      <c r="C3" s="774"/>
      <c r="D3" s="774"/>
      <c r="E3" s="775"/>
      <c r="F3" s="774"/>
      <c r="G3" s="774"/>
      <c r="H3" s="774"/>
      <c r="I3" s="774"/>
      <c r="J3" s="776"/>
      <c r="K3" s="774"/>
      <c r="L3" s="774"/>
      <c r="M3" s="775"/>
      <c r="N3" s="774"/>
    </row>
    <row r="4" spans="1:23" ht="18" customHeight="1">
      <c r="A4" s="2181" t="s">
        <v>384</v>
      </c>
      <c r="B4" s="2181"/>
      <c r="C4" s="2182"/>
      <c r="D4" s="2182"/>
      <c r="E4" s="2182"/>
      <c r="F4" s="2182"/>
      <c r="G4" s="2182"/>
      <c r="H4" s="2182"/>
      <c r="I4" s="2182"/>
      <c r="J4" s="2182"/>
      <c r="K4" s="2182"/>
      <c r="L4" s="2182"/>
      <c r="M4" s="2182"/>
      <c r="N4" s="2182"/>
      <c r="O4" s="2183"/>
      <c r="P4" s="2183"/>
    </row>
    <row r="5" spans="1:23" ht="18" customHeight="1" thickBot="1">
      <c r="A5" s="777"/>
      <c r="B5" s="777"/>
      <c r="C5" s="778"/>
      <c r="D5" s="778"/>
      <c r="E5" s="779"/>
      <c r="F5" s="778"/>
      <c r="G5" s="778"/>
      <c r="H5" s="778"/>
      <c r="I5" s="777"/>
      <c r="J5" s="777"/>
      <c r="K5" s="776"/>
      <c r="L5" s="776"/>
      <c r="M5" s="780"/>
      <c r="N5" s="776"/>
    </row>
    <row r="6" spans="1:23" s="753" customFormat="1" ht="15.75" customHeight="1">
      <c r="A6" s="2042" t="s">
        <v>43</v>
      </c>
      <c r="B6" s="2184"/>
      <c r="C6" s="2037" t="s">
        <v>388</v>
      </c>
      <c r="D6" s="2037"/>
      <c r="E6" s="2037"/>
      <c r="F6" s="2037"/>
      <c r="G6" s="2037"/>
      <c r="H6" s="2038"/>
      <c r="I6" s="781" t="s">
        <v>0</v>
      </c>
      <c r="J6" s="782" t="s">
        <v>1</v>
      </c>
      <c r="K6" s="2039" t="s">
        <v>254</v>
      </c>
      <c r="L6" s="2040"/>
      <c r="M6" s="2040"/>
      <c r="N6" s="2040"/>
      <c r="O6" s="2040"/>
      <c r="P6" s="2041"/>
    </row>
    <row r="7" spans="1:23" s="753" customFormat="1" ht="13.5" customHeight="1">
      <c r="A7" s="2185"/>
      <c r="B7" s="2186"/>
      <c r="C7" s="783"/>
      <c r="D7" s="784"/>
      <c r="E7" s="784"/>
      <c r="F7" s="638" t="s">
        <v>253</v>
      </c>
      <c r="G7" s="785"/>
      <c r="H7" s="785"/>
      <c r="I7" s="781" t="s">
        <v>3</v>
      </c>
      <c r="J7" s="782" t="s">
        <v>4</v>
      </c>
      <c r="K7" s="786"/>
      <c r="L7" s="784"/>
      <c r="M7" s="784"/>
      <c r="N7" s="2189" t="s">
        <v>314</v>
      </c>
      <c r="O7" s="2190"/>
      <c r="P7" s="2191"/>
    </row>
    <row r="8" spans="1:23" s="753" customFormat="1" ht="13.5" customHeight="1">
      <c r="A8" s="2185"/>
      <c r="B8" s="2186"/>
      <c r="C8" s="788"/>
      <c r="D8" s="789"/>
      <c r="E8" s="789"/>
      <c r="F8" s="636" t="s">
        <v>302</v>
      </c>
      <c r="G8" s="635"/>
      <c r="H8" s="635"/>
      <c r="I8" s="781" t="s">
        <v>8</v>
      </c>
      <c r="J8" s="782" t="s">
        <v>8</v>
      </c>
      <c r="K8" s="790"/>
      <c r="L8" s="789"/>
      <c r="M8" s="789"/>
      <c r="N8" s="2192" t="s">
        <v>343</v>
      </c>
      <c r="O8" s="2193"/>
      <c r="P8" s="2194"/>
      <c r="Q8" s="791"/>
      <c r="R8" s="791"/>
      <c r="S8" s="791"/>
      <c r="T8" s="792"/>
      <c r="U8" s="791"/>
      <c r="V8" s="791"/>
      <c r="W8" s="793"/>
    </row>
    <row r="9" spans="1:23" s="753" customFormat="1" ht="13.5" customHeight="1">
      <c r="A9" s="2185"/>
      <c r="B9" s="2186"/>
      <c r="C9" s="794" t="s">
        <v>19</v>
      </c>
      <c r="D9" s="795" t="s">
        <v>17</v>
      </c>
      <c r="E9" s="796" t="s">
        <v>18</v>
      </c>
      <c r="F9" s="784"/>
      <c r="G9" s="787"/>
      <c r="H9" s="787"/>
      <c r="I9" s="781" t="s">
        <v>20</v>
      </c>
      <c r="J9" s="782" t="s">
        <v>20</v>
      </c>
      <c r="K9" s="797" t="s">
        <v>19</v>
      </c>
      <c r="L9" s="795" t="s">
        <v>17</v>
      </c>
      <c r="M9" s="796" t="s">
        <v>18</v>
      </c>
      <c r="N9" s="797" t="s">
        <v>19</v>
      </c>
      <c r="O9" s="798" t="s">
        <v>17</v>
      </c>
      <c r="P9" s="799" t="s">
        <v>18</v>
      </c>
    </row>
    <row r="10" spans="1:23" s="753" customFormat="1" ht="13.5" customHeight="1">
      <c r="A10" s="2185"/>
      <c r="B10" s="2186"/>
      <c r="C10" s="794" t="s">
        <v>29</v>
      </c>
      <c r="D10" s="795" t="s">
        <v>28</v>
      </c>
      <c r="E10" s="796" t="s">
        <v>28</v>
      </c>
      <c r="F10" s="795" t="s">
        <v>30</v>
      </c>
      <c r="G10" s="798" t="s">
        <v>31</v>
      </c>
      <c r="H10" s="798" t="s">
        <v>32</v>
      </c>
      <c r="I10" s="781" t="s">
        <v>33</v>
      </c>
      <c r="J10" s="782" t="s">
        <v>33</v>
      </c>
      <c r="K10" s="797" t="s">
        <v>29</v>
      </c>
      <c r="L10" s="795" t="s">
        <v>28</v>
      </c>
      <c r="M10" s="796" t="s">
        <v>34</v>
      </c>
      <c r="N10" s="797" t="s">
        <v>29</v>
      </c>
      <c r="O10" s="798" t="s">
        <v>28</v>
      </c>
      <c r="P10" s="799" t="s">
        <v>34</v>
      </c>
    </row>
    <row r="11" spans="1:23" s="753" customFormat="1" ht="13.5" customHeight="1">
      <c r="A11" s="2187"/>
      <c r="B11" s="2188"/>
      <c r="C11" s="800"/>
      <c r="D11" s="801"/>
      <c r="E11" s="802"/>
      <c r="F11" s="803"/>
      <c r="G11" s="804"/>
      <c r="H11" s="804"/>
      <c r="I11" s="805" t="s">
        <v>39</v>
      </c>
      <c r="J11" s="806" t="s">
        <v>39</v>
      </c>
      <c r="K11" s="807"/>
      <c r="L11" s="803"/>
      <c r="M11" s="808"/>
      <c r="N11" s="790"/>
      <c r="O11" s="804"/>
      <c r="P11" s="809"/>
    </row>
    <row r="12" spans="1:23" ht="15" customHeight="1">
      <c r="A12" s="592" t="s">
        <v>58</v>
      </c>
      <c r="B12" s="794"/>
      <c r="C12" s="1185" t="e">
        <f>'A. Ausbildungsverh. Landwirt'!C16+'Fachkraft Agrarservice'!C13+Winzer!C13+'LW-Fachwerker'!C13+Tierwirt!C14+Fischwirt!C13+Pferdewirt!C13+'Pferdewirt (2)'!C13+Gärtner!C14+'Gaba-Fachwerker'!C13+Revierjäger!C13+Forstwirt!C13+#REF!+'Milchtechnologe-technologin'!C13+Milchw.Laborant!C13+Hauswirtschaft!C13</f>
        <v>#REF!</v>
      </c>
      <c r="D12" s="1054" t="e">
        <f>'A. Ausbildungsverh. Landwirt'!D16+'Fachkraft Agrarservice'!D13+Winzer!D13+'LW-Fachwerker'!D13+Tierwirt!D14+Fischwirt!D13+Pferdewirt!D13+'Pferdewirt (2)'!D13+Gärtner!D14+'Gaba-Fachwerker'!D13+Revierjäger!D13+Forstwirt!D13+#REF!+'Milchtechnologe-technologin'!D13+Milchw.Laborant!D13+Hauswirtschaft!D13</f>
        <v>#REF!</v>
      </c>
      <c r="E12" s="1054" t="e">
        <f>'A. Ausbildungsverh. Landwirt'!E16+'Fachkraft Agrarservice'!E13+Winzer!E13+'LW-Fachwerker'!E13+Tierwirt!E14+Fischwirt!E13+Pferdewirt!E13+'Pferdewirt (2)'!E13+Gärtner!E14+'Gaba-Fachwerker'!E13+Revierjäger!E13+Forstwirt!E13+#REF!+'Milchtechnologe-technologin'!E13+Milchw.Laborant!E13+Hauswirtschaft!E13</f>
        <v>#REF!</v>
      </c>
      <c r="F12" s="1054" t="e">
        <f>'A. Ausbildungsverh. Landwirt'!F16+'Fachkraft Agrarservice'!F13+Winzer!F13+'LW-Fachwerker'!F13+Tierwirt!F14+Fischwirt!F13+Pferdewirt!F13+'Pferdewirt (2)'!F13+Gärtner!F14+'Gaba-Fachwerker'!F13+Revierjäger!F13+Forstwirt!F13+#REF!+'Milchtechnologe-technologin'!F13+Milchw.Laborant!F13+Hauswirtschaft!F13</f>
        <v>#REF!</v>
      </c>
      <c r="G12" s="1054" t="e">
        <f>'A. Ausbildungsverh. Landwirt'!G16+'Fachkraft Agrarservice'!G13+Winzer!G13+'LW-Fachwerker'!G13+Tierwirt!G14+Fischwirt!G13+Pferdewirt!G13+'Pferdewirt (2)'!G13+Gärtner!G14+'Gaba-Fachwerker'!G13+Revierjäger!G13+Forstwirt!G13+#REF!+'Milchtechnologe-technologin'!G13+Milchw.Laborant!G13+Hauswirtschaft!G13</f>
        <v>#REF!</v>
      </c>
      <c r="H12" s="1054" t="e">
        <f>'A. Ausbildungsverh. Landwirt'!H16+'Fachkraft Agrarservice'!H13+Winzer!H13+'LW-Fachwerker'!H13+Tierwirt!H14+Fischwirt!H13+Pferdewirt!H13+'Pferdewirt (2)'!H13+Gärtner!H14+'Gaba-Fachwerker'!H13+Revierjäger!H13+Forstwirt!H13+#REF!+'Milchtechnologe-technologin'!H13+Milchw.Laborant!H13+Hauswirtschaft!H13</f>
        <v>#REF!</v>
      </c>
      <c r="I12" s="1054" t="e">
        <f>'A. Ausbildungsverh. Landwirt'!I16+'Fachkraft Agrarservice'!I13+Winzer!I13+'LW-Fachwerker'!I13+Tierwirt!I14+Fischwirt!I13+Pferdewirt!I13+'Pferdewirt (2)'!I13+Gärtner!I14+'Gaba-Fachwerker'!I13+Revierjäger!I13+Forstwirt!I13+#REF!+'Milchtechnologe-technologin'!I13+Milchw.Laborant!I13+Hauswirtschaft!I13</f>
        <v>#REF!</v>
      </c>
      <c r="J12" s="1054" t="e">
        <f>'A. Ausbildungsverh. Landwirt'!J16+'Fachkraft Agrarservice'!J13+Winzer!J13+'LW-Fachwerker'!J13+Tierwirt!J14+Fischwirt!J13+Pferdewirt!J13+'Pferdewirt (2)'!J13+Gärtner!J14+'Gaba-Fachwerker'!J13+Revierjäger!J13+Forstwirt!J13+#REF!+'Milchtechnologe-technologin'!J13+Milchw.Laborant!J13+Hauswirtschaft!J13</f>
        <v>#REF!</v>
      </c>
      <c r="K12" s="1185" t="e">
        <f>'A. Ausbildungsverh. Landwirt'!K16+'Fachkraft Agrarservice'!K13+Winzer!K13+'LW-Fachwerker'!K13+Tierwirt!K14+Fischwirt!K13+Pferdewirt!K13+'Pferdewirt (2)'!K13+Gärtner!K14+'Gaba-Fachwerker'!K13+Revierjäger!K13+Forstwirt!K13+#REF!+'Milchtechnologe-technologin'!K13+Milchw.Laborant!K13+Hauswirtschaft!K13</f>
        <v>#REF!</v>
      </c>
      <c r="L12" s="1054" t="e">
        <f>'A. Ausbildungsverh. Landwirt'!L16+'Fachkraft Agrarservice'!L13+Winzer!L13+'LW-Fachwerker'!L13+Tierwirt!L14+Fischwirt!L13+Pferdewirt!L13+'Pferdewirt (2)'!L13+Gärtner!L14+'Gaba-Fachwerker'!L13+Revierjäger!L13+Forstwirt!L13+#REF!+'Milchtechnologe-technologin'!L13+Milchw.Laborant!L13+Hauswirtschaft!L13</f>
        <v>#REF!</v>
      </c>
      <c r="M12" s="1054" t="e">
        <f>'A. Ausbildungsverh. Landwirt'!M16+'Fachkraft Agrarservice'!M13+Winzer!M13+'LW-Fachwerker'!M13+Tierwirt!M14+Fischwirt!M13+Pferdewirt!M13+'Pferdewirt (2)'!M13+Gärtner!M14+'Gaba-Fachwerker'!M13+Revierjäger!M13+Forstwirt!M13+#REF!+'Milchtechnologe-technologin'!M13+Milchw.Laborant!M13+Hauswirtschaft!M13</f>
        <v>#REF!</v>
      </c>
      <c r="N12" s="1185" t="e">
        <f>'A. Ausbildungsverh. Landwirt'!N16+'Fachkraft Agrarservice'!N13+Winzer!N13+'LW-Fachwerker'!N13+Tierwirt!N14+Fischwirt!N13+Pferdewirt!N13+'Pferdewirt (2)'!N13+Gärtner!N14+'Gaba-Fachwerker'!N13+Revierjäger!N13+Forstwirt!N13+#REF!+'Milchtechnologe-technologin'!N13+Milchw.Laborant!N13+Hauswirtschaft!N13</f>
        <v>#REF!</v>
      </c>
      <c r="O12" s="1054" t="e">
        <f>'A. Ausbildungsverh. Landwirt'!O16+'Fachkraft Agrarservice'!O13+Winzer!O13+'LW-Fachwerker'!O13+Tierwirt!O14+Fischwirt!O13+Pferdewirt!O13+'Pferdewirt (2)'!O13+Gärtner!O14+'Gaba-Fachwerker'!O13+Revierjäger!O13+Forstwirt!O13+#REF!+'Milchtechnologe-technologin'!O13+Milchw.Laborant!O13+Hauswirtschaft!O13</f>
        <v>#REF!</v>
      </c>
      <c r="P12" s="1055" t="e">
        <f>'A. Ausbildungsverh. Landwirt'!P16+'Fachkraft Agrarservice'!P13+Winzer!P13+'LW-Fachwerker'!P13+Tierwirt!P14+Fischwirt!P13+Pferdewirt!P13+'Pferdewirt (2)'!P13+Gärtner!P14+'Gaba-Fachwerker'!P13+Revierjäger!P13+Forstwirt!P13+#REF!+'Milchtechnologe-technologin'!P13+Milchw.Laborant!P13+Hauswirtschaft!P13</f>
        <v>#REF!</v>
      </c>
    </row>
    <row r="13" spans="1:23" ht="15" customHeight="1">
      <c r="A13" s="592" t="s">
        <v>49</v>
      </c>
      <c r="B13" s="794"/>
      <c r="C13" s="1186" t="e">
        <f>'A. Ausbildungsverh. Landwirt'!C17+'Fachkraft Agrarservice'!C14+Winzer!C14+'LW-Fachwerker'!C14+Tierwirt!C22+Fischwirt!C14+Pferdewirt!C14+'Pferdewirt (2)'!C14+Gärtner!C23+'Gaba-Fachwerker'!C14+Revierjäger!C14+Forstwirt!C14+#REF!+'Milchtechnologe-technologin'!C14+Milchw.Laborant!C14+Hauswirtschaft!C14</f>
        <v>#REF!</v>
      </c>
      <c r="D13" s="1056" t="e">
        <f>'A. Ausbildungsverh. Landwirt'!D17+'Fachkraft Agrarservice'!D14+Winzer!D14+'LW-Fachwerker'!D14+Tierwirt!D22+Fischwirt!D14+Pferdewirt!D14+'Pferdewirt (2)'!D14+Gärtner!D23+'Gaba-Fachwerker'!D14+Revierjäger!D14+Forstwirt!D14+#REF!+'Milchtechnologe-technologin'!D14+Milchw.Laborant!D14+Hauswirtschaft!D14</f>
        <v>#REF!</v>
      </c>
      <c r="E13" s="1056" t="e">
        <f>'A. Ausbildungsverh. Landwirt'!E17+'Fachkraft Agrarservice'!E14+Winzer!E14+'LW-Fachwerker'!E14+Tierwirt!E22+Fischwirt!E14+Pferdewirt!E14+'Pferdewirt (2)'!E14+Gärtner!E23+'Gaba-Fachwerker'!E14+Revierjäger!E14+Forstwirt!E14+#REF!+'Milchtechnologe-technologin'!E14+Milchw.Laborant!E14+Hauswirtschaft!E14</f>
        <v>#REF!</v>
      </c>
      <c r="F13" s="1056" t="e">
        <f>'A. Ausbildungsverh. Landwirt'!F17+'Fachkraft Agrarservice'!F14+Winzer!F14+'LW-Fachwerker'!F14+Tierwirt!F22+Fischwirt!F14+Pferdewirt!F14+'Pferdewirt (2)'!F14+Gärtner!F23+'Gaba-Fachwerker'!F14+Revierjäger!F14+Forstwirt!F14+#REF!+'Milchtechnologe-technologin'!F14+Milchw.Laborant!F14+Hauswirtschaft!F14</f>
        <v>#REF!</v>
      </c>
      <c r="G13" s="1056" t="e">
        <f>'A. Ausbildungsverh. Landwirt'!G17+'Fachkraft Agrarservice'!G14+Winzer!G14+'LW-Fachwerker'!G14+Tierwirt!G22+Fischwirt!G14+Pferdewirt!G14+'Pferdewirt (2)'!G14+Gärtner!G23+'Gaba-Fachwerker'!G14+Revierjäger!G14+Forstwirt!G14+#REF!+'Milchtechnologe-technologin'!G14+Milchw.Laborant!G14+Hauswirtschaft!G14</f>
        <v>#REF!</v>
      </c>
      <c r="H13" s="1056" t="e">
        <f>'A. Ausbildungsverh. Landwirt'!H17+'Fachkraft Agrarservice'!H14+Winzer!H14+'LW-Fachwerker'!H14+Tierwirt!H22+Fischwirt!H14+Pferdewirt!H14+'Pferdewirt (2)'!H14+Gärtner!H23+'Gaba-Fachwerker'!H14+Revierjäger!H14+Forstwirt!H14+#REF!+'Milchtechnologe-technologin'!H14+Milchw.Laborant!H14+Hauswirtschaft!H14</f>
        <v>#REF!</v>
      </c>
      <c r="I13" s="1056" t="e">
        <f>'A. Ausbildungsverh. Landwirt'!I17+'Fachkraft Agrarservice'!I14+Winzer!I14+'LW-Fachwerker'!I14+Tierwirt!I22+Fischwirt!I14+Pferdewirt!I14+'Pferdewirt (2)'!I14+Gärtner!I23+'Gaba-Fachwerker'!I14+Revierjäger!I14+Forstwirt!I14+#REF!+'Milchtechnologe-technologin'!I14+Milchw.Laborant!I14+Hauswirtschaft!I14</f>
        <v>#REF!</v>
      </c>
      <c r="J13" s="1056" t="e">
        <f>'A. Ausbildungsverh. Landwirt'!J17+'Fachkraft Agrarservice'!J14+Winzer!J14+'LW-Fachwerker'!J14+Tierwirt!J22+Fischwirt!J14+Pferdewirt!J14+'Pferdewirt (2)'!J14+Gärtner!J23+'Gaba-Fachwerker'!J14+Revierjäger!J14+Forstwirt!J14+#REF!+'Milchtechnologe-technologin'!J14+Milchw.Laborant!J14+Hauswirtschaft!J14</f>
        <v>#REF!</v>
      </c>
      <c r="K13" s="1186" t="e">
        <f>'A. Ausbildungsverh. Landwirt'!K17+'Fachkraft Agrarservice'!K14+Winzer!K14+'LW-Fachwerker'!K14+Tierwirt!K22+Fischwirt!K14+Pferdewirt!K14+'Pferdewirt (2)'!K14+Gärtner!K23+'Gaba-Fachwerker'!K14+Revierjäger!K14+Forstwirt!K14+#REF!+'Milchtechnologe-technologin'!K14+Milchw.Laborant!K14+Hauswirtschaft!K14</f>
        <v>#REF!</v>
      </c>
      <c r="L13" s="1056" t="e">
        <f>'A. Ausbildungsverh. Landwirt'!L17+'Fachkraft Agrarservice'!L14+Winzer!L14+'LW-Fachwerker'!L14+Tierwirt!L22+Fischwirt!L14+Pferdewirt!L14+'Pferdewirt (2)'!L14+Gärtner!L23+'Gaba-Fachwerker'!L14+Revierjäger!L14+Forstwirt!L14+#REF!+'Milchtechnologe-technologin'!L14+Milchw.Laborant!L14+Hauswirtschaft!L14</f>
        <v>#REF!</v>
      </c>
      <c r="M13" s="1056" t="e">
        <f>'A. Ausbildungsverh. Landwirt'!M17+'Fachkraft Agrarservice'!M14+Winzer!M14+'LW-Fachwerker'!M14+Tierwirt!M22+Fischwirt!M14+Pferdewirt!M14+'Pferdewirt (2)'!M14+Gärtner!M23+'Gaba-Fachwerker'!M14+Revierjäger!M14+Forstwirt!M14+#REF!+'Milchtechnologe-technologin'!M14+Milchw.Laborant!M14+Hauswirtschaft!M14</f>
        <v>#REF!</v>
      </c>
      <c r="N13" s="1187" t="e">
        <f>'A. Ausbildungsverh. Landwirt'!N17+'Fachkraft Agrarservice'!N14+Winzer!N14+'LW-Fachwerker'!N14+Tierwirt!N22+Fischwirt!N14+Pferdewirt!N14+'Pferdewirt (2)'!N14+Gärtner!N23+'Gaba-Fachwerker'!N14+Revierjäger!N14+Forstwirt!N14+#REF!+'Milchtechnologe-technologin'!N14+Milchw.Laborant!N14+Hauswirtschaft!N14</f>
        <v>#REF!</v>
      </c>
      <c r="O13" s="1056" t="e">
        <f>'A. Ausbildungsverh. Landwirt'!O17+'Fachkraft Agrarservice'!O14+Winzer!O14+'LW-Fachwerker'!O14+Tierwirt!O22+Fischwirt!O14+Pferdewirt!O14+'Pferdewirt (2)'!O14+Gärtner!O23+'Gaba-Fachwerker'!O14+Revierjäger!O14+Forstwirt!O14+#REF!+'Milchtechnologe-technologin'!O14+Milchw.Laborant!O14+Hauswirtschaft!O14</f>
        <v>#REF!</v>
      </c>
      <c r="P13" s="1057" t="e">
        <f>'A. Ausbildungsverh. Landwirt'!P17+'Fachkraft Agrarservice'!P14+Winzer!P14+'LW-Fachwerker'!P14+Tierwirt!P22+Fischwirt!P14+Pferdewirt!P14+'Pferdewirt (2)'!P14+Gärtner!P23+'Gaba-Fachwerker'!P14+Revierjäger!P14+Forstwirt!P14+#REF!+'Milchtechnologe-technologin'!P14+Milchw.Laborant!P14+Hauswirtschaft!P14</f>
        <v>#REF!</v>
      </c>
    </row>
    <row r="14" spans="1:23" ht="15" customHeight="1">
      <c r="A14" s="592" t="s">
        <v>52</v>
      </c>
      <c r="B14" s="794"/>
      <c r="C14" s="1186" t="e">
        <f>'A. Ausbildungsverh. Landwirt'!C18+'Fachkraft Agrarservice'!C15+Winzer!C15+'LW-Fachwerker'!C15+Tierwirt!C30+Fischwirt!C15+Pferdewirt!C15+'Pferdewirt (2)'!C15+Gärtner!C32+'Gaba-Fachwerker'!C15+Revierjäger!C15+Forstwirt!C15+#REF!+'Milchtechnologe-technologin'!C15+Milchw.Laborant!C15+Hauswirtschaft!C15</f>
        <v>#REF!</v>
      </c>
      <c r="D14" s="1056" t="e">
        <f>'A. Ausbildungsverh. Landwirt'!D18+'Fachkraft Agrarservice'!D15+Winzer!D15+'LW-Fachwerker'!D15+Tierwirt!D30+Fischwirt!D15+Pferdewirt!D15+'Pferdewirt (2)'!D15+Gärtner!D32+'Gaba-Fachwerker'!D15+Revierjäger!D15+Forstwirt!D15+#REF!+'Milchtechnologe-technologin'!D15+Milchw.Laborant!D15+Hauswirtschaft!D15</f>
        <v>#REF!</v>
      </c>
      <c r="E14" s="1056" t="e">
        <f>'A. Ausbildungsverh. Landwirt'!E18+'Fachkraft Agrarservice'!E15+Winzer!E15+'LW-Fachwerker'!E15+Tierwirt!E30+Fischwirt!E15+Pferdewirt!E15+'Pferdewirt (2)'!E15+Gärtner!E32+'Gaba-Fachwerker'!E15+Revierjäger!E15+Forstwirt!E15+#REF!+'Milchtechnologe-technologin'!E15+Milchw.Laborant!E15+Hauswirtschaft!E15</f>
        <v>#REF!</v>
      </c>
      <c r="F14" s="1056" t="e">
        <f>'A. Ausbildungsverh. Landwirt'!F18+'Fachkraft Agrarservice'!F15+Winzer!F15+'LW-Fachwerker'!F15+Tierwirt!F30+Fischwirt!F15+Pferdewirt!F15+'Pferdewirt (2)'!F15+Gärtner!F32+'Gaba-Fachwerker'!F15+Revierjäger!F15+Forstwirt!F15+#REF!+'Milchtechnologe-technologin'!F15+Milchw.Laborant!F15+Hauswirtschaft!F15</f>
        <v>#REF!</v>
      </c>
      <c r="G14" s="1056" t="e">
        <f>'A. Ausbildungsverh. Landwirt'!G18+'Fachkraft Agrarservice'!G15+Winzer!G15+'LW-Fachwerker'!G15+Tierwirt!G30+Fischwirt!G15+Pferdewirt!G15+'Pferdewirt (2)'!G15+Gärtner!G32+'Gaba-Fachwerker'!G15+Revierjäger!G15+Forstwirt!G15+#REF!+'Milchtechnologe-technologin'!G15+Milchw.Laborant!G15+Hauswirtschaft!G15</f>
        <v>#REF!</v>
      </c>
      <c r="H14" s="1056" t="e">
        <f>'A. Ausbildungsverh. Landwirt'!H18+'Fachkraft Agrarservice'!H15+Winzer!H15+'LW-Fachwerker'!H15+Tierwirt!H30+Fischwirt!H15+Pferdewirt!H15+'Pferdewirt (2)'!H15+Gärtner!H32+'Gaba-Fachwerker'!H15+Revierjäger!H15+Forstwirt!H15+#REF!+'Milchtechnologe-technologin'!H15+Milchw.Laborant!H15+Hauswirtschaft!H15</f>
        <v>#REF!</v>
      </c>
      <c r="I14" s="1056" t="e">
        <f>'A. Ausbildungsverh. Landwirt'!I18+'Fachkraft Agrarservice'!I15+Winzer!I15+'LW-Fachwerker'!I15+Tierwirt!I30+Fischwirt!I15+Pferdewirt!I15+'Pferdewirt (2)'!I15+Gärtner!I32+'Gaba-Fachwerker'!I15+Revierjäger!I15+Forstwirt!I15+#REF!+'Milchtechnologe-technologin'!I15+Milchw.Laborant!I15+Hauswirtschaft!I15</f>
        <v>#REF!</v>
      </c>
      <c r="J14" s="1056" t="e">
        <f>'A. Ausbildungsverh. Landwirt'!J18+'Fachkraft Agrarservice'!J15+Winzer!J15+'LW-Fachwerker'!J15+Tierwirt!J30+Fischwirt!J15+Pferdewirt!J15+'Pferdewirt (2)'!J15+Gärtner!J32+'Gaba-Fachwerker'!J15+Revierjäger!J15+Forstwirt!J15+#REF!+'Milchtechnologe-technologin'!J15+Milchw.Laborant!J15+Hauswirtschaft!J15</f>
        <v>#REF!</v>
      </c>
      <c r="K14" s="1186" t="e">
        <f>'A. Ausbildungsverh. Landwirt'!K18+'Fachkraft Agrarservice'!K15+Winzer!K15+'LW-Fachwerker'!K15+Tierwirt!K30+Fischwirt!K15+Pferdewirt!K15+'Pferdewirt (2)'!K15+Gärtner!K32+'Gaba-Fachwerker'!K15+Revierjäger!K15+Forstwirt!K15+#REF!+'Milchtechnologe-technologin'!K15+Milchw.Laborant!K15+Hauswirtschaft!K15</f>
        <v>#REF!</v>
      </c>
      <c r="L14" s="1056" t="e">
        <f>'A. Ausbildungsverh. Landwirt'!L18+'Fachkraft Agrarservice'!L15+Winzer!L15+'LW-Fachwerker'!L15+Tierwirt!L30+Fischwirt!L15+Pferdewirt!L15+'Pferdewirt (2)'!L15+Gärtner!L32+'Gaba-Fachwerker'!L15+Revierjäger!L15+Forstwirt!L15+#REF!+'Milchtechnologe-technologin'!L15+Milchw.Laborant!L15+Hauswirtschaft!L15</f>
        <v>#REF!</v>
      </c>
      <c r="M14" s="1056" t="e">
        <f>'A. Ausbildungsverh. Landwirt'!M18+'Fachkraft Agrarservice'!M15+Winzer!M15+'LW-Fachwerker'!M15+Tierwirt!M30+Fischwirt!M15+Pferdewirt!M15+'Pferdewirt (2)'!M15+Gärtner!M32+'Gaba-Fachwerker'!M15+Revierjäger!M15+Forstwirt!M15+#REF!+'Milchtechnologe-technologin'!M15+Milchw.Laborant!M15+Hauswirtschaft!M15</f>
        <v>#REF!</v>
      </c>
      <c r="N14" s="1186" t="e">
        <f>'A. Ausbildungsverh. Landwirt'!N18+'Fachkraft Agrarservice'!N15+Winzer!N15+'LW-Fachwerker'!N15+Tierwirt!N30+Fischwirt!N15+Pferdewirt!N15+'Pferdewirt (2)'!N15+Gärtner!N32+'Gaba-Fachwerker'!N15+Revierjäger!N15+Forstwirt!N15+#REF!+'Milchtechnologe-technologin'!N15+Milchw.Laborant!N15+Hauswirtschaft!N15</f>
        <v>#REF!</v>
      </c>
      <c r="O14" s="1056" t="e">
        <f>'A. Ausbildungsverh. Landwirt'!O18+'Fachkraft Agrarservice'!O15+Winzer!O15+'LW-Fachwerker'!O15+Tierwirt!O30+Fischwirt!O15+Pferdewirt!O15+'Pferdewirt (2)'!O15+Gärtner!O32+'Gaba-Fachwerker'!O15+Revierjäger!O15+Forstwirt!O15+#REF!+'Milchtechnologe-technologin'!O15+Milchw.Laborant!O15+Hauswirtschaft!O15</f>
        <v>#REF!</v>
      </c>
      <c r="P14" s="1057" t="e">
        <f>'A. Ausbildungsverh. Landwirt'!P18+'Fachkraft Agrarservice'!P15+Winzer!P15+'LW-Fachwerker'!P15+Tierwirt!P30+Fischwirt!P15+Pferdewirt!P15+'Pferdewirt (2)'!P15+Gärtner!P32+'Gaba-Fachwerker'!P15+Revierjäger!P15+Forstwirt!P15+#REF!+'Milchtechnologe-technologin'!P15+Milchw.Laborant!P15+Hauswirtschaft!P15</f>
        <v>#REF!</v>
      </c>
    </row>
    <row r="15" spans="1:23" ht="15" customHeight="1">
      <c r="A15" s="592" t="s">
        <v>48</v>
      </c>
      <c r="B15" s="810"/>
      <c r="C15" s="1186" t="e">
        <f>'A. Ausbildungsverh. Landwirt'!C19+'Fachkraft Agrarservice'!C16+Winzer!C16+'LW-Fachwerker'!C16+Tierwirt!C38+Fischwirt!C16+Pferdewirt!C16+'Pferdewirt (2)'!C16+Gärtner!C41+'Gaba-Fachwerker'!C16+Revierjäger!C16+Forstwirt!C16+#REF!+'Milchtechnologe-technologin'!C16+Milchw.Laborant!C16+Hauswirtschaft!C16</f>
        <v>#REF!</v>
      </c>
      <c r="D15" s="1056" t="e">
        <f>'A. Ausbildungsverh. Landwirt'!D19+'Fachkraft Agrarservice'!D16+Winzer!D16+'LW-Fachwerker'!D16+Tierwirt!D38+Fischwirt!D16+Pferdewirt!D16+'Pferdewirt (2)'!D16+Gärtner!D41+'Gaba-Fachwerker'!D16+Revierjäger!D16+Forstwirt!D16+#REF!+'Milchtechnologe-technologin'!D16+Milchw.Laborant!D16+Hauswirtschaft!D16</f>
        <v>#REF!</v>
      </c>
      <c r="E15" s="1056" t="e">
        <f>'A. Ausbildungsverh. Landwirt'!E19+'Fachkraft Agrarservice'!E16+Winzer!E16+'LW-Fachwerker'!E16+Tierwirt!E38+Fischwirt!E16+Pferdewirt!E16+'Pferdewirt (2)'!E16+Gärtner!E41+'Gaba-Fachwerker'!E16+Revierjäger!E16+Forstwirt!E16+#REF!+'Milchtechnologe-technologin'!E16+Milchw.Laborant!E16+Hauswirtschaft!E16</f>
        <v>#REF!</v>
      </c>
      <c r="F15" s="1056" t="e">
        <f>'A. Ausbildungsverh. Landwirt'!F19+'Fachkraft Agrarservice'!F16+Winzer!F16+'LW-Fachwerker'!F16+Tierwirt!F38+Fischwirt!F16+Pferdewirt!F16+'Pferdewirt (2)'!F16+Gärtner!F41+'Gaba-Fachwerker'!F16+Revierjäger!F16+Forstwirt!F16+#REF!+'Milchtechnologe-technologin'!F16+Milchw.Laborant!F16+Hauswirtschaft!F16</f>
        <v>#REF!</v>
      </c>
      <c r="G15" s="1056" t="e">
        <f>'A. Ausbildungsverh. Landwirt'!G19+'Fachkraft Agrarservice'!G16+Winzer!G16+'LW-Fachwerker'!G16+Tierwirt!G38+Fischwirt!G16+Pferdewirt!G16+'Pferdewirt (2)'!G16+Gärtner!G41+'Gaba-Fachwerker'!G16+Revierjäger!G16+Forstwirt!G16+#REF!+'Milchtechnologe-technologin'!G16+Milchw.Laborant!G16+Hauswirtschaft!G16</f>
        <v>#REF!</v>
      </c>
      <c r="H15" s="1056" t="e">
        <f>'A. Ausbildungsverh. Landwirt'!H19+'Fachkraft Agrarservice'!H16+Winzer!H16+'LW-Fachwerker'!H16+Tierwirt!H38+Fischwirt!H16+Pferdewirt!H16+'Pferdewirt (2)'!H16+Gärtner!H41+'Gaba-Fachwerker'!H16+Revierjäger!H16+Forstwirt!H16+#REF!+'Milchtechnologe-technologin'!H16+Milchw.Laborant!H16+Hauswirtschaft!H16</f>
        <v>#REF!</v>
      </c>
      <c r="I15" s="1056" t="e">
        <f>'A. Ausbildungsverh. Landwirt'!I19+'Fachkraft Agrarservice'!I16+Winzer!I16+'LW-Fachwerker'!I16+Tierwirt!I38+Fischwirt!I16+Pferdewirt!I16+'Pferdewirt (2)'!I16+Gärtner!I41+'Gaba-Fachwerker'!I16+Revierjäger!I16+Forstwirt!I16+#REF!+'Milchtechnologe-technologin'!I16+Milchw.Laborant!I16+Hauswirtschaft!I16</f>
        <v>#REF!</v>
      </c>
      <c r="J15" s="1056" t="e">
        <f>'A. Ausbildungsverh. Landwirt'!J19+'Fachkraft Agrarservice'!J16+Winzer!J16+'LW-Fachwerker'!J16+Tierwirt!J38+Fischwirt!J16+Pferdewirt!J16+'Pferdewirt (2)'!J16+Gärtner!J41+'Gaba-Fachwerker'!J16+Revierjäger!J16+Forstwirt!J16+#REF!+'Milchtechnologe-technologin'!J16+Milchw.Laborant!J16+Hauswirtschaft!J16</f>
        <v>#REF!</v>
      </c>
      <c r="K15" s="1186" t="e">
        <f>'A. Ausbildungsverh. Landwirt'!K19+'Fachkraft Agrarservice'!K16+Winzer!K16+'LW-Fachwerker'!K16+Tierwirt!K38+Fischwirt!K16+Pferdewirt!K16+'Pferdewirt (2)'!K16+Gärtner!K41+'Gaba-Fachwerker'!K16+Revierjäger!K16+Forstwirt!K16+#REF!+'Milchtechnologe-technologin'!K16+Milchw.Laborant!K16+Hauswirtschaft!K16</f>
        <v>#REF!</v>
      </c>
      <c r="L15" s="1056" t="e">
        <f>'A. Ausbildungsverh. Landwirt'!L19+'Fachkraft Agrarservice'!L16+Winzer!L16+'LW-Fachwerker'!L16+Tierwirt!L38+Fischwirt!L16+Pferdewirt!L16+'Pferdewirt (2)'!L16+Gärtner!L41+'Gaba-Fachwerker'!L16+Revierjäger!L16+Forstwirt!L16+#REF!+'Milchtechnologe-technologin'!L16+Milchw.Laborant!L16+Hauswirtschaft!L16</f>
        <v>#REF!</v>
      </c>
      <c r="M15" s="1056" t="e">
        <f>'A. Ausbildungsverh. Landwirt'!M19+'Fachkraft Agrarservice'!M16+Winzer!M16+'LW-Fachwerker'!M16+Tierwirt!M38+Fischwirt!M16+Pferdewirt!M16+'Pferdewirt (2)'!M16+Gärtner!M41+'Gaba-Fachwerker'!M16+Revierjäger!M16+Forstwirt!M16+#REF!+'Milchtechnologe-technologin'!M16+Milchw.Laborant!M16+Hauswirtschaft!M16</f>
        <v>#REF!</v>
      </c>
      <c r="N15" s="1187" t="e">
        <f>'A. Ausbildungsverh. Landwirt'!N19+'Fachkraft Agrarservice'!N16+Winzer!N16+'LW-Fachwerker'!N16+Tierwirt!N38+Fischwirt!N16+Pferdewirt!N16+'Pferdewirt (2)'!N16+Gärtner!N41+'Gaba-Fachwerker'!N16+Revierjäger!N16+Forstwirt!N16+#REF!+'Milchtechnologe-technologin'!N16+Milchw.Laborant!N16+Hauswirtschaft!N16</f>
        <v>#REF!</v>
      </c>
      <c r="O15" s="1056" t="e">
        <f>'A. Ausbildungsverh. Landwirt'!O19+'Fachkraft Agrarservice'!O16+Winzer!O16+'LW-Fachwerker'!O16+Tierwirt!O38+Fischwirt!O16+Pferdewirt!O16+'Pferdewirt (2)'!O16+Gärtner!O41+'Gaba-Fachwerker'!O16+Revierjäger!O16+Forstwirt!O16+#REF!+'Milchtechnologe-technologin'!O16+Milchw.Laborant!O16+Hauswirtschaft!O16</f>
        <v>#REF!</v>
      </c>
      <c r="P15" s="1057" t="e">
        <f>'A. Ausbildungsverh. Landwirt'!P19+'Fachkraft Agrarservice'!P16+Winzer!P16+'LW-Fachwerker'!P16+Tierwirt!P38+Fischwirt!P16+Pferdewirt!P16+'Pferdewirt (2)'!P16+Gärtner!P41+'Gaba-Fachwerker'!P16+Revierjäger!P16+Forstwirt!P16+#REF!+'Milchtechnologe-technologin'!P16+Milchw.Laborant!P16+Hauswirtschaft!P16</f>
        <v>#REF!</v>
      </c>
    </row>
    <row r="16" spans="1:23" ht="15" customHeight="1">
      <c r="A16" s="592" t="s">
        <v>53</v>
      </c>
      <c r="B16" s="810"/>
      <c r="C16" s="1186" t="e">
        <f>'A. Ausbildungsverh. Landwirt'!C20+'Fachkraft Agrarservice'!C17+Winzer!C17+'LW-Fachwerker'!C17+Tierwirt!C46+Fischwirt!C17+Pferdewirt!C17+'Pferdewirt (2)'!C17+Gärtner!C61+'Gaba-Fachwerker'!C17+Revierjäger!C17+Forstwirt!C17+#REF!+'Milchtechnologe-technologin'!C17+Milchw.Laborant!C17+Hauswirtschaft!C17</f>
        <v>#REF!</v>
      </c>
      <c r="D16" s="1056" t="e">
        <f>'A. Ausbildungsverh. Landwirt'!D20+'Fachkraft Agrarservice'!D17+Winzer!D17+'LW-Fachwerker'!D17+Tierwirt!D46+Fischwirt!D17+Pferdewirt!D17+'Pferdewirt (2)'!D17+Gärtner!D61+'Gaba-Fachwerker'!D17+Revierjäger!D17+Forstwirt!D17+#REF!+'Milchtechnologe-technologin'!D17+Milchw.Laborant!D17+Hauswirtschaft!D17</f>
        <v>#REF!</v>
      </c>
      <c r="E16" s="1056" t="e">
        <f>'A. Ausbildungsverh. Landwirt'!E20+'Fachkraft Agrarservice'!E17+Winzer!E17+'LW-Fachwerker'!E17+Tierwirt!E46+Fischwirt!E17+Pferdewirt!E17+'Pferdewirt (2)'!E17+Gärtner!E61+'Gaba-Fachwerker'!E17+Revierjäger!E17+Forstwirt!E17+#REF!+'Milchtechnologe-technologin'!E17+Milchw.Laborant!E17+Hauswirtschaft!E17</f>
        <v>#REF!</v>
      </c>
      <c r="F16" s="1056" t="e">
        <f>'A. Ausbildungsverh. Landwirt'!F20+'Fachkraft Agrarservice'!F17+Winzer!F17+'LW-Fachwerker'!F17+Tierwirt!F46+Fischwirt!F17+Pferdewirt!F17+'Pferdewirt (2)'!F17+Gärtner!F61+'Gaba-Fachwerker'!F17+Revierjäger!F17+Forstwirt!F17+#REF!+'Milchtechnologe-technologin'!F17+Milchw.Laborant!F17+Hauswirtschaft!F17</f>
        <v>#REF!</v>
      </c>
      <c r="G16" s="1056" t="e">
        <f>'A. Ausbildungsverh. Landwirt'!G20+'Fachkraft Agrarservice'!G17+Winzer!G17+'LW-Fachwerker'!G17+Tierwirt!G46+Fischwirt!G17+Pferdewirt!G17+'Pferdewirt (2)'!G17+Gärtner!G61+'Gaba-Fachwerker'!G17+Revierjäger!G17+Forstwirt!G17+#REF!+'Milchtechnologe-technologin'!G17+Milchw.Laborant!G17+Hauswirtschaft!G17</f>
        <v>#REF!</v>
      </c>
      <c r="H16" s="1056" t="e">
        <f>'A. Ausbildungsverh. Landwirt'!H20+'Fachkraft Agrarservice'!H17+Winzer!H17+'LW-Fachwerker'!H17+Tierwirt!H46+Fischwirt!H17+Pferdewirt!H17+'Pferdewirt (2)'!H17+Gärtner!H61+'Gaba-Fachwerker'!H17+Revierjäger!H17+Forstwirt!H17+#REF!+'Milchtechnologe-technologin'!H17+Milchw.Laborant!H17+Hauswirtschaft!H17</f>
        <v>#REF!</v>
      </c>
      <c r="I16" s="1056" t="e">
        <f>'A. Ausbildungsverh. Landwirt'!I20+'Fachkraft Agrarservice'!I17+Winzer!I17+'LW-Fachwerker'!I17+Tierwirt!I46+Fischwirt!I17+Pferdewirt!I17+'Pferdewirt (2)'!I17+Gärtner!I61+'Gaba-Fachwerker'!I17+Revierjäger!I17+Forstwirt!I17+#REF!+'Milchtechnologe-technologin'!I17+Milchw.Laborant!I17+Hauswirtschaft!I17</f>
        <v>#REF!</v>
      </c>
      <c r="J16" s="1056" t="e">
        <f>'A. Ausbildungsverh. Landwirt'!J20+'Fachkraft Agrarservice'!J17+Winzer!J17+'LW-Fachwerker'!J17+Tierwirt!J46+Fischwirt!J17+Pferdewirt!J17+'Pferdewirt (2)'!J17+Gärtner!J61+'Gaba-Fachwerker'!J17+Revierjäger!J17+Forstwirt!J17+#REF!+'Milchtechnologe-technologin'!J17+Milchw.Laborant!J17+Hauswirtschaft!J17</f>
        <v>#REF!</v>
      </c>
      <c r="K16" s="1186" t="e">
        <f>'A. Ausbildungsverh. Landwirt'!K20+'Fachkraft Agrarservice'!K17+Winzer!K17+'LW-Fachwerker'!K17+Tierwirt!K46+Fischwirt!K17+Pferdewirt!K17+'Pferdewirt (2)'!K17+Gärtner!K61+'Gaba-Fachwerker'!K17+Revierjäger!K17+Forstwirt!K17+#REF!+'Milchtechnologe-technologin'!K17+Milchw.Laborant!K17+Hauswirtschaft!K17</f>
        <v>#REF!</v>
      </c>
      <c r="L16" s="1056" t="e">
        <f>'A. Ausbildungsverh. Landwirt'!L20+'Fachkraft Agrarservice'!L17+Winzer!L17+'LW-Fachwerker'!L17+Tierwirt!L46+Fischwirt!L17+Pferdewirt!L17+'Pferdewirt (2)'!L17+Gärtner!L61+'Gaba-Fachwerker'!L17+Revierjäger!L17+Forstwirt!L17+#REF!+'Milchtechnologe-technologin'!L17+Milchw.Laborant!L17+Hauswirtschaft!L17</f>
        <v>#REF!</v>
      </c>
      <c r="M16" s="1056" t="e">
        <f>'A. Ausbildungsverh. Landwirt'!M20+'Fachkraft Agrarservice'!M17+Winzer!M17+'LW-Fachwerker'!M17+Tierwirt!M46+Fischwirt!M17+Pferdewirt!M17+'Pferdewirt (2)'!M17+Gärtner!M61+'Gaba-Fachwerker'!M17+Revierjäger!M17+Forstwirt!M17+#REF!+'Milchtechnologe-technologin'!M17+Milchw.Laborant!M17+Hauswirtschaft!M17</f>
        <v>#REF!</v>
      </c>
      <c r="N16" s="1187" t="e">
        <f>'A. Ausbildungsverh. Landwirt'!N20+'Fachkraft Agrarservice'!N17+Winzer!N17+'LW-Fachwerker'!N17+Tierwirt!N46+Fischwirt!N17+Pferdewirt!N17+'Pferdewirt (2)'!N17+Gärtner!N61+'Gaba-Fachwerker'!N17+Revierjäger!N17+Forstwirt!N17+#REF!+'Milchtechnologe-technologin'!N17+Milchw.Laborant!N17+Hauswirtschaft!N17</f>
        <v>#REF!</v>
      </c>
      <c r="O16" s="1056" t="e">
        <f>'A. Ausbildungsverh. Landwirt'!O20+'Fachkraft Agrarservice'!O17+Winzer!O17+'LW-Fachwerker'!O17+Tierwirt!O46+Fischwirt!O17+Pferdewirt!O17+'Pferdewirt (2)'!O17+Gärtner!O61+'Gaba-Fachwerker'!O17+Revierjäger!O17+Forstwirt!O17+#REF!+'Milchtechnologe-technologin'!O17+Milchw.Laborant!O17+Hauswirtschaft!O17</f>
        <v>#REF!</v>
      </c>
      <c r="P16" s="1057" t="e">
        <f>'A. Ausbildungsverh. Landwirt'!P20+'Fachkraft Agrarservice'!P17+Winzer!P17+'LW-Fachwerker'!P17+Tierwirt!P46+Fischwirt!P17+Pferdewirt!P17+'Pferdewirt (2)'!P17+Gärtner!P61+'Gaba-Fachwerker'!P17+Revierjäger!P17+Forstwirt!P17+#REF!+'Milchtechnologe-technologin'!P17+Milchw.Laborant!P17+Hauswirtschaft!P17</f>
        <v>#REF!</v>
      </c>
    </row>
    <row r="17" spans="1:33" ht="15" customHeight="1">
      <c r="A17" s="592" t="s">
        <v>50</v>
      </c>
      <c r="B17" s="794"/>
      <c r="C17" s="1186" t="e">
        <f>'A. Ausbildungsverh. Landwirt'!C21+'Fachkraft Agrarservice'!C18+Winzer!C18+'LW-Fachwerker'!C18+Tierwirt!C66+Fischwirt!C18+Pferdewirt!C18+'Pferdewirt (2)'!C18+Gärtner!C70+'Gaba-Fachwerker'!C18+Revierjäger!C18+Forstwirt!C18+#REF!+'Milchtechnologe-technologin'!C18+Milchw.Laborant!C18+Hauswirtschaft!C18</f>
        <v>#REF!</v>
      </c>
      <c r="D17" s="1056" t="e">
        <f>'A. Ausbildungsverh. Landwirt'!D21+'Fachkraft Agrarservice'!D18+Winzer!D18+'LW-Fachwerker'!D18+Tierwirt!D66+Fischwirt!D18+Pferdewirt!D18+'Pferdewirt (2)'!D18+Gärtner!D70+'Gaba-Fachwerker'!D18+Revierjäger!D18+Forstwirt!D18+#REF!+'Milchtechnologe-technologin'!D18+Milchw.Laborant!D18+Hauswirtschaft!D18</f>
        <v>#REF!</v>
      </c>
      <c r="E17" s="1056" t="e">
        <f>'A. Ausbildungsverh. Landwirt'!E21+'Fachkraft Agrarservice'!E18+Winzer!E18+'LW-Fachwerker'!E18+Tierwirt!E66+Fischwirt!E18+Pferdewirt!E18+'Pferdewirt (2)'!E18+Gärtner!E70+'Gaba-Fachwerker'!E18+Revierjäger!E18+Forstwirt!E18+#REF!+'Milchtechnologe-technologin'!E18+Milchw.Laborant!E18+Hauswirtschaft!E18</f>
        <v>#REF!</v>
      </c>
      <c r="F17" s="1056" t="e">
        <f>'A. Ausbildungsverh. Landwirt'!F21+'Fachkraft Agrarservice'!F18+Winzer!F18+'LW-Fachwerker'!F18+Tierwirt!F66+Fischwirt!F18+Pferdewirt!F18+'Pferdewirt (2)'!F18+Gärtner!F70+'Gaba-Fachwerker'!F18+Revierjäger!F18+Forstwirt!F18+#REF!+'Milchtechnologe-technologin'!F18+Milchw.Laborant!F18+Hauswirtschaft!F18</f>
        <v>#REF!</v>
      </c>
      <c r="G17" s="1056" t="e">
        <f>'A. Ausbildungsverh. Landwirt'!G21+'Fachkraft Agrarservice'!G18+Winzer!G18+'LW-Fachwerker'!G18+Tierwirt!G66+Fischwirt!G18+Pferdewirt!G18+'Pferdewirt (2)'!G18+Gärtner!G70+'Gaba-Fachwerker'!G18+Revierjäger!G18+Forstwirt!G18+#REF!+'Milchtechnologe-technologin'!G18+Milchw.Laborant!G18+Hauswirtschaft!G18</f>
        <v>#REF!</v>
      </c>
      <c r="H17" s="1056" t="e">
        <f>'A. Ausbildungsverh. Landwirt'!H21+'Fachkraft Agrarservice'!H18+Winzer!H18+'LW-Fachwerker'!H18+Tierwirt!H66+Fischwirt!H18+Pferdewirt!H18+'Pferdewirt (2)'!H18+Gärtner!H70+'Gaba-Fachwerker'!H18+Revierjäger!H18+Forstwirt!H18+#REF!+'Milchtechnologe-technologin'!H18+Milchw.Laborant!H18+Hauswirtschaft!H18</f>
        <v>#REF!</v>
      </c>
      <c r="I17" s="1056" t="e">
        <f>'A. Ausbildungsverh. Landwirt'!I21+'Fachkraft Agrarservice'!I18+Winzer!I18+'LW-Fachwerker'!I18+Tierwirt!I66+Fischwirt!I18+Pferdewirt!I18+'Pferdewirt (2)'!I18+Gärtner!I70+'Gaba-Fachwerker'!I18+Revierjäger!I18+Forstwirt!I18+#REF!+'Milchtechnologe-technologin'!I18+Milchw.Laborant!I18+Hauswirtschaft!I18</f>
        <v>#REF!</v>
      </c>
      <c r="J17" s="1056" t="e">
        <f>'A. Ausbildungsverh. Landwirt'!J21+'Fachkraft Agrarservice'!J18+Winzer!J18+'LW-Fachwerker'!J18+Tierwirt!J66+Fischwirt!J18+Pferdewirt!J18+'Pferdewirt (2)'!J18+Gärtner!J70+'Gaba-Fachwerker'!J18+Revierjäger!J18+Forstwirt!J18+#REF!+'Milchtechnologe-technologin'!J18+Milchw.Laborant!J18+Hauswirtschaft!J18</f>
        <v>#REF!</v>
      </c>
      <c r="K17" s="1186" t="e">
        <f>'A. Ausbildungsverh. Landwirt'!K21+'Fachkraft Agrarservice'!K18+Winzer!K18+'LW-Fachwerker'!K18+Tierwirt!K66+Fischwirt!K18+Pferdewirt!K18+'Pferdewirt (2)'!K18+Gärtner!K70+'Gaba-Fachwerker'!K18+Revierjäger!K18+Forstwirt!K18+#REF!+'Milchtechnologe-technologin'!K18+Milchw.Laborant!K18+Hauswirtschaft!K18</f>
        <v>#REF!</v>
      </c>
      <c r="L17" s="1056" t="e">
        <f>'A. Ausbildungsverh. Landwirt'!L21+'Fachkraft Agrarservice'!L18+Winzer!L18+'LW-Fachwerker'!L18+Tierwirt!L66+Fischwirt!L18+Pferdewirt!L18+'Pferdewirt (2)'!L18+Gärtner!L70+'Gaba-Fachwerker'!L18+Revierjäger!L18+Forstwirt!L18+#REF!+'Milchtechnologe-technologin'!L18+Milchw.Laborant!L18+Hauswirtschaft!L18</f>
        <v>#REF!</v>
      </c>
      <c r="M17" s="1056" t="e">
        <f>'A. Ausbildungsverh. Landwirt'!M21+'Fachkraft Agrarservice'!M18+Winzer!M18+'LW-Fachwerker'!M18+Tierwirt!M66+Fischwirt!M18+Pferdewirt!M18+'Pferdewirt (2)'!M18+Gärtner!M70+'Gaba-Fachwerker'!M18+Revierjäger!M18+Forstwirt!M18+#REF!+'Milchtechnologe-technologin'!M18+Milchw.Laborant!M18+Hauswirtschaft!M18</f>
        <v>#REF!</v>
      </c>
      <c r="N17" s="1187" t="e">
        <f>'A. Ausbildungsverh. Landwirt'!N21+'Fachkraft Agrarservice'!N18+Winzer!N18+'LW-Fachwerker'!N18+Tierwirt!N66+Fischwirt!N18+Pferdewirt!N18+'Pferdewirt (2)'!N18+Gärtner!N70+'Gaba-Fachwerker'!N18+Revierjäger!N18+Forstwirt!N18+#REF!+'Milchtechnologe-technologin'!N18+Milchw.Laborant!N18+Hauswirtschaft!N18</f>
        <v>#REF!</v>
      </c>
      <c r="O17" s="1056" t="e">
        <f>'A. Ausbildungsverh. Landwirt'!O21+'Fachkraft Agrarservice'!O18+Winzer!O18+'LW-Fachwerker'!O18+Tierwirt!O66+Fischwirt!O18+Pferdewirt!O18+'Pferdewirt (2)'!O18+Gärtner!O70+'Gaba-Fachwerker'!O18+Revierjäger!O18+Forstwirt!O18+#REF!+'Milchtechnologe-technologin'!O18+Milchw.Laborant!O18+Hauswirtschaft!O18</f>
        <v>#REF!</v>
      </c>
      <c r="P17" s="1057" t="e">
        <f>'A. Ausbildungsverh. Landwirt'!P21+'Fachkraft Agrarservice'!P18+Winzer!P18+'LW-Fachwerker'!P18+Tierwirt!P66+Fischwirt!P18+Pferdewirt!P18+'Pferdewirt (2)'!P18+Gärtner!P70+'Gaba-Fachwerker'!P18+Revierjäger!P18+Forstwirt!P18+#REF!+'Milchtechnologe-technologin'!P18+Milchw.Laborant!P18+Hauswirtschaft!P18</f>
        <v>#REF!</v>
      </c>
      <c r="Q17" s="811"/>
      <c r="R17" s="812"/>
      <c r="S17" s="812"/>
      <c r="T17" s="813"/>
      <c r="U17" s="774"/>
      <c r="V17" s="775"/>
      <c r="W17" s="774"/>
      <c r="X17" s="774"/>
      <c r="Y17" s="775"/>
      <c r="Z17" s="813"/>
      <c r="AA17" s="775"/>
      <c r="AB17" s="775"/>
      <c r="AC17" s="775"/>
      <c r="AD17" s="775"/>
      <c r="AE17" s="775"/>
      <c r="AF17" s="775"/>
      <c r="AG17" s="775"/>
    </row>
    <row r="18" spans="1:33" ht="15" customHeight="1">
      <c r="A18" s="592" t="s">
        <v>54</v>
      </c>
      <c r="B18" s="794"/>
      <c r="C18" s="1186" t="e">
        <f>'A. Ausbildungsverh. Landwirt'!C22+'Fachkraft Agrarservice'!C19+Winzer!C19+'LW-Fachwerker'!C19+Tierwirt!C74+Fischwirt!C19+Pferdewirt!C19+'Pferdewirt (2)'!C19+Gärtner!C80+'Gaba-Fachwerker'!C19+Revierjäger!C19+Forstwirt!C19+#REF!+'Milchtechnologe-technologin'!C19+Milchw.Laborant!C19+Hauswirtschaft!C19</f>
        <v>#REF!</v>
      </c>
      <c r="D18" s="1056" t="e">
        <f>'A. Ausbildungsverh. Landwirt'!D22+'Fachkraft Agrarservice'!D19+Winzer!D19+'LW-Fachwerker'!D19+Tierwirt!D74+Fischwirt!D19+Pferdewirt!D19+'Pferdewirt (2)'!D19+Gärtner!D80+'Gaba-Fachwerker'!D19+Revierjäger!D19+Forstwirt!D19+#REF!+'Milchtechnologe-technologin'!D19+Milchw.Laborant!D19+Hauswirtschaft!D19</f>
        <v>#REF!</v>
      </c>
      <c r="E18" s="1056" t="e">
        <f>'A. Ausbildungsverh. Landwirt'!E22+'Fachkraft Agrarservice'!E19+Winzer!E19+'LW-Fachwerker'!E19+Tierwirt!E74+Fischwirt!E19+Pferdewirt!E19+'Pferdewirt (2)'!E19+Gärtner!E80+'Gaba-Fachwerker'!E19+Revierjäger!E19+Forstwirt!E19+#REF!+'Milchtechnologe-technologin'!E19+Milchw.Laborant!E19+Hauswirtschaft!E19</f>
        <v>#REF!</v>
      </c>
      <c r="F18" s="1056" t="e">
        <f>'A. Ausbildungsverh. Landwirt'!F22+'Fachkraft Agrarservice'!F19+Winzer!F19+'LW-Fachwerker'!F19+Tierwirt!F74+Fischwirt!F19+Pferdewirt!F19+'Pferdewirt (2)'!F19+Gärtner!F80+'Gaba-Fachwerker'!F19+Revierjäger!F19+Forstwirt!F19+#REF!+'Milchtechnologe-technologin'!F19+Milchw.Laborant!F19+Hauswirtschaft!F19</f>
        <v>#REF!</v>
      </c>
      <c r="G18" s="1056" t="e">
        <f>'A. Ausbildungsverh. Landwirt'!G22+'Fachkraft Agrarservice'!G19+Winzer!G19+'LW-Fachwerker'!G19+Tierwirt!G74+Fischwirt!G19+Pferdewirt!G19+'Pferdewirt (2)'!G19+Gärtner!G80+'Gaba-Fachwerker'!G19+Revierjäger!G19+Forstwirt!G19+#REF!+'Milchtechnologe-technologin'!G19+Milchw.Laborant!G19+Hauswirtschaft!G19</f>
        <v>#REF!</v>
      </c>
      <c r="H18" s="1056" t="e">
        <f>'A. Ausbildungsverh. Landwirt'!H22+'Fachkraft Agrarservice'!H19+Winzer!H19+'LW-Fachwerker'!H19+Tierwirt!H74+Fischwirt!H19+Pferdewirt!H19+'Pferdewirt (2)'!H19+Gärtner!H80+'Gaba-Fachwerker'!H19+Revierjäger!H19+Forstwirt!H19+#REF!+'Milchtechnologe-technologin'!H19+Milchw.Laborant!H19+Hauswirtschaft!H19</f>
        <v>#REF!</v>
      </c>
      <c r="I18" s="1056" t="e">
        <f>'A. Ausbildungsverh. Landwirt'!I22+'Fachkraft Agrarservice'!I19+Winzer!I19+'LW-Fachwerker'!I19+Tierwirt!I74+Fischwirt!I19+Pferdewirt!I19+'Pferdewirt (2)'!I19+Gärtner!I80+'Gaba-Fachwerker'!I19+Revierjäger!I19+Forstwirt!I19+#REF!+'Milchtechnologe-technologin'!I19+Milchw.Laborant!I19+Hauswirtschaft!I19</f>
        <v>#REF!</v>
      </c>
      <c r="J18" s="1056" t="e">
        <f>'A. Ausbildungsverh. Landwirt'!J22+'Fachkraft Agrarservice'!J19+Winzer!J19+'LW-Fachwerker'!J19+Tierwirt!J74+Fischwirt!J19+Pferdewirt!J19+'Pferdewirt (2)'!J19+Gärtner!J80+'Gaba-Fachwerker'!J19+Revierjäger!J19+Forstwirt!J19+#REF!+'Milchtechnologe-technologin'!J19+Milchw.Laborant!J19+Hauswirtschaft!J19</f>
        <v>#REF!</v>
      </c>
      <c r="K18" s="1186" t="e">
        <f>'A. Ausbildungsverh. Landwirt'!K22+'Fachkraft Agrarservice'!K19+Winzer!K19+'LW-Fachwerker'!K19+Tierwirt!K74+Fischwirt!K19+Pferdewirt!K19+'Pferdewirt (2)'!K19+Gärtner!K80+'Gaba-Fachwerker'!K19+Revierjäger!K19+Forstwirt!K19+#REF!+'Milchtechnologe-technologin'!K19+Milchw.Laborant!K19+Hauswirtschaft!K19</f>
        <v>#REF!</v>
      </c>
      <c r="L18" s="1056" t="e">
        <f>'A. Ausbildungsverh. Landwirt'!L22+'Fachkraft Agrarservice'!L19+Winzer!L19+'LW-Fachwerker'!L19+Tierwirt!L74+Fischwirt!L19+Pferdewirt!L19+'Pferdewirt (2)'!L19+Gärtner!L80+'Gaba-Fachwerker'!L19+Revierjäger!L19+Forstwirt!L19+#REF!+'Milchtechnologe-technologin'!L19+Milchw.Laborant!L19+Hauswirtschaft!L19</f>
        <v>#REF!</v>
      </c>
      <c r="M18" s="1056" t="e">
        <f>'A. Ausbildungsverh. Landwirt'!M22+'Fachkraft Agrarservice'!M19+Winzer!M19+'LW-Fachwerker'!M19+Tierwirt!M74+Fischwirt!M19+Pferdewirt!M19+'Pferdewirt (2)'!M19+Gärtner!M80+'Gaba-Fachwerker'!M19+Revierjäger!M19+Forstwirt!M19+#REF!+'Milchtechnologe-technologin'!M19+Milchw.Laborant!M19+Hauswirtschaft!M19</f>
        <v>#REF!</v>
      </c>
      <c r="N18" s="1187" t="e">
        <f>'A. Ausbildungsverh. Landwirt'!N22+'Fachkraft Agrarservice'!N19+Winzer!N19+'LW-Fachwerker'!N19+Tierwirt!N74+Fischwirt!N19+Pferdewirt!N19+'Pferdewirt (2)'!N19+Gärtner!N80+'Gaba-Fachwerker'!N19+Revierjäger!N19+Forstwirt!N19+#REF!+'Milchtechnologe-technologin'!N19+Milchw.Laborant!N19+Hauswirtschaft!N19</f>
        <v>#REF!</v>
      </c>
      <c r="O18" s="1056" t="e">
        <f>'A. Ausbildungsverh. Landwirt'!O22+'Fachkraft Agrarservice'!O19+Winzer!O19+'LW-Fachwerker'!O19+Tierwirt!O74+Fischwirt!O19+Pferdewirt!O19+'Pferdewirt (2)'!O19+Gärtner!O80+'Gaba-Fachwerker'!O19+Revierjäger!O19+Forstwirt!O19+#REF!+'Milchtechnologe-technologin'!O19+Milchw.Laborant!O19+Hauswirtschaft!O19</f>
        <v>#REF!</v>
      </c>
      <c r="P18" s="1057" t="e">
        <f>'A. Ausbildungsverh. Landwirt'!P22+'Fachkraft Agrarservice'!P19+Winzer!P19+'LW-Fachwerker'!P19+Tierwirt!P74+Fischwirt!P19+Pferdewirt!P19+'Pferdewirt (2)'!P19+Gärtner!P80+'Gaba-Fachwerker'!P19+Revierjäger!P19+Forstwirt!P19+#REF!+'Milchtechnologe-technologin'!P19+Milchw.Laborant!P19+Hauswirtschaft!P19</f>
        <v>#REF!</v>
      </c>
      <c r="Q18" s="776"/>
      <c r="R18" s="814"/>
      <c r="S18" s="814"/>
      <c r="T18" s="776"/>
      <c r="U18" s="774"/>
      <c r="V18" s="775"/>
      <c r="W18" s="815"/>
      <c r="X18" s="816"/>
      <c r="Y18" s="813"/>
      <c r="Z18" s="776"/>
      <c r="AA18" s="774"/>
      <c r="AB18" s="775"/>
      <c r="AC18" s="817"/>
      <c r="AD18" s="815"/>
      <c r="AE18" s="816"/>
      <c r="AF18" s="769"/>
      <c r="AG18" s="816"/>
    </row>
    <row r="19" spans="1:33" ht="15" customHeight="1">
      <c r="A19" s="592" t="s">
        <v>44</v>
      </c>
      <c r="B19" s="794"/>
      <c r="C19" s="1186" t="e">
        <f>'A. Ausbildungsverh. Landwirt'!C23+'Fachkraft Agrarservice'!C20+Winzer!C20+'LW-Fachwerker'!C20+Tierwirt!C82+Fischwirt!C20+Pferdewirt!C20+'Pferdewirt (2)'!C20+Gärtner!C89+'Gaba-Fachwerker'!C20+Revierjäger!C20+Forstwirt!C20+#REF!+'Milchtechnologe-technologin'!C20+Milchw.Laborant!C20+Hauswirtschaft!C20</f>
        <v>#REF!</v>
      </c>
      <c r="D19" s="1056" t="e">
        <f>'A. Ausbildungsverh. Landwirt'!D23+'Fachkraft Agrarservice'!D20+Winzer!D20+'LW-Fachwerker'!D20+Tierwirt!D82+Fischwirt!D20+Pferdewirt!D20+'Pferdewirt (2)'!D20+Gärtner!D89+'Gaba-Fachwerker'!D20+Revierjäger!D20+Forstwirt!D20+#REF!+'Milchtechnologe-technologin'!D20+Milchw.Laborant!D20+Hauswirtschaft!D20</f>
        <v>#REF!</v>
      </c>
      <c r="E19" s="1056" t="e">
        <f>'A. Ausbildungsverh. Landwirt'!E23+'Fachkraft Agrarservice'!E20+Winzer!E20+'LW-Fachwerker'!E20+Tierwirt!E82+Fischwirt!E20+Pferdewirt!E20+'Pferdewirt (2)'!E20+Gärtner!E89+'Gaba-Fachwerker'!E20+Revierjäger!E20+Forstwirt!E20+#REF!+'Milchtechnologe-technologin'!E20+Milchw.Laborant!E20+Hauswirtschaft!E20</f>
        <v>#REF!</v>
      </c>
      <c r="F19" s="1056" t="e">
        <f>'A. Ausbildungsverh. Landwirt'!F23+'Fachkraft Agrarservice'!F20+Winzer!F20+'LW-Fachwerker'!F20+Tierwirt!F82+Fischwirt!F20+Pferdewirt!F20+'Pferdewirt (2)'!F20+Gärtner!F89+'Gaba-Fachwerker'!F20+Revierjäger!F20+Forstwirt!F20+#REF!+'Milchtechnologe-technologin'!F20+Milchw.Laborant!F20+Hauswirtschaft!F20</f>
        <v>#REF!</v>
      </c>
      <c r="G19" s="1056" t="e">
        <f>'A. Ausbildungsverh. Landwirt'!G23+'Fachkraft Agrarservice'!G20+Winzer!G20+'LW-Fachwerker'!G20+Tierwirt!G82+Fischwirt!G20+Pferdewirt!G20+'Pferdewirt (2)'!G20+Gärtner!G89+'Gaba-Fachwerker'!G20+Revierjäger!G20+Forstwirt!G20+#REF!+'Milchtechnologe-technologin'!G20+Milchw.Laborant!G20+Hauswirtschaft!G20</f>
        <v>#REF!</v>
      </c>
      <c r="H19" s="1056" t="e">
        <f>'A. Ausbildungsverh. Landwirt'!H23+'Fachkraft Agrarservice'!H20+Winzer!H20+'LW-Fachwerker'!H20+Tierwirt!H82+Fischwirt!H20+Pferdewirt!H20+'Pferdewirt (2)'!H20+Gärtner!H89+'Gaba-Fachwerker'!H20+Revierjäger!H20+Forstwirt!H20+#REF!+'Milchtechnologe-technologin'!H20+Milchw.Laborant!H20+Hauswirtschaft!H20</f>
        <v>#REF!</v>
      </c>
      <c r="I19" s="1056" t="e">
        <f>'A. Ausbildungsverh. Landwirt'!I23+'Fachkraft Agrarservice'!I20+Winzer!I20+'LW-Fachwerker'!I20+Tierwirt!I82+Fischwirt!I20+Pferdewirt!I20+'Pferdewirt (2)'!I20+Gärtner!I89+'Gaba-Fachwerker'!I20+Revierjäger!I20+Forstwirt!I20+#REF!+'Milchtechnologe-technologin'!I20+Milchw.Laborant!I20+Hauswirtschaft!I20</f>
        <v>#REF!</v>
      </c>
      <c r="J19" s="1056" t="e">
        <f>'A. Ausbildungsverh. Landwirt'!J23+'Fachkraft Agrarservice'!J20+Winzer!J20+'LW-Fachwerker'!J20+Tierwirt!J82+Fischwirt!J20+Pferdewirt!J20+'Pferdewirt (2)'!J20+Gärtner!J89+'Gaba-Fachwerker'!J20+Revierjäger!J20+Forstwirt!J20+#REF!+'Milchtechnologe-technologin'!J20+Milchw.Laborant!J20+Hauswirtschaft!J20</f>
        <v>#REF!</v>
      </c>
      <c r="K19" s="1186" t="e">
        <f>'A. Ausbildungsverh. Landwirt'!K23+'Fachkraft Agrarservice'!K20+Winzer!K20+'LW-Fachwerker'!K20+Tierwirt!K82+Fischwirt!K20+Pferdewirt!K20+'Pferdewirt (2)'!K20+Gärtner!K89+'Gaba-Fachwerker'!K20+Revierjäger!K20+Forstwirt!K20+#REF!+'Milchtechnologe-technologin'!K20+Milchw.Laborant!K20+Hauswirtschaft!K20</f>
        <v>#REF!</v>
      </c>
      <c r="L19" s="1056" t="e">
        <f>'A. Ausbildungsverh. Landwirt'!L23+'Fachkraft Agrarservice'!L20+Winzer!L20+'LW-Fachwerker'!L20+Tierwirt!L82+Fischwirt!L20+Pferdewirt!L20+'Pferdewirt (2)'!L20+Gärtner!L89+'Gaba-Fachwerker'!L20+Revierjäger!L20+Forstwirt!L20+#REF!+'Milchtechnologe-technologin'!L20+Milchw.Laborant!L20+Hauswirtschaft!L20</f>
        <v>#REF!</v>
      </c>
      <c r="M19" s="1056" t="e">
        <f>'A. Ausbildungsverh. Landwirt'!M23+'Fachkraft Agrarservice'!M20+Winzer!M20+'LW-Fachwerker'!M20+Tierwirt!M82+Fischwirt!M20+Pferdewirt!M20+'Pferdewirt (2)'!M20+Gärtner!M89+'Gaba-Fachwerker'!M20+Revierjäger!M20+Forstwirt!M20+#REF!+'Milchtechnologe-technologin'!M20+Milchw.Laborant!M20+Hauswirtschaft!M20</f>
        <v>#REF!</v>
      </c>
      <c r="N19" s="1187" t="e">
        <f>'A. Ausbildungsverh. Landwirt'!N23+'Fachkraft Agrarservice'!N20+Winzer!N20+'LW-Fachwerker'!N20+Tierwirt!N82+Fischwirt!N20+Pferdewirt!N20+'Pferdewirt (2)'!N20+Gärtner!N89+'Gaba-Fachwerker'!N20+Revierjäger!N20+Forstwirt!N20+#REF!+'Milchtechnologe-technologin'!N20+Milchw.Laborant!N20+Hauswirtschaft!N20</f>
        <v>#REF!</v>
      </c>
      <c r="O19" s="1056" t="e">
        <f>'A. Ausbildungsverh. Landwirt'!O23+'Fachkraft Agrarservice'!O20+Winzer!O20+'LW-Fachwerker'!O20+Tierwirt!O82+Fischwirt!O20+Pferdewirt!O20+'Pferdewirt (2)'!O20+Gärtner!O89+'Gaba-Fachwerker'!O20+Revierjäger!O20+Forstwirt!O20+#REF!+'Milchtechnologe-technologin'!O20+Milchw.Laborant!O20+Hauswirtschaft!O20</f>
        <v>#REF!</v>
      </c>
      <c r="P19" s="1057" t="e">
        <f>'A. Ausbildungsverh. Landwirt'!P23+'Fachkraft Agrarservice'!P20+Winzer!P20+'LW-Fachwerker'!P20+Tierwirt!P82+Fischwirt!P20+Pferdewirt!P20+'Pferdewirt (2)'!P20+Gärtner!P89+'Gaba-Fachwerker'!P20+Revierjäger!P20+Forstwirt!P20+#REF!+'Milchtechnologe-technologin'!P20+Milchw.Laborant!P20+Hauswirtschaft!P20</f>
        <v>#REF!</v>
      </c>
      <c r="Q19" s="842"/>
      <c r="R19" s="814"/>
      <c r="S19" s="814"/>
      <c r="T19" s="818"/>
      <c r="U19" s="818"/>
      <c r="V19" s="819"/>
      <c r="W19" s="815"/>
      <c r="X19" s="815"/>
      <c r="Y19" s="775"/>
      <c r="Z19" s="818"/>
      <c r="AA19" s="818"/>
      <c r="AB19" s="819"/>
      <c r="AC19" s="812"/>
      <c r="AD19" s="815"/>
      <c r="AE19" s="816"/>
      <c r="AF19" s="769"/>
      <c r="AG19" s="816"/>
    </row>
    <row r="20" spans="1:33" ht="15" customHeight="1">
      <c r="A20" s="592" t="s">
        <v>45</v>
      </c>
      <c r="B20" s="794"/>
      <c r="C20" s="1186" t="e">
        <f>'A. Ausbildungsverh. Landwirt'!C24+'Fachkraft Agrarservice'!C21+Winzer!C21+'LW-Fachwerker'!C21+Tierwirt!C90+Fischwirt!C21+Pferdewirt!C21+'Pferdewirt (2)'!C21+Gärtner!C108+'Gaba-Fachwerker'!C21+Revierjäger!C21+Forstwirt!C21+#REF!+'Milchtechnologe-technologin'!C21+Milchw.Laborant!C21+Hauswirtschaft!C21</f>
        <v>#REF!</v>
      </c>
      <c r="D20" s="1056" t="e">
        <f>'A. Ausbildungsverh. Landwirt'!D24+'Fachkraft Agrarservice'!D21+Winzer!D21+'LW-Fachwerker'!D21+Tierwirt!D90+Fischwirt!D21+Pferdewirt!D21+'Pferdewirt (2)'!D21+Gärtner!D108+'Gaba-Fachwerker'!D21+Revierjäger!D21+Forstwirt!D21+#REF!+'Milchtechnologe-technologin'!D21+Milchw.Laborant!D21+Hauswirtschaft!D21</f>
        <v>#REF!</v>
      </c>
      <c r="E20" s="1056" t="e">
        <f>'A. Ausbildungsverh. Landwirt'!E24+'Fachkraft Agrarservice'!E21+Winzer!E21+'LW-Fachwerker'!E21+Tierwirt!E90+Fischwirt!E21+Pferdewirt!E21+'Pferdewirt (2)'!E21+Gärtner!E108+'Gaba-Fachwerker'!E21+Revierjäger!E21+Forstwirt!E21+#REF!+'Milchtechnologe-technologin'!E21+Milchw.Laborant!E21+Hauswirtschaft!E21</f>
        <v>#REF!</v>
      </c>
      <c r="F20" s="1056" t="e">
        <f>'A. Ausbildungsverh. Landwirt'!F24+'Fachkraft Agrarservice'!F21+Winzer!F21+'LW-Fachwerker'!F21+Tierwirt!F90+Fischwirt!F21+Pferdewirt!F21+'Pferdewirt (2)'!F21+Gärtner!F108+'Gaba-Fachwerker'!F21+Revierjäger!F21+Forstwirt!F21+#REF!+'Milchtechnologe-technologin'!F21+Milchw.Laborant!F21+Hauswirtschaft!F21</f>
        <v>#REF!</v>
      </c>
      <c r="G20" s="1056" t="e">
        <f>'A. Ausbildungsverh. Landwirt'!G24+'Fachkraft Agrarservice'!G21+Winzer!G21+'LW-Fachwerker'!G21+Tierwirt!G90+Fischwirt!G21+Pferdewirt!G21+'Pferdewirt (2)'!G21+Gärtner!G108+'Gaba-Fachwerker'!G21+Revierjäger!G21+Forstwirt!G21+#REF!+'Milchtechnologe-technologin'!G21+Milchw.Laborant!G21+Hauswirtschaft!G21</f>
        <v>#REF!</v>
      </c>
      <c r="H20" s="1056" t="e">
        <f>'A. Ausbildungsverh. Landwirt'!H24+'Fachkraft Agrarservice'!H21+Winzer!H21+'LW-Fachwerker'!H21+Tierwirt!H90+Fischwirt!H21+Pferdewirt!H21+'Pferdewirt (2)'!H21+Gärtner!H108+'Gaba-Fachwerker'!H21+Revierjäger!H21+Forstwirt!H21+#REF!+'Milchtechnologe-technologin'!H21+Milchw.Laborant!H21+Hauswirtschaft!H21</f>
        <v>#REF!</v>
      </c>
      <c r="I20" s="1056" t="e">
        <f>'A. Ausbildungsverh. Landwirt'!I24+'Fachkraft Agrarservice'!I21+Winzer!I21+'LW-Fachwerker'!I21+Tierwirt!I90+Fischwirt!I21+Pferdewirt!I21+'Pferdewirt (2)'!I21+Gärtner!I108+'Gaba-Fachwerker'!I21+Revierjäger!I21+Forstwirt!I21+#REF!+'Milchtechnologe-technologin'!I21+Milchw.Laborant!I21+Hauswirtschaft!I21</f>
        <v>#REF!</v>
      </c>
      <c r="J20" s="1056" t="e">
        <f>'A. Ausbildungsverh. Landwirt'!J24+'Fachkraft Agrarservice'!J21+Winzer!J21+'LW-Fachwerker'!J21+Tierwirt!J90+Fischwirt!J21+Pferdewirt!J21+'Pferdewirt (2)'!J21+Gärtner!J108+'Gaba-Fachwerker'!J21+Revierjäger!J21+Forstwirt!J21+#REF!+'Milchtechnologe-technologin'!J21+Milchw.Laborant!J21+Hauswirtschaft!J21</f>
        <v>#REF!</v>
      </c>
      <c r="K20" s="1186" t="e">
        <f>'A. Ausbildungsverh. Landwirt'!K24+'Fachkraft Agrarservice'!K21+Winzer!K21+'LW-Fachwerker'!K21+Tierwirt!K90+Fischwirt!K21+Pferdewirt!K21+'Pferdewirt (2)'!K21+Gärtner!K108+'Gaba-Fachwerker'!K21+Revierjäger!K21+Forstwirt!K21+#REF!+'Milchtechnologe-technologin'!K21+Milchw.Laborant!K21+Hauswirtschaft!K21</f>
        <v>#REF!</v>
      </c>
      <c r="L20" s="1056" t="e">
        <f>'A. Ausbildungsverh. Landwirt'!L24+'Fachkraft Agrarservice'!L21+Winzer!L21+'LW-Fachwerker'!L21+Tierwirt!L90+Fischwirt!L21+Pferdewirt!L21+'Pferdewirt (2)'!L21+Gärtner!L108+'Gaba-Fachwerker'!L21+Revierjäger!L21+Forstwirt!L21+#REF!+'Milchtechnologe-technologin'!L21+Milchw.Laborant!L21+Hauswirtschaft!L21</f>
        <v>#REF!</v>
      </c>
      <c r="M20" s="1056" t="e">
        <f>'A. Ausbildungsverh. Landwirt'!M24+'Fachkraft Agrarservice'!M21+Winzer!M21+'LW-Fachwerker'!M21+Tierwirt!M90+Fischwirt!M21+Pferdewirt!M21+'Pferdewirt (2)'!M21+Gärtner!M108+'Gaba-Fachwerker'!M21+Revierjäger!M21+Forstwirt!M21+#REF!+'Milchtechnologe-technologin'!M21+Milchw.Laborant!M21+Hauswirtschaft!M21</f>
        <v>#REF!</v>
      </c>
      <c r="N20" s="1187" t="e">
        <f>'A. Ausbildungsverh. Landwirt'!N24+'Fachkraft Agrarservice'!N21+Winzer!N21+'LW-Fachwerker'!N21+Tierwirt!N90+Fischwirt!N21+Pferdewirt!N21+'Pferdewirt (2)'!N21+Gärtner!N108+'Gaba-Fachwerker'!N21+Revierjäger!N21+Forstwirt!N21+#REF!+'Milchtechnologe-technologin'!N21+Milchw.Laborant!N21+Hauswirtschaft!N21</f>
        <v>#REF!</v>
      </c>
      <c r="O20" s="1056" t="e">
        <f>'A. Ausbildungsverh. Landwirt'!O24+'Fachkraft Agrarservice'!O21+Winzer!O21+'LW-Fachwerker'!O21+Tierwirt!O90+Fischwirt!O21+Pferdewirt!O21+'Pferdewirt (2)'!O21+Gärtner!O108+'Gaba-Fachwerker'!O21+Revierjäger!O21+Forstwirt!O21+#REF!+'Milchtechnologe-technologin'!O21+Milchw.Laborant!O21+Hauswirtschaft!O21</f>
        <v>#REF!</v>
      </c>
      <c r="P20" s="1057" t="e">
        <f>'A. Ausbildungsverh. Landwirt'!P24+'Fachkraft Agrarservice'!P21+Winzer!P21+'LW-Fachwerker'!P21+Tierwirt!P90+Fischwirt!P21+Pferdewirt!P21+'Pferdewirt (2)'!P21+Gärtner!P108+'Gaba-Fachwerker'!P21+Revierjäger!P21+Forstwirt!P21+#REF!+'Milchtechnologe-technologin'!P21+Milchw.Laborant!P21+Hauswirtschaft!P21</f>
        <v>#REF!</v>
      </c>
      <c r="Q20" s="774"/>
      <c r="R20" s="814"/>
      <c r="S20" s="814"/>
      <c r="T20" s="776"/>
      <c r="U20" s="776"/>
      <c r="V20" s="780"/>
      <c r="W20" s="776"/>
      <c r="X20" s="776"/>
      <c r="Y20" s="780"/>
      <c r="Z20" s="776"/>
      <c r="AA20" s="776"/>
      <c r="AB20" s="780"/>
      <c r="AC20" s="812"/>
      <c r="AD20" s="818"/>
      <c r="AE20" s="818"/>
      <c r="AF20" s="819"/>
      <c r="AG20" s="820"/>
    </row>
    <row r="21" spans="1:33" ht="15" customHeight="1">
      <c r="A21" s="592" t="s">
        <v>55</v>
      </c>
      <c r="B21" s="821"/>
      <c r="C21" s="1186" t="e">
        <f>'A. Ausbildungsverh. Landwirt'!C25+'Fachkraft Agrarservice'!C22+Winzer!C22+'LW-Fachwerker'!C22+Tierwirt!C98+Fischwirt!C22+Pferdewirt!C22+'Pferdewirt (2)'!C22+Gärtner!C117+'Gaba-Fachwerker'!C22+Revierjäger!C22+Forstwirt!C22+#REF!+'Milchtechnologe-technologin'!C22+Milchw.Laborant!C22+Hauswirtschaft!C22</f>
        <v>#REF!</v>
      </c>
      <c r="D21" s="1056" t="e">
        <f>'A. Ausbildungsverh. Landwirt'!D25+'Fachkraft Agrarservice'!D22+Winzer!D22+'LW-Fachwerker'!D22+Tierwirt!D98+Fischwirt!D22+Pferdewirt!D22+'Pferdewirt (2)'!D22+Gärtner!D117+'Gaba-Fachwerker'!D22+Revierjäger!D22+Forstwirt!D22+#REF!+'Milchtechnologe-technologin'!D22+Milchw.Laborant!D22+Hauswirtschaft!D22</f>
        <v>#REF!</v>
      </c>
      <c r="E21" s="1056" t="e">
        <f>'A. Ausbildungsverh. Landwirt'!E25+'Fachkraft Agrarservice'!E22+Winzer!E22+'LW-Fachwerker'!E22+Tierwirt!E98+Fischwirt!E22+Pferdewirt!E22+'Pferdewirt (2)'!E22+Gärtner!E117+'Gaba-Fachwerker'!E22+Revierjäger!E22+Forstwirt!E22+#REF!+'Milchtechnologe-technologin'!E22+Milchw.Laborant!E22+Hauswirtschaft!E22</f>
        <v>#REF!</v>
      </c>
      <c r="F21" s="1056" t="e">
        <f>'A. Ausbildungsverh. Landwirt'!F25+'Fachkraft Agrarservice'!F22+Winzer!F22+'LW-Fachwerker'!F22+Tierwirt!F98+Fischwirt!F22+Pferdewirt!F22+'Pferdewirt (2)'!F22+Gärtner!F117+'Gaba-Fachwerker'!F22+Revierjäger!F22+Forstwirt!F22+#REF!+'Milchtechnologe-technologin'!F22+Milchw.Laborant!F22+Hauswirtschaft!F22</f>
        <v>#REF!</v>
      </c>
      <c r="G21" s="1056" t="e">
        <f>'A. Ausbildungsverh. Landwirt'!G25+'Fachkraft Agrarservice'!G22+Winzer!G22+'LW-Fachwerker'!G22+Tierwirt!G98+Fischwirt!G22+Pferdewirt!G22+'Pferdewirt (2)'!G22+Gärtner!G117+'Gaba-Fachwerker'!G22+Revierjäger!G22+Forstwirt!G22+#REF!+'Milchtechnologe-technologin'!G22+Milchw.Laborant!G22+Hauswirtschaft!G22</f>
        <v>#REF!</v>
      </c>
      <c r="H21" s="1056" t="e">
        <f>'A. Ausbildungsverh. Landwirt'!H25+'Fachkraft Agrarservice'!H22+Winzer!H22+'LW-Fachwerker'!H22+Tierwirt!H98+Fischwirt!H22+Pferdewirt!H22+'Pferdewirt (2)'!H22+Gärtner!H117+'Gaba-Fachwerker'!H22+Revierjäger!H22+Forstwirt!H22+#REF!+'Milchtechnologe-technologin'!H22+Milchw.Laborant!H22+Hauswirtschaft!H22</f>
        <v>#REF!</v>
      </c>
      <c r="I21" s="1056" t="e">
        <f>'A. Ausbildungsverh. Landwirt'!I25+'Fachkraft Agrarservice'!I22+Winzer!I22+'LW-Fachwerker'!I22+Tierwirt!I98+Fischwirt!I22+Pferdewirt!I22+'Pferdewirt (2)'!I22+Gärtner!I117+'Gaba-Fachwerker'!I22+Revierjäger!I22+Forstwirt!I22+#REF!+'Milchtechnologe-technologin'!I22+Milchw.Laborant!I22+Hauswirtschaft!I22</f>
        <v>#REF!</v>
      </c>
      <c r="J21" s="1056" t="e">
        <f>'A. Ausbildungsverh. Landwirt'!J25+'Fachkraft Agrarservice'!J22+Winzer!J22+'LW-Fachwerker'!J22+Tierwirt!J98+Fischwirt!J22+Pferdewirt!J22+'Pferdewirt (2)'!J22+Gärtner!J117+'Gaba-Fachwerker'!J22+Revierjäger!J22+Forstwirt!J22+#REF!+'Milchtechnologe-technologin'!J22+Milchw.Laborant!J22+Hauswirtschaft!J22</f>
        <v>#REF!</v>
      </c>
      <c r="K21" s="1186" t="e">
        <f>'A. Ausbildungsverh. Landwirt'!K25+'Fachkraft Agrarservice'!K22+Winzer!K22+'LW-Fachwerker'!K22+Tierwirt!K98+Fischwirt!K22+Pferdewirt!K22+'Pferdewirt (2)'!K22+Gärtner!K117+'Gaba-Fachwerker'!K22+Revierjäger!K22+Forstwirt!K22+#REF!+'Milchtechnologe-technologin'!K22+Milchw.Laborant!K22+Hauswirtschaft!K22</f>
        <v>#REF!</v>
      </c>
      <c r="L21" s="1056" t="e">
        <f>'A. Ausbildungsverh. Landwirt'!L25+'Fachkraft Agrarservice'!L22+Winzer!L22+'LW-Fachwerker'!L22+Tierwirt!L98+Fischwirt!L22+Pferdewirt!L22+'Pferdewirt (2)'!L22+Gärtner!L117+'Gaba-Fachwerker'!L22+Revierjäger!L22+Forstwirt!L22+#REF!+'Milchtechnologe-technologin'!L22+Milchw.Laborant!L22+Hauswirtschaft!L22</f>
        <v>#REF!</v>
      </c>
      <c r="M21" s="1056" t="e">
        <f>'A. Ausbildungsverh. Landwirt'!M25+'Fachkraft Agrarservice'!M22+Winzer!M22+'LW-Fachwerker'!M22+Tierwirt!M98+Fischwirt!M22+Pferdewirt!M22+'Pferdewirt (2)'!M22+Gärtner!M117+'Gaba-Fachwerker'!M22+Revierjäger!M22+Forstwirt!M22+#REF!+'Milchtechnologe-technologin'!M22+Milchw.Laborant!M22+Hauswirtschaft!M22</f>
        <v>#REF!</v>
      </c>
      <c r="N21" s="1187" t="e">
        <f>'A. Ausbildungsverh. Landwirt'!N25+'Fachkraft Agrarservice'!N22+Winzer!N22+'LW-Fachwerker'!N22+Tierwirt!N98+Fischwirt!N22+Pferdewirt!N22+'Pferdewirt (2)'!N22+Gärtner!N117+'Gaba-Fachwerker'!N22+Revierjäger!N22+Forstwirt!N22+#REF!+'Milchtechnologe-technologin'!N22+Milchw.Laborant!N22+Hauswirtschaft!N22</f>
        <v>#REF!</v>
      </c>
      <c r="O21" s="1056" t="e">
        <f>'A. Ausbildungsverh. Landwirt'!O25+'Fachkraft Agrarservice'!O22+Winzer!O22+'LW-Fachwerker'!O22+Tierwirt!O98+Fischwirt!O22+Pferdewirt!O22+'Pferdewirt (2)'!O22+Gärtner!O117+'Gaba-Fachwerker'!O22+Revierjäger!O22+Forstwirt!O22+#REF!+'Milchtechnologe-technologin'!O22+Milchw.Laborant!O22+Hauswirtschaft!O22</f>
        <v>#REF!</v>
      </c>
      <c r="P21" s="1057" t="e">
        <f>'A. Ausbildungsverh. Landwirt'!P25+'Fachkraft Agrarservice'!P22+Winzer!P22+'LW-Fachwerker'!P22+Tierwirt!P98+Fischwirt!P22+Pferdewirt!P22+'Pferdewirt (2)'!P22+Gärtner!P117+'Gaba-Fachwerker'!P22+Revierjäger!P22+Forstwirt!P22+#REF!+'Milchtechnologe-technologin'!P22+Milchw.Laborant!P22+Hauswirtschaft!P22</f>
        <v>#REF!</v>
      </c>
      <c r="Q21" s="820"/>
      <c r="R21" s="814"/>
      <c r="S21" s="814"/>
      <c r="T21" s="812"/>
      <c r="U21" s="812"/>
      <c r="V21" s="822"/>
      <c r="W21" s="812"/>
      <c r="X21" s="774"/>
      <c r="Y21" s="822"/>
      <c r="Z21" s="812"/>
      <c r="AA21" s="812"/>
      <c r="AB21" s="822"/>
      <c r="AC21" s="812"/>
      <c r="AD21" s="812"/>
      <c r="AE21" s="812"/>
      <c r="AF21" s="822"/>
      <c r="AG21" s="820"/>
    </row>
    <row r="22" spans="1:33" ht="15" customHeight="1">
      <c r="A22" s="592" t="s">
        <v>46</v>
      </c>
      <c r="B22" s="794"/>
      <c r="C22" s="1186" t="e">
        <f>'A. Ausbildungsverh. Landwirt'!C26+'Fachkraft Agrarservice'!C23+Winzer!C23+'LW-Fachwerker'!C23+Tierwirt!C118+Fischwirt!C23+Pferdewirt!C23+'Pferdewirt (2)'!C23+Gärtner!C126+'Gaba-Fachwerker'!C23+Revierjäger!C23+Forstwirt!C23+#REF!+'Milchtechnologe-technologin'!C23+Milchw.Laborant!C23+Hauswirtschaft!C23</f>
        <v>#REF!</v>
      </c>
      <c r="D22" s="1056" t="e">
        <f>'A. Ausbildungsverh. Landwirt'!D26+'Fachkraft Agrarservice'!D23+Winzer!D23+'LW-Fachwerker'!D23+Tierwirt!D118+Fischwirt!D23+Pferdewirt!D23+'Pferdewirt (2)'!D23+Gärtner!D126+'Gaba-Fachwerker'!D23+Revierjäger!D23+Forstwirt!D23+#REF!+'Milchtechnologe-technologin'!D23+Milchw.Laborant!D23+Hauswirtschaft!D23</f>
        <v>#REF!</v>
      </c>
      <c r="E22" s="1056" t="e">
        <f>'A. Ausbildungsverh. Landwirt'!E26+'Fachkraft Agrarservice'!E23+Winzer!E23+'LW-Fachwerker'!E23+Tierwirt!E118+Fischwirt!E23+Pferdewirt!E23+'Pferdewirt (2)'!E23+Gärtner!E126+'Gaba-Fachwerker'!E23+Revierjäger!E23+Forstwirt!E23+#REF!+'Milchtechnologe-technologin'!E23+Milchw.Laborant!E23+Hauswirtschaft!E23</f>
        <v>#REF!</v>
      </c>
      <c r="F22" s="1056" t="e">
        <f>'A. Ausbildungsverh. Landwirt'!F26+'Fachkraft Agrarservice'!F23+Winzer!F23+'LW-Fachwerker'!F23+Tierwirt!F118+Fischwirt!F23+Pferdewirt!F23+'Pferdewirt (2)'!F23+Gärtner!F126+'Gaba-Fachwerker'!F23+Revierjäger!F23+Forstwirt!F23+#REF!+'Milchtechnologe-technologin'!F23+Milchw.Laborant!F23+Hauswirtschaft!F23</f>
        <v>#REF!</v>
      </c>
      <c r="G22" s="1056" t="e">
        <f>'A. Ausbildungsverh. Landwirt'!G26+'Fachkraft Agrarservice'!G23+Winzer!G23+'LW-Fachwerker'!G23+Tierwirt!G118+Fischwirt!G23+Pferdewirt!G23+'Pferdewirt (2)'!G23+Gärtner!G126+'Gaba-Fachwerker'!G23+Revierjäger!G23+Forstwirt!G23+#REF!+'Milchtechnologe-technologin'!G23+Milchw.Laborant!G23+Hauswirtschaft!G23</f>
        <v>#REF!</v>
      </c>
      <c r="H22" s="1056" t="e">
        <f>'A. Ausbildungsverh. Landwirt'!H26+'Fachkraft Agrarservice'!H23+Winzer!H23+'LW-Fachwerker'!H23+Tierwirt!H118+Fischwirt!H23+Pferdewirt!H23+'Pferdewirt (2)'!H23+Gärtner!H126+'Gaba-Fachwerker'!H23+Revierjäger!H23+Forstwirt!H23+#REF!+'Milchtechnologe-technologin'!H23+Milchw.Laborant!H23+Hauswirtschaft!H23</f>
        <v>#REF!</v>
      </c>
      <c r="I22" s="1056" t="e">
        <f>'A. Ausbildungsverh. Landwirt'!I26+'Fachkraft Agrarservice'!I23+Winzer!I23+'LW-Fachwerker'!I23+Tierwirt!I118+Fischwirt!I23+Pferdewirt!I23+'Pferdewirt (2)'!I23+Gärtner!I126+'Gaba-Fachwerker'!I23+Revierjäger!I23+Forstwirt!I23+#REF!+'Milchtechnologe-technologin'!I23+Milchw.Laborant!I23+Hauswirtschaft!I23</f>
        <v>#REF!</v>
      </c>
      <c r="J22" s="1056" t="e">
        <f>'A. Ausbildungsverh. Landwirt'!J26+'Fachkraft Agrarservice'!J23+Winzer!J23+'LW-Fachwerker'!J23+Tierwirt!J118+Fischwirt!J23+Pferdewirt!J23+'Pferdewirt (2)'!J23+Gärtner!J126+'Gaba-Fachwerker'!J23+Revierjäger!J23+Forstwirt!J23+#REF!+'Milchtechnologe-technologin'!J23+Milchw.Laborant!J23+Hauswirtschaft!J23</f>
        <v>#REF!</v>
      </c>
      <c r="K22" s="1186" t="e">
        <f>'A. Ausbildungsverh. Landwirt'!K26+'Fachkraft Agrarservice'!K23+Winzer!K23+'LW-Fachwerker'!K23+Tierwirt!K118+Fischwirt!K23+Pferdewirt!K23+'Pferdewirt (2)'!K23+Gärtner!K126+'Gaba-Fachwerker'!K23+Revierjäger!K23+Forstwirt!K23+#REF!+'Milchtechnologe-technologin'!K23+Milchw.Laborant!K23+Hauswirtschaft!K23</f>
        <v>#REF!</v>
      </c>
      <c r="L22" s="1056" t="e">
        <f>'A. Ausbildungsverh. Landwirt'!L26+'Fachkraft Agrarservice'!L23+Winzer!L23+'LW-Fachwerker'!L23+Tierwirt!L118+Fischwirt!L23+Pferdewirt!L23+'Pferdewirt (2)'!L23+Gärtner!L126+'Gaba-Fachwerker'!L23+Revierjäger!L23+Forstwirt!L23+#REF!+'Milchtechnologe-technologin'!L23+Milchw.Laborant!L23+Hauswirtschaft!L23</f>
        <v>#REF!</v>
      </c>
      <c r="M22" s="1056" t="e">
        <f>'A. Ausbildungsverh. Landwirt'!M26+'Fachkraft Agrarservice'!M23+Winzer!M23+'LW-Fachwerker'!M23+Tierwirt!M118+Fischwirt!M23+Pferdewirt!M23+'Pferdewirt (2)'!M23+Gärtner!M126+'Gaba-Fachwerker'!M23+Revierjäger!M23+Forstwirt!M23+#REF!+'Milchtechnologe-technologin'!M23+Milchw.Laborant!M23+Hauswirtschaft!M23</f>
        <v>#REF!</v>
      </c>
      <c r="N22" s="1187" t="e">
        <f>'A. Ausbildungsverh. Landwirt'!N26+'Fachkraft Agrarservice'!N23+Winzer!N23+'LW-Fachwerker'!N23+Tierwirt!N118+Fischwirt!N23+Pferdewirt!N23+'Pferdewirt (2)'!N23+Gärtner!N126+'Gaba-Fachwerker'!N23+Revierjäger!N23+Forstwirt!N23+#REF!+'Milchtechnologe-technologin'!N23+Milchw.Laborant!N23+Hauswirtschaft!N23</f>
        <v>#REF!</v>
      </c>
      <c r="O22" s="1056" t="e">
        <f>'A. Ausbildungsverh. Landwirt'!O26+'Fachkraft Agrarservice'!O23+Winzer!O23+'LW-Fachwerker'!O23+Tierwirt!O118+Fischwirt!O23+Pferdewirt!O23+'Pferdewirt (2)'!O23+Gärtner!O126+'Gaba-Fachwerker'!O23+Revierjäger!O23+Forstwirt!O23+#REF!+'Milchtechnologe-technologin'!O23+Milchw.Laborant!O23+Hauswirtschaft!O23</f>
        <v>#REF!</v>
      </c>
      <c r="P22" s="1057" t="e">
        <f>'A. Ausbildungsverh. Landwirt'!P26+'Fachkraft Agrarservice'!P23+Winzer!P23+'LW-Fachwerker'!P23+Tierwirt!P118+Fischwirt!P23+Pferdewirt!P23+'Pferdewirt (2)'!P23+Gärtner!P126+'Gaba-Fachwerker'!P23+Revierjäger!P23+Forstwirt!P23+#REF!+'Milchtechnologe-technologin'!P23+Milchw.Laborant!P23+Hauswirtschaft!P23</f>
        <v>#REF!</v>
      </c>
      <c r="Q22" s="812"/>
      <c r="R22" s="814"/>
      <c r="S22" s="814"/>
      <c r="T22" s="812"/>
      <c r="U22" s="812"/>
      <c r="V22" s="822"/>
      <c r="W22" s="812"/>
      <c r="X22" s="812"/>
      <c r="Y22" s="822"/>
      <c r="Z22" s="812"/>
      <c r="AA22" s="812"/>
      <c r="AB22" s="822"/>
      <c r="AC22" s="812"/>
      <c r="AD22" s="812"/>
      <c r="AE22" s="812"/>
      <c r="AF22" s="822"/>
      <c r="AG22" s="820"/>
    </row>
    <row r="23" spans="1:33" ht="15" customHeight="1">
      <c r="A23" s="592" t="s">
        <v>47</v>
      </c>
      <c r="B23" s="794"/>
      <c r="C23" s="1186" t="e">
        <f>'A. Ausbildungsverh. Landwirt'!C27+'Fachkraft Agrarservice'!C24+Winzer!C24+'LW-Fachwerker'!C24+Tierwirt!C126+Fischwirt!C24+Pferdewirt!C24+'Pferdewirt (2)'!C24+Gärtner!C135+'Gaba-Fachwerker'!C24+Revierjäger!C24+Forstwirt!C24+#REF!+'Milchtechnologe-technologin'!C24+Milchw.Laborant!C24+Hauswirtschaft!C24</f>
        <v>#REF!</v>
      </c>
      <c r="D23" s="1056" t="e">
        <f>'A. Ausbildungsverh. Landwirt'!D27+'Fachkraft Agrarservice'!D24+Winzer!D24+'LW-Fachwerker'!D24+Tierwirt!D126+Fischwirt!D24+Pferdewirt!D24+'Pferdewirt (2)'!D24+Gärtner!D135+'Gaba-Fachwerker'!D24+Revierjäger!D24+Forstwirt!D24+#REF!+'Milchtechnologe-technologin'!D24+Milchw.Laborant!D24+Hauswirtschaft!D24</f>
        <v>#REF!</v>
      </c>
      <c r="E23" s="1056" t="e">
        <f>'A. Ausbildungsverh. Landwirt'!E27+'Fachkraft Agrarservice'!E24+Winzer!E24+'LW-Fachwerker'!E24+Tierwirt!E126+Fischwirt!E24+Pferdewirt!E24+'Pferdewirt (2)'!E24+Gärtner!E135+'Gaba-Fachwerker'!E24+Revierjäger!E24+Forstwirt!E24+#REF!+'Milchtechnologe-technologin'!E24+Milchw.Laborant!E24+Hauswirtschaft!E24</f>
        <v>#REF!</v>
      </c>
      <c r="F23" s="1056" t="e">
        <f>'A. Ausbildungsverh. Landwirt'!F27+'Fachkraft Agrarservice'!F24+Winzer!F24+'LW-Fachwerker'!F24+Tierwirt!F126+Fischwirt!F24+Pferdewirt!F24+'Pferdewirt (2)'!F24+Gärtner!F135+'Gaba-Fachwerker'!F24+Revierjäger!F24+Forstwirt!F24+#REF!+'Milchtechnologe-technologin'!F24+Milchw.Laborant!F24+Hauswirtschaft!F24</f>
        <v>#REF!</v>
      </c>
      <c r="G23" s="1056" t="e">
        <f>'A. Ausbildungsverh. Landwirt'!G27+'Fachkraft Agrarservice'!G24+Winzer!G24+'LW-Fachwerker'!G24+Tierwirt!G126+Fischwirt!G24+Pferdewirt!G24+'Pferdewirt (2)'!G24+Gärtner!G135+'Gaba-Fachwerker'!G24+Revierjäger!G24+Forstwirt!G24+#REF!+'Milchtechnologe-technologin'!G24+Milchw.Laborant!G24+Hauswirtschaft!G24</f>
        <v>#REF!</v>
      </c>
      <c r="H23" s="1056" t="e">
        <f>'A. Ausbildungsverh. Landwirt'!H27+'Fachkraft Agrarservice'!H24+Winzer!H24+'LW-Fachwerker'!H24+Tierwirt!H126+Fischwirt!H24+Pferdewirt!H24+'Pferdewirt (2)'!H24+Gärtner!H135+'Gaba-Fachwerker'!H24+Revierjäger!H24+Forstwirt!H24+#REF!+'Milchtechnologe-technologin'!H24+Milchw.Laborant!H24+Hauswirtschaft!H24</f>
        <v>#REF!</v>
      </c>
      <c r="I23" s="1056" t="e">
        <f>'A. Ausbildungsverh. Landwirt'!I27+'Fachkraft Agrarservice'!I24+Winzer!I24+'LW-Fachwerker'!I24+Tierwirt!I126+Fischwirt!I24+Pferdewirt!I24+'Pferdewirt (2)'!I24+Gärtner!I135+'Gaba-Fachwerker'!I24+Revierjäger!I24+Forstwirt!I24+#REF!+'Milchtechnologe-technologin'!I24+Milchw.Laborant!I24+Hauswirtschaft!I24</f>
        <v>#REF!</v>
      </c>
      <c r="J23" s="1056" t="e">
        <f>'A. Ausbildungsverh. Landwirt'!J27+'Fachkraft Agrarservice'!J24+Winzer!J24+'LW-Fachwerker'!J24+Tierwirt!J126+Fischwirt!J24+Pferdewirt!J24+'Pferdewirt (2)'!J24+Gärtner!J135+'Gaba-Fachwerker'!J24+Revierjäger!J24+Forstwirt!J24+#REF!+'Milchtechnologe-technologin'!J24+Milchw.Laborant!J24+Hauswirtschaft!J24</f>
        <v>#REF!</v>
      </c>
      <c r="K23" s="1186" t="e">
        <f>'A. Ausbildungsverh. Landwirt'!K27+'Fachkraft Agrarservice'!K24+Winzer!K24+'LW-Fachwerker'!K24+Tierwirt!K126+Fischwirt!K24+Pferdewirt!K24+'Pferdewirt (2)'!K24+Gärtner!K135+'Gaba-Fachwerker'!K24+Revierjäger!K24+Forstwirt!K24+#REF!+'Milchtechnologe-technologin'!K24+Milchw.Laborant!K24+Hauswirtschaft!K24</f>
        <v>#REF!</v>
      </c>
      <c r="L23" s="1056" t="e">
        <f>'A. Ausbildungsverh. Landwirt'!L27+'Fachkraft Agrarservice'!L24+Winzer!L24+'LW-Fachwerker'!L24+Tierwirt!L126+Fischwirt!L24+Pferdewirt!L24+'Pferdewirt (2)'!L24+Gärtner!L135+'Gaba-Fachwerker'!L24+Revierjäger!L24+Forstwirt!L24+#REF!+'Milchtechnologe-technologin'!L24+Milchw.Laborant!L24+Hauswirtschaft!L24</f>
        <v>#REF!</v>
      </c>
      <c r="M23" s="1056" t="e">
        <f>'A. Ausbildungsverh. Landwirt'!M27+'Fachkraft Agrarservice'!M24+Winzer!M24+'LW-Fachwerker'!M24+Tierwirt!M126+Fischwirt!M24+Pferdewirt!M24+'Pferdewirt (2)'!M24+Gärtner!M135+'Gaba-Fachwerker'!M24+Revierjäger!M24+Forstwirt!M24+#REF!+'Milchtechnologe-technologin'!M24+Milchw.Laborant!M24+Hauswirtschaft!M24</f>
        <v>#REF!</v>
      </c>
      <c r="N23" s="1187" t="e">
        <f>'A. Ausbildungsverh. Landwirt'!N27+'Fachkraft Agrarservice'!N24+Winzer!N24+'LW-Fachwerker'!N24+Tierwirt!N126+Fischwirt!N24+Pferdewirt!N24+'Pferdewirt (2)'!N24+Gärtner!N135+'Gaba-Fachwerker'!N24+Revierjäger!N24+Forstwirt!N24+#REF!+'Milchtechnologe-technologin'!N24+Milchw.Laborant!N24+Hauswirtschaft!N24</f>
        <v>#REF!</v>
      </c>
      <c r="O23" s="1056" t="e">
        <f>'A. Ausbildungsverh. Landwirt'!O27+'Fachkraft Agrarservice'!O24+Winzer!O24+'LW-Fachwerker'!O24+Tierwirt!O126+Fischwirt!O24+Pferdewirt!O24+'Pferdewirt (2)'!O24+Gärtner!O135+'Gaba-Fachwerker'!O24+Revierjäger!O24+Forstwirt!O24+#REF!+'Milchtechnologe-technologin'!O24+Milchw.Laborant!O24+Hauswirtschaft!O24</f>
        <v>#REF!</v>
      </c>
      <c r="P23" s="1057" t="e">
        <f>'A. Ausbildungsverh. Landwirt'!P27+'Fachkraft Agrarservice'!P24+Winzer!P24+'LW-Fachwerker'!P24+Tierwirt!P126+Fischwirt!P24+Pferdewirt!P24+'Pferdewirt (2)'!P24+Gärtner!P135+'Gaba-Fachwerker'!P24+Revierjäger!P24+Forstwirt!P24+#REF!+'Milchtechnologe-technologin'!P24+Milchw.Laborant!P24+Hauswirtschaft!P24</f>
        <v>#REF!</v>
      </c>
      <c r="Q23" s="776"/>
      <c r="R23" s="823"/>
      <c r="S23" s="823"/>
      <c r="T23" s="776"/>
      <c r="U23" s="776"/>
      <c r="V23" s="780"/>
      <c r="W23" s="776"/>
      <c r="X23" s="776"/>
      <c r="Y23" s="780"/>
      <c r="Z23" s="776"/>
      <c r="AA23" s="776"/>
      <c r="AB23" s="780"/>
      <c r="AC23" s="817"/>
      <c r="AD23" s="776"/>
      <c r="AE23" s="776"/>
      <c r="AF23" s="780"/>
      <c r="AG23" s="820"/>
    </row>
    <row r="24" spans="1:33" ht="15" customHeight="1">
      <c r="A24" s="592" t="s">
        <v>51</v>
      </c>
      <c r="B24" s="794"/>
      <c r="C24" s="1186" t="e">
        <f>'A. Ausbildungsverh. Landwirt'!C28+'Fachkraft Agrarservice'!C25+Winzer!C25+'LW-Fachwerker'!C25+Tierwirt!C134+Fischwirt!C25+Pferdewirt!C25+'Pferdewirt (2)'!C25+Gärtner!C154+'Gaba-Fachwerker'!C25+Revierjäger!C25+Forstwirt!C25+#REF!+'Milchtechnologe-technologin'!C25+Milchw.Laborant!C25+Hauswirtschaft!C25</f>
        <v>#REF!</v>
      </c>
      <c r="D24" s="1056" t="e">
        <f>'A. Ausbildungsverh. Landwirt'!D28+'Fachkraft Agrarservice'!D25+Winzer!D25+'LW-Fachwerker'!D25+Tierwirt!D134+Fischwirt!D25+Pferdewirt!D25+'Pferdewirt (2)'!D25+Gärtner!D154+'Gaba-Fachwerker'!D25+Revierjäger!D25+Forstwirt!D25+#REF!+'Milchtechnologe-technologin'!D25+Milchw.Laborant!D25+Hauswirtschaft!D25</f>
        <v>#REF!</v>
      </c>
      <c r="E24" s="1056" t="e">
        <f>'A. Ausbildungsverh. Landwirt'!E28+'Fachkraft Agrarservice'!E25+Winzer!E25+'LW-Fachwerker'!E25+Tierwirt!E134+Fischwirt!E25+Pferdewirt!E25+'Pferdewirt (2)'!E25+Gärtner!E154+'Gaba-Fachwerker'!E25+Revierjäger!E25+Forstwirt!E25+#REF!+'Milchtechnologe-technologin'!E25+Milchw.Laborant!E25+Hauswirtschaft!E25</f>
        <v>#REF!</v>
      </c>
      <c r="F24" s="1056" t="e">
        <f>'A. Ausbildungsverh. Landwirt'!F28+'Fachkraft Agrarservice'!F25+Winzer!F25+'LW-Fachwerker'!F25+Tierwirt!F134+Fischwirt!F25+Pferdewirt!F25+'Pferdewirt (2)'!F25+Gärtner!F154+'Gaba-Fachwerker'!F25+Revierjäger!F25+Forstwirt!F25+#REF!+'Milchtechnologe-technologin'!F25+Milchw.Laborant!F25+Hauswirtschaft!F25</f>
        <v>#REF!</v>
      </c>
      <c r="G24" s="1056" t="e">
        <f>'A. Ausbildungsverh. Landwirt'!G28+'Fachkraft Agrarservice'!G25+Winzer!G25+'LW-Fachwerker'!G25+Tierwirt!G134+Fischwirt!G25+Pferdewirt!G25+'Pferdewirt (2)'!G25+Gärtner!G154+'Gaba-Fachwerker'!G25+Revierjäger!G25+Forstwirt!G25+#REF!+'Milchtechnologe-technologin'!G25+Milchw.Laborant!G25+Hauswirtschaft!G25</f>
        <v>#REF!</v>
      </c>
      <c r="H24" s="1056" t="e">
        <f>'A. Ausbildungsverh. Landwirt'!H28+'Fachkraft Agrarservice'!H25+Winzer!H25+'LW-Fachwerker'!H25+Tierwirt!H134+Fischwirt!H25+Pferdewirt!H25+'Pferdewirt (2)'!H25+Gärtner!H154+'Gaba-Fachwerker'!H25+Revierjäger!H25+Forstwirt!H25+#REF!+'Milchtechnologe-technologin'!H25+Milchw.Laborant!H25+Hauswirtschaft!H25</f>
        <v>#REF!</v>
      </c>
      <c r="I24" s="1056" t="e">
        <f>'A. Ausbildungsverh. Landwirt'!I28+'Fachkraft Agrarservice'!I25+Winzer!I25+'LW-Fachwerker'!I25+Tierwirt!I134+Fischwirt!I25+Pferdewirt!I25+'Pferdewirt (2)'!I25+Gärtner!I154+'Gaba-Fachwerker'!I25+Revierjäger!I25+Forstwirt!I25+#REF!+'Milchtechnologe-technologin'!I25+Milchw.Laborant!I25+Hauswirtschaft!I25</f>
        <v>#REF!</v>
      </c>
      <c r="J24" s="1056" t="e">
        <f>'A. Ausbildungsverh. Landwirt'!J28+'Fachkraft Agrarservice'!J25+Winzer!J25+'LW-Fachwerker'!J25+Tierwirt!J134+Fischwirt!J25+Pferdewirt!J25+'Pferdewirt (2)'!J25+Gärtner!J154+'Gaba-Fachwerker'!J25+Revierjäger!J25+Forstwirt!J25+#REF!+'Milchtechnologe-technologin'!J25+Milchw.Laborant!J25+Hauswirtschaft!J25</f>
        <v>#REF!</v>
      </c>
      <c r="K24" s="1186" t="e">
        <f>'A. Ausbildungsverh. Landwirt'!K28+'Fachkraft Agrarservice'!K25+Winzer!K25+'LW-Fachwerker'!K25+Tierwirt!K134+Fischwirt!K25+Pferdewirt!K25+'Pferdewirt (2)'!K25+Gärtner!K154+'Gaba-Fachwerker'!K25+Revierjäger!K25+Forstwirt!K25+#REF!+'Milchtechnologe-technologin'!K25+Milchw.Laborant!K25+Hauswirtschaft!K25</f>
        <v>#REF!</v>
      </c>
      <c r="L24" s="1056" t="e">
        <f>'A. Ausbildungsverh. Landwirt'!L28+'Fachkraft Agrarservice'!L25+Winzer!L25+'LW-Fachwerker'!L25+Tierwirt!L134+Fischwirt!L25+Pferdewirt!L25+'Pferdewirt (2)'!L25+Gärtner!L154+'Gaba-Fachwerker'!L25+Revierjäger!L25+Forstwirt!L25+#REF!+'Milchtechnologe-technologin'!L25+Milchw.Laborant!L25+Hauswirtschaft!L25</f>
        <v>#REF!</v>
      </c>
      <c r="M24" s="1056" t="e">
        <f>'A. Ausbildungsverh. Landwirt'!M28+'Fachkraft Agrarservice'!M25+Winzer!M25+'LW-Fachwerker'!M25+Tierwirt!M134+Fischwirt!M25+Pferdewirt!M25+'Pferdewirt (2)'!M25+Gärtner!M154+'Gaba-Fachwerker'!M25+Revierjäger!M25+Forstwirt!M25+#REF!+'Milchtechnologe-technologin'!M25+Milchw.Laborant!M25+Hauswirtschaft!M25</f>
        <v>#REF!</v>
      </c>
      <c r="N24" s="1187" t="e">
        <f>'A. Ausbildungsverh. Landwirt'!N28+'Fachkraft Agrarservice'!N25+Winzer!N25+'LW-Fachwerker'!N25+Tierwirt!N134+Fischwirt!N25+Pferdewirt!N25+'Pferdewirt (2)'!N25+Gärtner!N154+'Gaba-Fachwerker'!N25+Revierjäger!N25+Forstwirt!N25+#REF!+'Milchtechnologe-technologin'!N25+Milchw.Laborant!N25+Hauswirtschaft!N25</f>
        <v>#REF!</v>
      </c>
      <c r="O24" s="1056" t="e">
        <f>'A. Ausbildungsverh. Landwirt'!O28+'Fachkraft Agrarservice'!O25+Winzer!O25+'LW-Fachwerker'!O25+Tierwirt!O134+Fischwirt!O25+Pferdewirt!O25+'Pferdewirt (2)'!O25+Gärtner!O154+'Gaba-Fachwerker'!O25+Revierjäger!O25+Forstwirt!O25+#REF!+'Milchtechnologe-technologin'!O25+Milchw.Laborant!O25+Hauswirtschaft!O25</f>
        <v>#REF!</v>
      </c>
      <c r="P24" s="1058" t="e">
        <f>'A. Ausbildungsverh. Landwirt'!P28+'Fachkraft Agrarservice'!P25+Winzer!P25+'LW-Fachwerker'!P25+Tierwirt!P134+Fischwirt!P25+Pferdewirt!P25+'Pferdewirt (2)'!P25+Gärtner!P154+'Gaba-Fachwerker'!P25+Revierjäger!P25+Forstwirt!P25+#REF!+'Milchtechnologe-technologin'!P25+Milchw.Laborant!P25+Hauswirtschaft!P25</f>
        <v>#REF!</v>
      </c>
    </row>
    <row r="25" spans="1:33" ht="15" customHeight="1">
      <c r="A25" s="592" t="s">
        <v>56</v>
      </c>
      <c r="B25" s="794"/>
      <c r="C25" s="1186" t="e">
        <f>'A. Ausbildungsverh. Landwirt'!C29+'Fachkraft Agrarservice'!C26+Winzer!C26+'LW-Fachwerker'!C26+Tierwirt!C142+Fischwirt!C26+Pferdewirt!C26+'Pferdewirt (2)'!C26+Gärtner!C163+'Gaba-Fachwerker'!C26+Revierjäger!C26+Forstwirt!C26+#REF!+'Milchtechnologe-technologin'!C26+Milchw.Laborant!C26+Hauswirtschaft!C26</f>
        <v>#REF!</v>
      </c>
      <c r="D25" s="1056" t="e">
        <f>'A. Ausbildungsverh. Landwirt'!D29+'Fachkraft Agrarservice'!D26+Winzer!D26+'LW-Fachwerker'!D26+Tierwirt!D142+Fischwirt!D26+Pferdewirt!D26+'Pferdewirt (2)'!D26+Gärtner!D163+'Gaba-Fachwerker'!D26+Revierjäger!D26+Forstwirt!D26+#REF!+'Milchtechnologe-technologin'!D26+Milchw.Laborant!D26+Hauswirtschaft!D26</f>
        <v>#REF!</v>
      </c>
      <c r="E25" s="1056" t="e">
        <f>'A. Ausbildungsverh. Landwirt'!E29+'Fachkraft Agrarservice'!E26+Winzer!E26+'LW-Fachwerker'!E26+Tierwirt!E142+Fischwirt!E26+Pferdewirt!E26+'Pferdewirt (2)'!E26+Gärtner!E163+'Gaba-Fachwerker'!E26+Revierjäger!E26+Forstwirt!E26+#REF!+'Milchtechnologe-technologin'!E26+Milchw.Laborant!E26+Hauswirtschaft!E26</f>
        <v>#REF!</v>
      </c>
      <c r="F25" s="1056" t="e">
        <f>'A. Ausbildungsverh. Landwirt'!F29+'Fachkraft Agrarservice'!F26+Winzer!F26+'LW-Fachwerker'!F26+Tierwirt!F142+Fischwirt!F26+Pferdewirt!F26+'Pferdewirt (2)'!F26+Gärtner!F163+'Gaba-Fachwerker'!F26+Revierjäger!F26+Forstwirt!F26+#REF!+'Milchtechnologe-technologin'!F26+Milchw.Laborant!F26+Hauswirtschaft!F26</f>
        <v>#REF!</v>
      </c>
      <c r="G25" s="1056" t="e">
        <f>'A. Ausbildungsverh. Landwirt'!G29+'Fachkraft Agrarservice'!G26+Winzer!G26+'LW-Fachwerker'!G26+Tierwirt!G142+Fischwirt!G26+Pferdewirt!G26+'Pferdewirt (2)'!G26+Gärtner!G163+'Gaba-Fachwerker'!G26+Revierjäger!G26+Forstwirt!G26+#REF!+'Milchtechnologe-technologin'!G26+Milchw.Laborant!G26+Hauswirtschaft!G26</f>
        <v>#REF!</v>
      </c>
      <c r="H25" s="1056" t="e">
        <f>'A. Ausbildungsverh. Landwirt'!H29+'Fachkraft Agrarservice'!H26+Winzer!H26+'LW-Fachwerker'!H26+Tierwirt!H142+Fischwirt!H26+Pferdewirt!H26+'Pferdewirt (2)'!H26+Gärtner!H163+'Gaba-Fachwerker'!H26+Revierjäger!H26+Forstwirt!H26+#REF!+'Milchtechnologe-technologin'!H26+Milchw.Laborant!H26+Hauswirtschaft!H26</f>
        <v>#REF!</v>
      </c>
      <c r="I25" s="1056" t="e">
        <f>'A. Ausbildungsverh. Landwirt'!I29+'Fachkraft Agrarservice'!I26+Winzer!I26+'LW-Fachwerker'!I26+Tierwirt!I142+Fischwirt!I26+Pferdewirt!I26+'Pferdewirt (2)'!I26+Gärtner!I163+'Gaba-Fachwerker'!I26+Revierjäger!I26+Forstwirt!I26+#REF!+'Milchtechnologe-technologin'!I26+Milchw.Laborant!I26+Hauswirtschaft!I26</f>
        <v>#REF!</v>
      </c>
      <c r="J25" s="1056" t="e">
        <f>'A. Ausbildungsverh. Landwirt'!J29+'Fachkraft Agrarservice'!J26+Winzer!J26+'LW-Fachwerker'!J26+Tierwirt!J142+Fischwirt!J26+Pferdewirt!J26+'Pferdewirt (2)'!J26+Gärtner!J163+'Gaba-Fachwerker'!J26+Revierjäger!J26+Forstwirt!J26+#REF!+'Milchtechnologe-technologin'!J26+Milchw.Laborant!J26+Hauswirtschaft!J26</f>
        <v>#REF!</v>
      </c>
      <c r="K25" s="1186" t="e">
        <f>'A. Ausbildungsverh. Landwirt'!K29+'Fachkraft Agrarservice'!K26+Winzer!K26+'LW-Fachwerker'!K26+Tierwirt!K142+Fischwirt!K26+Pferdewirt!K26+'Pferdewirt (2)'!K26+Gärtner!K163+'Gaba-Fachwerker'!K26+Revierjäger!K26+Forstwirt!K26+#REF!+'Milchtechnologe-technologin'!K26+Milchw.Laborant!K26+Hauswirtschaft!K26</f>
        <v>#REF!</v>
      </c>
      <c r="L25" s="1056" t="e">
        <f>'A. Ausbildungsverh. Landwirt'!L29+'Fachkraft Agrarservice'!L26+Winzer!L26+'LW-Fachwerker'!L26+Tierwirt!L142+Fischwirt!L26+Pferdewirt!L26+'Pferdewirt (2)'!L26+Gärtner!L163+'Gaba-Fachwerker'!L26+Revierjäger!L26+Forstwirt!L26+#REF!+'Milchtechnologe-technologin'!L26+Milchw.Laborant!L26+Hauswirtschaft!L26</f>
        <v>#REF!</v>
      </c>
      <c r="M25" s="1056" t="e">
        <f>'A. Ausbildungsverh. Landwirt'!M29+'Fachkraft Agrarservice'!M26+Winzer!M26+'LW-Fachwerker'!M26+Tierwirt!M142+Fischwirt!M26+Pferdewirt!M26+'Pferdewirt (2)'!M26+Gärtner!M163+'Gaba-Fachwerker'!M26+Revierjäger!M26+Forstwirt!M26+#REF!+'Milchtechnologe-technologin'!M26+Milchw.Laborant!M26+Hauswirtschaft!M26</f>
        <v>#REF!</v>
      </c>
      <c r="N25" s="1187" t="e">
        <f>'A. Ausbildungsverh. Landwirt'!N29+'Fachkraft Agrarservice'!N26+Winzer!N26+'LW-Fachwerker'!N26+Tierwirt!N142+Fischwirt!N26+Pferdewirt!N26+'Pferdewirt (2)'!N26+Gärtner!N163+'Gaba-Fachwerker'!N26+Revierjäger!N26+Forstwirt!N26+#REF!+'Milchtechnologe-technologin'!N26+Milchw.Laborant!N26+Hauswirtschaft!N26</f>
        <v>#REF!</v>
      </c>
      <c r="O25" s="1056" t="e">
        <f>'A. Ausbildungsverh. Landwirt'!O29+'Fachkraft Agrarservice'!O26+Winzer!O26+'LW-Fachwerker'!O26+Tierwirt!O142+Fischwirt!O26+Pferdewirt!O26+'Pferdewirt (2)'!O26+Gärtner!O163+'Gaba-Fachwerker'!O26+Revierjäger!O26+Forstwirt!O26+#REF!+'Milchtechnologe-technologin'!O26+Milchw.Laborant!O26+Hauswirtschaft!O26</f>
        <v>#REF!</v>
      </c>
      <c r="P25" s="1057" t="e">
        <f>'A. Ausbildungsverh. Landwirt'!P29+'Fachkraft Agrarservice'!P26+Winzer!P26+'LW-Fachwerker'!P26+Tierwirt!P142+Fischwirt!P26+Pferdewirt!P26+'Pferdewirt (2)'!P26+Gärtner!P163+'Gaba-Fachwerker'!P26+Revierjäger!P26+Forstwirt!P26+#REF!+'Milchtechnologe-technologin'!P26+Milchw.Laborant!P26+Hauswirtschaft!P26</f>
        <v>#REF!</v>
      </c>
    </row>
    <row r="26" spans="1:33" ht="15" customHeight="1">
      <c r="A26" s="592" t="s">
        <v>57</v>
      </c>
      <c r="B26" s="821"/>
      <c r="C26" s="1186" t="e">
        <f>'A. Ausbildungsverh. Landwirt'!C30+'Fachkraft Agrarservice'!C27+Winzer!C27+'LW-Fachwerker'!C27+Tierwirt!C150+Fischwirt!C27+Pferdewirt!C27+'Pferdewirt (2)'!C27+Gärtner!C172+'Gaba-Fachwerker'!C27+Revierjäger!C27+Forstwirt!C27+#REF!+'Milchtechnologe-technologin'!C27+Milchw.Laborant!C27+Hauswirtschaft!C27</f>
        <v>#REF!</v>
      </c>
      <c r="D26" s="1056" t="e">
        <f>'A. Ausbildungsverh. Landwirt'!D30+'Fachkraft Agrarservice'!D27+Winzer!D27+'LW-Fachwerker'!D27+Tierwirt!D150+Fischwirt!D27+Pferdewirt!D27+'Pferdewirt (2)'!D27+Gärtner!D172+'Gaba-Fachwerker'!D27+Revierjäger!D27+Forstwirt!D27+#REF!+'Milchtechnologe-technologin'!D27+Milchw.Laborant!D27+Hauswirtschaft!D27</f>
        <v>#REF!</v>
      </c>
      <c r="E26" s="1056" t="e">
        <f>'A. Ausbildungsverh. Landwirt'!E30+'Fachkraft Agrarservice'!E27+Winzer!E27+'LW-Fachwerker'!E27+Tierwirt!E150+Fischwirt!E27+Pferdewirt!E27+'Pferdewirt (2)'!E27+Gärtner!E172+'Gaba-Fachwerker'!E27+Revierjäger!E27+Forstwirt!E27+#REF!+'Milchtechnologe-technologin'!E27+Milchw.Laborant!E27+Hauswirtschaft!E27</f>
        <v>#REF!</v>
      </c>
      <c r="F26" s="1056" t="e">
        <f>'A. Ausbildungsverh. Landwirt'!F30+'Fachkraft Agrarservice'!F27+Winzer!F27+'LW-Fachwerker'!F27+Tierwirt!F150+Fischwirt!F27+Pferdewirt!F27+'Pferdewirt (2)'!F27+Gärtner!F172+'Gaba-Fachwerker'!F27+Revierjäger!F27+Forstwirt!F27+#REF!+'Milchtechnologe-technologin'!F27+Milchw.Laborant!F27+Hauswirtschaft!F27</f>
        <v>#REF!</v>
      </c>
      <c r="G26" s="1056" t="e">
        <f>'A. Ausbildungsverh. Landwirt'!G30+'Fachkraft Agrarservice'!G27+Winzer!G27+'LW-Fachwerker'!G27+Tierwirt!G150+Fischwirt!G27+Pferdewirt!G27+'Pferdewirt (2)'!G27+Gärtner!G172+'Gaba-Fachwerker'!G27+Revierjäger!G27+Forstwirt!G27+#REF!+'Milchtechnologe-technologin'!G27+Milchw.Laborant!G27+Hauswirtschaft!G27</f>
        <v>#REF!</v>
      </c>
      <c r="H26" s="1056" t="e">
        <f>'A. Ausbildungsverh. Landwirt'!H30+'Fachkraft Agrarservice'!H27+Winzer!H27+'LW-Fachwerker'!H27+Tierwirt!H150+Fischwirt!H27+Pferdewirt!H27+'Pferdewirt (2)'!H27+Gärtner!H172+'Gaba-Fachwerker'!H27+Revierjäger!H27+Forstwirt!H27+#REF!+'Milchtechnologe-technologin'!H27+Milchw.Laborant!H27+Hauswirtschaft!H27</f>
        <v>#REF!</v>
      </c>
      <c r="I26" s="1056" t="e">
        <f>'A. Ausbildungsverh. Landwirt'!I30+'Fachkraft Agrarservice'!I27+Winzer!I27+'LW-Fachwerker'!I27+Tierwirt!I150+Fischwirt!I27+Pferdewirt!I27+'Pferdewirt (2)'!I27+Gärtner!I172+'Gaba-Fachwerker'!I27+Revierjäger!I27+Forstwirt!I27+#REF!+'Milchtechnologe-technologin'!I27+Milchw.Laborant!I27+Hauswirtschaft!I27</f>
        <v>#REF!</v>
      </c>
      <c r="J26" s="1056" t="e">
        <f>'A. Ausbildungsverh. Landwirt'!J30+'Fachkraft Agrarservice'!J27+Winzer!J27+'LW-Fachwerker'!J27+Tierwirt!J150+Fischwirt!J27+Pferdewirt!J27+'Pferdewirt (2)'!J27+Gärtner!J172+'Gaba-Fachwerker'!J27+Revierjäger!J27+Forstwirt!J27+#REF!+'Milchtechnologe-technologin'!J27+Milchw.Laborant!J27+Hauswirtschaft!J27</f>
        <v>#REF!</v>
      </c>
      <c r="K26" s="1186" t="e">
        <f>'A. Ausbildungsverh. Landwirt'!K30+'Fachkraft Agrarservice'!K27+Winzer!K27+'LW-Fachwerker'!K27+Tierwirt!K150+Fischwirt!K27+Pferdewirt!K27+'Pferdewirt (2)'!K27+Gärtner!K172+'Gaba-Fachwerker'!K27+Revierjäger!K27+Forstwirt!K27+#REF!+'Milchtechnologe-technologin'!K27+Milchw.Laborant!K27+Hauswirtschaft!K27</f>
        <v>#REF!</v>
      </c>
      <c r="L26" s="1056" t="e">
        <f>'A. Ausbildungsverh. Landwirt'!L30+'Fachkraft Agrarservice'!L27+Winzer!L27+'LW-Fachwerker'!L27+Tierwirt!L150+Fischwirt!L27+Pferdewirt!L27+'Pferdewirt (2)'!L27+Gärtner!L172+'Gaba-Fachwerker'!L27+Revierjäger!L27+Forstwirt!L27+#REF!+'Milchtechnologe-technologin'!L27+Milchw.Laborant!L27+Hauswirtschaft!L27</f>
        <v>#REF!</v>
      </c>
      <c r="M26" s="1056" t="e">
        <f>'A. Ausbildungsverh. Landwirt'!M30+'Fachkraft Agrarservice'!M27+Winzer!M27+'LW-Fachwerker'!M27+Tierwirt!M150+Fischwirt!M27+Pferdewirt!M27+'Pferdewirt (2)'!M27+Gärtner!M172+'Gaba-Fachwerker'!M27+Revierjäger!M27+Forstwirt!M27+#REF!+'Milchtechnologe-technologin'!M27+Milchw.Laborant!M27+Hauswirtschaft!M27</f>
        <v>#REF!</v>
      </c>
      <c r="N26" s="1187" t="e">
        <f>'A. Ausbildungsverh. Landwirt'!N30+'Fachkraft Agrarservice'!N27+Winzer!N27+'LW-Fachwerker'!N27+Tierwirt!N150+Fischwirt!N27+Pferdewirt!N27+'Pferdewirt (2)'!N27+Gärtner!N172+'Gaba-Fachwerker'!N27+Revierjäger!N27+Forstwirt!N27+#REF!+'Milchtechnologe-technologin'!N27+Milchw.Laborant!N27+Hauswirtschaft!N27</f>
        <v>#REF!</v>
      </c>
      <c r="O26" s="1056" t="e">
        <f>'A. Ausbildungsverh. Landwirt'!O30+'Fachkraft Agrarservice'!O27+Winzer!O27+'LW-Fachwerker'!O27+Tierwirt!O150+Fischwirt!O27+Pferdewirt!O27+'Pferdewirt (2)'!O27+Gärtner!O172+'Gaba-Fachwerker'!O27+Revierjäger!O27+Forstwirt!O27+#REF!+'Milchtechnologe-technologin'!O27+Milchw.Laborant!O27+Hauswirtschaft!O27</f>
        <v>#REF!</v>
      </c>
      <c r="P26" s="1057" t="e">
        <f>'A. Ausbildungsverh. Landwirt'!P30+'Fachkraft Agrarservice'!P27+Winzer!P27+'LW-Fachwerker'!P27+Tierwirt!P150+Fischwirt!P27+Pferdewirt!P27+'Pferdewirt (2)'!P27+Gärtner!P172+'Gaba-Fachwerker'!P27+Revierjäger!P27+Forstwirt!P27+#REF!+'Milchtechnologe-technologin'!P27+Milchw.Laborant!P27+Hauswirtschaft!P27</f>
        <v>#REF!</v>
      </c>
    </row>
    <row r="27" spans="1:33" s="824" customFormat="1" ht="15" customHeight="1">
      <c r="A27" s="592" t="s">
        <v>59</v>
      </c>
      <c r="B27" s="767"/>
      <c r="C27" s="1187" t="e">
        <f>'A. Ausbildungsverh. Landwirt'!C31+'Fachkraft Agrarservice'!C28+Winzer!C28+'LW-Fachwerker'!C28+Tierwirt!C170+Fischwirt!C28+Pferdewirt!C28+'Pferdewirt (2)'!C28+Gärtner!C181+'Gaba-Fachwerker'!C28+Revierjäger!C28+Forstwirt!C28+#REF!+'Milchtechnologe-technologin'!C28+Milchw.Laborant!C28+Hauswirtschaft!C28</f>
        <v>#REF!</v>
      </c>
      <c r="D27" s="1056" t="e">
        <f>'A. Ausbildungsverh. Landwirt'!D31+'Fachkraft Agrarservice'!D28+Winzer!D28+'LW-Fachwerker'!D28+Tierwirt!D170+Fischwirt!D28+Pferdewirt!D28+'Pferdewirt (2)'!D28+Gärtner!D181+'Gaba-Fachwerker'!D28+Revierjäger!D28+Forstwirt!D28+#REF!+'Milchtechnologe-technologin'!D28+Milchw.Laborant!D28+Hauswirtschaft!D28</f>
        <v>#REF!</v>
      </c>
      <c r="E27" s="1056" t="e">
        <f>'A. Ausbildungsverh. Landwirt'!E31+'Fachkraft Agrarservice'!E28+Winzer!E28+'LW-Fachwerker'!E28+Tierwirt!E170+Fischwirt!E28+Pferdewirt!E28+'Pferdewirt (2)'!E28+Gärtner!E181+'Gaba-Fachwerker'!E28+Revierjäger!E28+Forstwirt!E28+#REF!+'Milchtechnologe-technologin'!E28+Milchw.Laborant!E28+Hauswirtschaft!E28</f>
        <v>#REF!</v>
      </c>
      <c r="F27" s="1056" t="e">
        <f>'A. Ausbildungsverh. Landwirt'!F31+'Fachkraft Agrarservice'!F28+Winzer!F28+'LW-Fachwerker'!F28+Tierwirt!F170+Fischwirt!F28+Pferdewirt!F28+'Pferdewirt (2)'!F28+Gärtner!F181+'Gaba-Fachwerker'!F28+Revierjäger!F28+Forstwirt!F28+#REF!+'Milchtechnologe-technologin'!F28+Milchw.Laborant!F28+Hauswirtschaft!F28</f>
        <v>#REF!</v>
      </c>
      <c r="G27" s="1056" t="e">
        <f>'A. Ausbildungsverh. Landwirt'!G31+'Fachkraft Agrarservice'!G28+Winzer!G28+'LW-Fachwerker'!G28+Tierwirt!G170+Fischwirt!G28+Pferdewirt!G28+'Pferdewirt (2)'!G28+Gärtner!G181+'Gaba-Fachwerker'!G28+Revierjäger!G28+Forstwirt!G28+#REF!+'Milchtechnologe-technologin'!G28+Milchw.Laborant!G28+Hauswirtschaft!G28</f>
        <v>#REF!</v>
      </c>
      <c r="H27" s="1056" t="e">
        <f>'A. Ausbildungsverh. Landwirt'!H31+'Fachkraft Agrarservice'!H28+Winzer!H28+'LW-Fachwerker'!H28+Tierwirt!H170+Fischwirt!H28+Pferdewirt!H28+'Pferdewirt (2)'!H28+Gärtner!H181+'Gaba-Fachwerker'!H28+Revierjäger!H28+Forstwirt!H28+#REF!+'Milchtechnologe-technologin'!H28+Milchw.Laborant!H28+Hauswirtschaft!H28</f>
        <v>#REF!</v>
      </c>
      <c r="I27" s="1056" t="e">
        <f>'A. Ausbildungsverh. Landwirt'!I31+'Fachkraft Agrarservice'!I28+Winzer!I28+'LW-Fachwerker'!I28+Tierwirt!I170+Fischwirt!I28+Pferdewirt!I28+'Pferdewirt (2)'!I28+Gärtner!I181+'Gaba-Fachwerker'!I28+Revierjäger!I28+Forstwirt!I28+#REF!+'Milchtechnologe-technologin'!I28+Milchw.Laborant!I28+Hauswirtschaft!I28</f>
        <v>#REF!</v>
      </c>
      <c r="J27" s="1056" t="e">
        <f>'A. Ausbildungsverh. Landwirt'!J31+'Fachkraft Agrarservice'!J28+Winzer!J28+'LW-Fachwerker'!J28+Tierwirt!J170+Fischwirt!J28+Pferdewirt!J28+'Pferdewirt (2)'!J28+Gärtner!J181+'Gaba-Fachwerker'!J28+Revierjäger!J28+Forstwirt!J28+#REF!+'Milchtechnologe-technologin'!J28+Milchw.Laborant!J28+Hauswirtschaft!J28</f>
        <v>#REF!</v>
      </c>
      <c r="K27" s="1186" t="e">
        <f>'A. Ausbildungsverh. Landwirt'!K31+'Fachkraft Agrarservice'!K28+Winzer!K28+'LW-Fachwerker'!K28+Tierwirt!K170+Fischwirt!K28+Pferdewirt!K28+'Pferdewirt (2)'!K28+Gärtner!K181+'Gaba-Fachwerker'!K28+Revierjäger!K28+Forstwirt!K28+#REF!+'Milchtechnologe-technologin'!K28+Milchw.Laborant!K28+Hauswirtschaft!K28</f>
        <v>#REF!</v>
      </c>
      <c r="L27" s="1056" t="e">
        <f>'A. Ausbildungsverh. Landwirt'!L31+'Fachkraft Agrarservice'!L28+Winzer!L28+'LW-Fachwerker'!L28+Tierwirt!L170+Fischwirt!L28+Pferdewirt!L28+'Pferdewirt (2)'!L28+Gärtner!L181+'Gaba-Fachwerker'!L28+Revierjäger!L28+Forstwirt!L28+#REF!+'Milchtechnologe-technologin'!L28+Milchw.Laborant!L28+Hauswirtschaft!L28</f>
        <v>#REF!</v>
      </c>
      <c r="M27" s="1056" t="e">
        <f>'A. Ausbildungsverh. Landwirt'!M31+'Fachkraft Agrarservice'!M28+Winzer!M28+'LW-Fachwerker'!M28+Tierwirt!M170+Fischwirt!M28+Pferdewirt!M28+'Pferdewirt (2)'!M28+Gärtner!M181+'Gaba-Fachwerker'!M28+Revierjäger!M28+Forstwirt!M28+#REF!+'Milchtechnologe-technologin'!M28+Milchw.Laborant!M28+Hauswirtschaft!M28</f>
        <v>#REF!</v>
      </c>
      <c r="N27" s="1186" t="e">
        <f>'A. Ausbildungsverh. Landwirt'!N31+'Fachkraft Agrarservice'!N28+Winzer!N28+'LW-Fachwerker'!N28+Tierwirt!N170+Fischwirt!N28+Pferdewirt!N28+'Pferdewirt (2)'!N28+Gärtner!N181+'Gaba-Fachwerker'!N28+Revierjäger!N28+Forstwirt!N28+#REF!+'Milchtechnologe-technologin'!N28+Milchw.Laborant!N28+Hauswirtschaft!N28</f>
        <v>#REF!</v>
      </c>
      <c r="O27" s="1056" t="e">
        <f>'A. Ausbildungsverh. Landwirt'!O31+'Fachkraft Agrarservice'!O28+Winzer!O28+'LW-Fachwerker'!O28+Tierwirt!O170+Fischwirt!O28+Pferdewirt!O28+'Pferdewirt (2)'!O28+Gärtner!O181+'Gaba-Fachwerker'!O28+Revierjäger!O28+Forstwirt!O28+#REF!+'Milchtechnologe-technologin'!O28+Milchw.Laborant!O28+Hauswirtschaft!O28</f>
        <v>#REF!</v>
      </c>
      <c r="P27" s="1057" t="e">
        <f>'A. Ausbildungsverh. Landwirt'!P31+'Fachkraft Agrarservice'!P28+Winzer!P28+'LW-Fachwerker'!P28+Tierwirt!P170+Fischwirt!P28+Pferdewirt!P28+'Pferdewirt (2)'!P28+Gärtner!P181+'Gaba-Fachwerker'!P28+Revierjäger!P28+Forstwirt!P28+#REF!+'Milchtechnologe-technologin'!P28+Milchw.Laborant!P28+Hauswirtschaft!P28</f>
        <v>#REF!</v>
      </c>
    </row>
    <row r="28" spans="1:33" s="776" customFormat="1" ht="4.5" customHeight="1">
      <c r="A28" s="825"/>
      <c r="B28" s="742"/>
      <c r="C28" s="1188"/>
      <c r="D28" s="1189"/>
      <c r="E28" s="1188"/>
      <c r="F28" s="1188"/>
      <c r="G28" s="1188"/>
      <c r="H28" s="1188"/>
      <c r="I28" s="1190"/>
      <c r="J28" s="826"/>
      <c r="K28" s="827"/>
      <c r="L28" s="828"/>
      <c r="M28" s="827"/>
      <c r="N28" s="1027"/>
      <c r="O28" s="828"/>
      <c r="P28" s="1191"/>
    </row>
    <row r="29" spans="1:33" s="831" customFormat="1" ht="20.100000000000001" customHeight="1" thickBot="1">
      <c r="A29" s="611" t="s">
        <v>60</v>
      </c>
      <c r="B29" s="829"/>
      <c r="C29" s="830" t="e">
        <f t="shared" ref="C29:P29" si="0">SUM(C12:C27)</f>
        <v>#REF!</v>
      </c>
      <c r="D29" s="830" t="e">
        <f t="shared" si="0"/>
        <v>#REF!</v>
      </c>
      <c r="E29" s="830" t="e">
        <f t="shared" si="0"/>
        <v>#REF!</v>
      </c>
      <c r="F29" s="830" t="e">
        <f t="shared" si="0"/>
        <v>#REF!</v>
      </c>
      <c r="G29" s="830" t="e">
        <f t="shared" si="0"/>
        <v>#REF!</v>
      </c>
      <c r="H29" s="830" t="e">
        <f t="shared" si="0"/>
        <v>#REF!</v>
      </c>
      <c r="I29" s="830" t="e">
        <f t="shared" si="0"/>
        <v>#REF!</v>
      </c>
      <c r="J29" s="830" t="e">
        <f t="shared" si="0"/>
        <v>#REF!</v>
      </c>
      <c r="K29" s="830" t="e">
        <f t="shared" si="0"/>
        <v>#REF!</v>
      </c>
      <c r="L29" s="830" t="e">
        <f t="shared" si="0"/>
        <v>#REF!</v>
      </c>
      <c r="M29" s="830" t="e">
        <f t="shared" si="0"/>
        <v>#REF!</v>
      </c>
      <c r="N29" s="830" t="e">
        <f t="shared" si="0"/>
        <v>#REF!</v>
      </c>
      <c r="O29" s="830" t="e">
        <f t="shared" si="0"/>
        <v>#REF!</v>
      </c>
      <c r="P29" s="1028" t="e">
        <f t="shared" si="0"/>
        <v>#REF!</v>
      </c>
    </row>
    <row r="30" spans="1:33" s="831" customFormat="1" ht="3.6" customHeight="1">
      <c r="A30" s="767"/>
      <c r="B30" s="767"/>
      <c r="C30" s="832"/>
      <c r="D30" s="833"/>
      <c r="E30" s="832"/>
      <c r="F30" s="833"/>
      <c r="G30" s="832"/>
      <c r="H30" s="832"/>
      <c r="I30" s="832"/>
      <c r="J30" s="834"/>
      <c r="K30" s="835"/>
      <c r="L30" s="835"/>
      <c r="M30" s="835"/>
      <c r="N30" s="836"/>
      <c r="O30" s="835"/>
      <c r="P30" s="835"/>
    </row>
    <row r="31" spans="1:33" s="831" customFormat="1" ht="12" customHeight="1">
      <c r="A31" s="388" t="s">
        <v>304</v>
      </c>
      <c r="B31" s="767"/>
      <c r="C31" s="832"/>
      <c r="D31" s="833"/>
      <c r="E31" s="832"/>
      <c r="F31" s="833"/>
      <c r="G31" s="832"/>
      <c r="H31" s="832"/>
      <c r="I31" s="832"/>
      <c r="J31" s="834"/>
      <c r="K31" s="835"/>
      <c r="L31" s="835"/>
      <c r="M31" s="835"/>
      <c r="N31" s="836"/>
      <c r="O31" s="835"/>
      <c r="P31" s="835"/>
    </row>
    <row r="32" spans="1:33" s="831" customFormat="1" ht="12" customHeight="1">
      <c r="A32" s="70" t="s">
        <v>345</v>
      </c>
      <c r="B32" s="388"/>
      <c r="C32" s="832"/>
      <c r="D32" s="833"/>
      <c r="E32" s="832"/>
      <c r="F32" s="833"/>
      <c r="G32" s="832"/>
      <c r="H32" s="832"/>
      <c r="I32" s="832"/>
      <c r="J32" s="834"/>
      <c r="K32" s="835"/>
      <c r="L32" s="835"/>
      <c r="M32" s="835"/>
      <c r="N32" s="836"/>
      <c r="O32" s="835"/>
      <c r="P32" s="835"/>
    </row>
    <row r="33" spans="1:16" s="824" customFormat="1" ht="12" customHeight="1">
      <c r="A33" s="608" t="s">
        <v>346</v>
      </c>
      <c r="B33" s="608"/>
      <c r="C33" s="837"/>
      <c r="D33" s="837"/>
      <c r="E33" s="837"/>
      <c r="F33" s="837"/>
      <c r="G33" s="837"/>
      <c r="H33" s="837"/>
      <c r="I33" s="837"/>
      <c r="J33" s="837"/>
      <c r="K33" s="837"/>
      <c r="L33" s="837"/>
      <c r="M33" s="837"/>
      <c r="N33" s="837"/>
    </row>
    <row r="34" spans="1:16" s="831" customFormat="1">
      <c r="E34" s="838"/>
      <c r="G34" s="839"/>
      <c r="M34" s="838"/>
    </row>
    <row r="35" spans="1:16">
      <c r="C35" s="740"/>
    </row>
    <row r="36" spans="1:16" ht="14.25">
      <c r="C36" s="841"/>
      <c r="D36" s="841"/>
      <c r="E36" s="841"/>
      <c r="F36" s="841"/>
      <c r="G36" s="841"/>
      <c r="H36" s="841"/>
      <c r="I36" s="841"/>
      <c r="J36" s="841"/>
      <c r="K36" s="841"/>
      <c r="L36" s="841"/>
      <c r="M36" s="841"/>
      <c r="N36" s="841"/>
      <c r="O36" s="841"/>
      <c r="P36" s="841"/>
    </row>
  </sheetData>
  <mergeCells count="7">
    <mergeCell ref="A2:D2"/>
    <mergeCell ref="A4:P4"/>
    <mergeCell ref="A6:B11"/>
    <mergeCell ref="C6:H6"/>
    <mergeCell ref="K6:P6"/>
    <mergeCell ref="N7:P7"/>
    <mergeCell ref="N8:P8"/>
  </mergeCells>
  <printOptions horizontalCentered="1"/>
  <pageMargins left="0.19685039370078741" right="0.19685039370078741" top="0.82677165354330717" bottom="0.70866141732283472" header="0.62992125984251968" footer="0.51181102362204722"/>
  <pageSetup paperSize="9" scale="95" orientation="landscape" r:id="rId1"/>
  <headerFooter alignWithMargins="0">
    <oddHeader>&amp;C&amp;"Arial,Standard"&amp;8- 35 -
&amp;"Times New Roman,Standard"&amp;11
&amp;R&amp;8&amp;D</oddHeader>
    <oddFooter>&amp;R&amp;14...</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tint="-0.499984740745262"/>
  </sheetPr>
  <dimension ref="A2:AG36"/>
  <sheetViews>
    <sheetView zoomScaleNormal="100" zoomScaleSheetLayoutView="100" workbookViewId="0">
      <selection activeCell="A2" sqref="A2:D2"/>
    </sheetView>
  </sheetViews>
  <sheetFormatPr baseColWidth="10" defaultColWidth="11.42578125" defaultRowHeight="15"/>
  <cols>
    <col min="1" max="1" width="5.42578125" style="772" customWidth="1"/>
    <col min="2" max="2" width="1.140625" style="772" customWidth="1"/>
    <col min="3" max="4" width="9.42578125" style="772" customWidth="1"/>
    <col min="5" max="5" width="9.42578125" style="840" customWidth="1"/>
    <col min="6" max="8" width="9.42578125" style="772" customWidth="1"/>
    <col min="9" max="10" width="11.42578125" style="772" customWidth="1"/>
    <col min="11" max="12" width="9.42578125" style="772" customWidth="1"/>
    <col min="13" max="13" width="9.42578125" style="840" customWidth="1"/>
    <col min="14" max="16" width="9.42578125" style="772" customWidth="1"/>
    <col min="17" max="16384" width="11.42578125" style="772"/>
  </cols>
  <sheetData>
    <row r="2" spans="1:23">
      <c r="A2" s="2173" t="s">
        <v>215</v>
      </c>
      <c r="B2" s="2173"/>
      <c r="C2" s="2173"/>
      <c r="D2" s="2173"/>
      <c r="E2" s="769"/>
      <c r="F2" s="769"/>
      <c r="G2" s="769"/>
      <c r="H2" s="769"/>
      <c r="I2" s="770"/>
      <c r="J2" s="771"/>
      <c r="K2" s="771"/>
      <c r="L2" s="771"/>
      <c r="M2" s="771"/>
      <c r="N2" s="648"/>
    </row>
    <row r="3" spans="1:23" ht="12" customHeight="1">
      <c r="A3" s="773"/>
      <c r="B3" s="773"/>
      <c r="C3" s="774"/>
      <c r="D3" s="774"/>
      <c r="E3" s="775"/>
      <c r="F3" s="774"/>
      <c r="G3" s="774"/>
      <c r="H3" s="774"/>
      <c r="I3" s="774"/>
      <c r="J3" s="776"/>
      <c r="K3" s="774"/>
      <c r="L3" s="774"/>
      <c r="M3" s="775"/>
      <c r="N3" s="774"/>
    </row>
    <row r="4" spans="1:23" ht="18" customHeight="1">
      <c r="A4" s="2181" t="s">
        <v>384</v>
      </c>
      <c r="B4" s="2181"/>
      <c r="C4" s="2182"/>
      <c r="D4" s="2182"/>
      <c r="E4" s="2182"/>
      <c r="F4" s="2182"/>
      <c r="G4" s="2182"/>
      <c r="H4" s="2182"/>
      <c r="I4" s="2182"/>
      <c r="J4" s="2182"/>
      <c r="K4" s="2182"/>
      <c r="L4" s="2182"/>
      <c r="M4" s="2182"/>
      <c r="N4" s="2182"/>
      <c r="O4" s="2183"/>
      <c r="P4" s="2183"/>
    </row>
    <row r="5" spans="1:23" ht="18" customHeight="1" thickBot="1">
      <c r="A5" s="777"/>
      <c r="B5" s="777"/>
      <c r="C5" s="778"/>
      <c r="D5" s="778"/>
      <c r="E5" s="779"/>
      <c r="F5" s="778"/>
      <c r="G5" s="778"/>
      <c r="H5" s="778"/>
      <c r="I5" s="777"/>
      <c r="J5" s="777"/>
      <c r="K5" s="776"/>
      <c r="L5" s="776"/>
      <c r="M5" s="780"/>
      <c r="N5" s="776"/>
    </row>
    <row r="6" spans="1:23" s="753" customFormat="1" ht="15.75" customHeight="1">
      <c r="A6" s="2042" t="s">
        <v>43</v>
      </c>
      <c r="B6" s="2184"/>
      <c r="C6" s="2037" t="s">
        <v>360</v>
      </c>
      <c r="D6" s="2037"/>
      <c r="E6" s="2037"/>
      <c r="F6" s="2037"/>
      <c r="G6" s="2037"/>
      <c r="H6" s="2038"/>
      <c r="I6" s="781" t="s">
        <v>0</v>
      </c>
      <c r="J6" s="782" t="s">
        <v>1</v>
      </c>
      <c r="K6" s="2039" t="s">
        <v>254</v>
      </c>
      <c r="L6" s="2040"/>
      <c r="M6" s="2040"/>
      <c r="N6" s="2040"/>
      <c r="O6" s="2040"/>
      <c r="P6" s="2041"/>
    </row>
    <row r="7" spans="1:23" s="753" customFormat="1" ht="13.5" customHeight="1">
      <c r="A7" s="2185"/>
      <c r="B7" s="2186"/>
      <c r="C7" s="783"/>
      <c r="D7" s="784"/>
      <c r="E7" s="784"/>
      <c r="F7" s="638" t="s">
        <v>253</v>
      </c>
      <c r="G7" s="785"/>
      <c r="H7" s="785"/>
      <c r="I7" s="781" t="s">
        <v>3</v>
      </c>
      <c r="J7" s="782" t="s">
        <v>4</v>
      </c>
      <c r="K7" s="786"/>
      <c r="L7" s="784"/>
      <c r="M7" s="784"/>
      <c r="N7" s="2189" t="s">
        <v>314</v>
      </c>
      <c r="O7" s="2190"/>
      <c r="P7" s="2191"/>
    </row>
    <row r="8" spans="1:23" s="753" customFormat="1" ht="13.5" customHeight="1">
      <c r="A8" s="2185"/>
      <c r="B8" s="2186"/>
      <c r="C8" s="788"/>
      <c r="D8" s="789"/>
      <c r="E8" s="789"/>
      <c r="F8" s="636" t="s">
        <v>302</v>
      </c>
      <c r="G8" s="635"/>
      <c r="H8" s="635"/>
      <c r="I8" s="781" t="s">
        <v>8</v>
      </c>
      <c r="J8" s="782" t="s">
        <v>8</v>
      </c>
      <c r="K8" s="790"/>
      <c r="L8" s="789"/>
      <c r="M8" s="789"/>
      <c r="N8" s="2192" t="s">
        <v>343</v>
      </c>
      <c r="O8" s="2193"/>
      <c r="P8" s="2194"/>
      <c r="Q8" s="791"/>
      <c r="R8" s="791"/>
      <c r="S8" s="791"/>
      <c r="T8" s="792"/>
      <c r="U8" s="791"/>
      <c r="V8" s="791"/>
      <c r="W8" s="793"/>
    </row>
    <row r="9" spans="1:23" s="753" customFormat="1" ht="13.5" customHeight="1">
      <c r="A9" s="2185"/>
      <c r="B9" s="2186"/>
      <c r="C9" s="794" t="s">
        <v>19</v>
      </c>
      <c r="D9" s="795" t="s">
        <v>17</v>
      </c>
      <c r="E9" s="796" t="s">
        <v>18</v>
      </c>
      <c r="F9" s="784"/>
      <c r="G9" s="787"/>
      <c r="H9" s="787"/>
      <c r="I9" s="781" t="s">
        <v>20</v>
      </c>
      <c r="J9" s="782" t="s">
        <v>20</v>
      </c>
      <c r="K9" s="797" t="s">
        <v>19</v>
      </c>
      <c r="L9" s="795" t="s">
        <v>17</v>
      </c>
      <c r="M9" s="796" t="s">
        <v>18</v>
      </c>
      <c r="N9" s="797" t="s">
        <v>19</v>
      </c>
      <c r="O9" s="798" t="s">
        <v>17</v>
      </c>
      <c r="P9" s="799" t="s">
        <v>18</v>
      </c>
    </row>
    <row r="10" spans="1:23" s="753" customFormat="1" ht="13.5" customHeight="1">
      <c r="A10" s="2185"/>
      <c r="B10" s="2186"/>
      <c r="C10" s="794" t="s">
        <v>29</v>
      </c>
      <c r="D10" s="795" t="s">
        <v>28</v>
      </c>
      <c r="E10" s="796" t="s">
        <v>28</v>
      </c>
      <c r="F10" s="795" t="s">
        <v>30</v>
      </c>
      <c r="G10" s="798" t="s">
        <v>31</v>
      </c>
      <c r="H10" s="798" t="s">
        <v>32</v>
      </c>
      <c r="I10" s="781" t="s">
        <v>33</v>
      </c>
      <c r="J10" s="782" t="s">
        <v>33</v>
      </c>
      <c r="K10" s="797" t="s">
        <v>29</v>
      </c>
      <c r="L10" s="795" t="s">
        <v>28</v>
      </c>
      <c r="M10" s="796" t="s">
        <v>34</v>
      </c>
      <c r="N10" s="797" t="s">
        <v>29</v>
      </c>
      <c r="O10" s="798" t="s">
        <v>28</v>
      </c>
      <c r="P10" s="799" t="s">
        <v>34</v>
      </c>
    </row>
    <row r="11" spans="1:23" s="753" customFormat="1" ht="13.5" customHeight="1">
      <c r="A11" s="2187"/>
      <c r="B11" s="2188"/>
      <c r="C11" s="800"/>
      <c r="D11" s="801"/>
      <c r="E11" s="802"/>
      <c r="F11" s="803"/>
      <c r="G11" s="804"/>
      <c r="H11" s="804"/>
      <c r="I11" s="805" t="s">
        <v>39</v>
      </c>
      <c r="J11" s="806" t="s">
        <v>39</v>
      </c>
      <c r="K11" s="807"/>
      <c r="L11" s="803"/>
      <c r="M11" s="808"/>
      <c r="N11" s="790"/>
      <c r="O11" s="804"/>
      <c r="P11" s="809"/>
    </row>
    <row r="12" spans="1:23" ht="15" customHeight="1">
      <c r="A12" s="592" t="s">
        <v>58</v>
      </c>
      <c r="B12" s="794"/>
      <c r="C12" s="1185" t="e">
        <f>'A. Ausbildungsverh. Landwirt'!C16+'Fachkraft Agrarservice'!C13+Winzer!C13+'LW-Fachwerker'!C13+Tierwirt!C14+Fischwirt!C13+Pferdewirt!C13+'Pferdewirt (2)'!C13+Gärtner!C14+'Gaba-Fachwerker'!C13+Revierjäger!C13+Forstwirt!C13+#REF!+'Milchtechnologe-technologin'!C13+Milchw.Laborant!C13+Hauswirtschaft!C13</f>
        <v>#REF!</v>
      </c>
      <c r="D12" s="1054" t="e">
        <f>'A. Ausbildungsverh. Landwirt'!D16+'Fachkraft Agrarservice'!D13+Winzer!D13+'LW-Fachwerker'!D13+Tierwirt!D14+Fischwirt!D13+Pferdewirt!D13+'Pferdewirt (2)'!D13+Gärtner!D14+'Gaba-Fachwerker'!D13+Revierjäger!D13+Forstwirt!D13+#REF!+'Milchtechnologe-technologin'!D13+Milchw.Laborant!D13+Hauswirtschaft!D13</f>
        <v>#REF!</v>
      </c>
      <c r="E12" s="1054" t="e">
        <f>'A. Ausbildungsverh. Landwirt'!E16+'Fachkraft Agrarservice'!E13+Winzer!E13+'LW-Fachwerker'!E13+Tierwirt!E14+Fischwirt!E13+Pferdewirt!E13+'Pferdewirt (2)'!E13+Gärtner!E14+'Gaba-Fachwerker'!E13+Revierjäger!E13+Forstwirt!E13+#REF!+'Milchtechnologe-technologin'!E13+Milchw.Laborant!E13+Hauswirtschaft!E13</f>
        <v>#REF!</v>
      </c>
      <c r="F12" s="1054" t="e">
        <f>'A. Ausbildungsverh. Landwirt'!F16+'Fachkraft Agrarservice'!F13+Winzer!F13+'LW-Fachwerker'!F13+Tierwirt!F14+Fischwirt!F13+Pferdewirt!F13+'Pferdewirt (2)'!F13+Gärtner!F14+'Gaba-Fachwerker'!F13+Revierjäger!F13+Forstwirt!F13+#REF!+'Milchtechnologe-technologin'!F13+Milchw.Laborant!F13+Hauswirtschaft!F13</f>
        <v>#REF!</v>
      </c>
      <c r="G12" s="1054" t="e">
        <f>'A. Ausbildungsverh. Landwirt'!G16+'Fachkraft Agrarservice'!G13+Winzer!G13+'LW-Fachwerker'!G13+Tierwirt!G14+Fischwirt!G13+Pferdewirt!G13+'Pferdewirt (2)'!G13+Gärtner!G14+'Gaba-Fachwerker'!G13+Revierjäger!G13+Forstwirt!G13+#REF!+'Milchtechnologe-technologin'!G13+Milchw.Laborant!G13+Hauswirtschaft!G13</f>
        <v>#REF!</v>
      </c>
      <c r="H12" s="1054" t="e">
        <f>'A. Ausbildungsverh. Landwirt'!H16+'Fachkraft Agrarservice'!H13+Winzer!H13+'LW-Fachwerker'!H13+Tierwirt!H14+Fischwirt!H13+Pferdewirt!H13+'Pferdewirt (2)'!H13+Gärtner!H14+'Gaba-Fachwerker'!H13+Revierjäger!H13+Forstwirt!H13+#REF!+'Milchtechnologe-technologin'!H13+Milchw.Laborant!H13+Hauswirtschaft!H13</f>
        <v>#REF!</v>
      </c>
      <c r="I12" s="1054" t="e">
        <f>'A. Ausbildungsverh. Landwirt'!I16+'Fachkraft Agrarservice'!I13+Winzer!I13+'LW-Fachwerker'!I13+Tierwirt!I14+Fischwirt!I13+Pferdewirt!I13+'Pferdewirt (2)'!I13+Gärtner!I14+'Gaba-Fachwerker'!I13+Revierjäger!I13+Forstwirt!I13+#REF!+'Milchtechnologe-technologin'!I13+Milchw.Laborant!I13+Hauswirtschaft!I13</f>
        <v>#REF!</v>
      </c>
      <c r="J12" s="1054" t="e">
        <f>'A. Ausbildungsverh. Landwirt'!J16+'Fachkraft Agrarservice'!J13+Winzer!J13+'LW-Fachwerker'!J13+Tierwirt!J14+Fischwirt!J13+Pferdewirt!J13+'Pferdewirt (2)'!J13+Gärtner!J14+'Gaba-Fachwerker'!J13+Revierjäger!J13+Forstwirt!J13+#REF!+'Milchtechnologe-technologin'!J13+Milchw.Laborant!J13+Hauswirtschaft!J13</f>
        <v>#REF!</v>
      </c>
      <c r="K12" s="1185" t="e">
        <f>'A. Ausbildungsverh. Landwirt'!K16+'Fachkraft Agrarservice'!K13+Winzer!K13+'LW-Fachwerker'!K13+Tierwirt!K14+Fischwirt!K13+Pferdewirt!K13+'Pferdewirt (2)'!K13+Gärtner!K14+'Gaba-Fachwerker'!K13+Revierjäger!K13+Forstwirt!K13+#REF!+'Milchtechnologe-technologin'!K13+Milchw.Laborant!K13+Hauswirtschaft!K13</f>
        <v>#REF!</v>
      </c>
      <c r="L12" s="1054" t="e">
        <f>'A. Ausbildungsverh. Landwirt'!L16+'Fachkraft Agrarservice'!L13+Winzer!L13+'LW-Fachwerker'!L13+Tierwirt!L14+Fischwirt!L13+Pferdewirt!L13+'Pferdewirt (2)'!L13+Gärtner!L14+'Gaba-Fachwerker'!L13+Revierjäger!L13+Forstwirt!L13+#REF!+'Milchtechnologe-technologin'!L13+Milchw.Laborant!L13+Hauswirtschaft!L13</f>
        <v>#REF!</v>
      </c>
      <c r="M12" s="1054" t="e">
        <f>'A. Ausbildungsverh. Landwirt'!M16+'Fachkraft Agrarservice'!M13+Winzer!M13+'LW-Fachwerker'!M13+Tierwirt!M14+Fischwirt!M13+Pferdewirt!M13+'Pferdewirt (2)'!M13+Gärtner!M14+'Gaba-Fachwerker'!M13+Revierjäger!M13+Forstwirt!M13+#REF!+'Milchtechnologe-technologin'!M13+Milchw.Laborant!M13+Hauswirtschaft!M13</f>
        <v>#REF!</v>
      </c>
      <c r="N12" s="1185" t="e">
        <f>'A. Ausbildungsverh. Landwirt'!N16+'Fachkraft Agrarservice'!N13+Winzer!N13+'LW-Fachwerker'!N13+Tierwirt!N14+Fischwirt!N13+Pferdewirt!N13+'Pferdewirt (2)'!N13+Gärtner!N14+'Gaba-Fachwerker'!N13+Revierjäger!N13+Forstwirt!N13+#REF!+'Milchtechnologe-technologin'!N13+Milchw.Laborant!N13+Hauswirtschaft!N13</f>
        <v>#REF!</v>
      </c>
      <c r="O12" s="1054" t="e">
        <f>'A. Ausbildungsverh. Landwirt'!O16+'Fachkraft Agrarservice'!O13+Winzer!O13+'LW-Fachwerker'!O13+Tierwirt!O14+Fischwirt!O13+Pferdewirt!O13+'Pferdewirt (2)'!O13+Gärtner!O14+'Gaba-Fachwerker'!O13+Revierjäger!O13+Forstwirt!O13+#REF!+'Milchtechnologe-technologin'!O13+Milchw.Laborant!O13+Hauswirtschaft!O13</f>
        <v>#REF!</v>
      </c>
      <c r="P12" s="1055" t="e">
        <f>'A. Ausbildungsverh. Landwirt'!P16+'Fachkraft Agrarservice'!P13+Winzer!P13+'LW-Fachwerker'!P13+Tierwirt!P14+Fischwirt!P13+Pferdewirt!P13+'Pferdewirt (2)'!P13+Gärtner!P14+'Gaba-Fachwerker'!P13+Revierjäger!P13+Forstwirt!P13+#REF!+'Milchtechnologe-technologin'!P13+Milchw.Laborant!P13+Hauswirtschaft!P13</f>
        <v>#REF!</v>
      </c>
    </row>
    <row r="13" spans="1:23" ht="15" customHeight="1">
      <c r="A13" s="592" t="s">
        <v>49</v>
      </c>
      <c r="B13" s="794"/>
      <c r="C13" s="1186" t="e">
        <f>'A. Ausbildungsverh. Landwirt'!C17+'Fachkraft Agrarservice'!C14+Winzer!C14+'LW-Fachwerker'!C14+Tierwirt!C22+Fischwirt!C14+Pferdewirt!C14+'Pferdewirt (2)'!C14+Gärtner!C23+'Gaba-Fachwerker'!C14+Revierjäger!C14+Forstwirt!C14+#REF!+'Milchtechnologe-technologin'!C14+Milchw.Laborant!C14+Hauswirtschaft!C14</f>
        <v>#REF!</v>
      </c>
      <c r="D13" s="1056" t="e">
        <f>'A. Ausbildungsverh. Landwirt'!D17+'Fachkraft Agrarservice'!D14+Winzer!D14+'LW-Fachwerker'!D14+Tierwirt!D22+Fischwirt!D14+Pferdewirt!D14+'Pferdewirt (2)'!D14+Gärtner!D23+'Gaba-Fachwerker'!D14+Revierjäger!D14+Forstwirt!D14+#REF!+'Milchtechnologe-technologin'!D14+Milchw.Laborant!D14+Hauswirtschaft!D14</f>
        <v>#REF!</v>
      </c>
      <c r="E13" s="1056" t="e">
        <f>'A. Ausbildungsverh. Landwirt'!E17+'Fachkraft Agrarservice'!E14+Winzer!E14+'LW-Fachwerker'!E14+Tierwirt!E22+Fischwirt!E14+Pferdewirt!E14+'Pferdewirt (2)'!E14+Gärtner!E23+'Gaba-Fachwerker'!E14+Revierjäger!E14+Forstwirt!E14+#REF!+'Milchtechnologe-technologin'!E14+Milchw.Laborant!E14+Hauswirtschaft!E14</f>
        <v>#REF!</v>
      </c>
      <c r="F13" s="1056" t="e">
        <f>'A. Ausbildungsverh. Landwirt'!F17+'Fachkraft Agrarservice'!F14+Winzer!F14+'LW-Fachwerker'!F14+Tierwirt!F22+Fischwirt!F14+Pferdewirt!F14+'Pferdewirt (2)'!F14+Gärtner!F23+'Gaba-Fachwerker'!F14+Revierjäger!F14+Forstwirt!F14+#REF!+'Milchtechnologe-technologin'!F14+Milchw.Laborant!F14+Hauswirtschaft!F14</f>
        <v>#REF!</v>
      </c>
      <c r="G13" s="1056" t="e">
        <f>'A. Ausbildungsverh. Landwirt'!G17+'Fachkraft Agrarservice'!G14+Winzer!G14+'LW-Fachwerker'!G14+Tierwirt!G22+Fischwirt!G14+Pferdewirt!G14+'Pferdewirt (2)'!G14+Gärtner!G23+'Gaba-Fachwerker'!G14+Revierjäger!G14+Forstwirt!G14+#REF!+'Milchtechnologe-technologin'!G14+Milchw.Laborant!G14+Hauswirtschaft!G14</f>
        <v>#REF!</v>
      </c>
      <c r="H13" s="1056" t="e">
        <f>'A. Ausbildungsverh. Landwirt'!H17+'Fachkraft Agrarservice'!H14+Winzer!H14+'LW-Fachwerker'!H14+Tierwirt!H22+Fischwirt!H14+Pferdewirt!H14+'Pferdewirt (2)'!H14+Gärtner!H23+'Gaba-Fachwerker'!H14+Revierjäger!H14+Forstwirt!H14+#REF!+'Milchtechnologe-technologin'!H14+Milchw.Laborant!H14+Hauswirtschaft!H14</f>
        <v>#REF!</v>
      </c>
      <c r="I13" s="1056" t="e">
        <f>'A. Ausbildungsverh. Landwirt'!I17+'Fachkraft Agrarservice'!I14+Winzer!I14+'LW-Fachwerker'!I14+Tierwirt!I22+Fischwirt!I14+Pferdewirt!I14+'Pferdewirt (2)'!I14+Gärtner!I23+'Gaba-Fachwerker'!I14+Revierjäger!I14+Forstwirt!I14+#REF!+'Milchtechnologe-technologin'!I14+Milchw.Laborant!I14+Hauswirtschaft!I14</f>
        <v>#REF!</v>
      </c>
      <c r="J13" s="1056" t="e">
        <f>'A. Ausbildungsverh. Landwirt'!J17+'Fachkraft Agrarservice'!J14+Winzer!J14+'LW-Fachwerker'!J14+Tierwirt!J22+Fischwirt!J14+Pferdewirt!J14+'Pferdewirt (2)'!J14+Gärtner!J23+'Gaba-Fachwerker'!J14+Revierjäger!J14+Forstwirt!J14+#REF!+'Milchtechnologe-technologin'!J14+Milchw.Laborant!J14+Hauswirtschaft!J14</f>
        <v>#REF!</v>
      </c>
      <c r="K13" s="1186" t="e">
        <f>'A. Ausbildungsverh. Landwirt'!K17+'Fachkraft Agrarservice'!K14+Winzer!K14+'LW-Fachwerker'!K14+Tierwirt!K22+Fischwirt!K14+Pferdewirt!K14+'Pferdewirt (2)'!K14+Gärtner!K23+'Gaba-Fachwerker'!K14+Revierjäger!K14+Forstwirt!K14+#REF!+'Milchtechnologe-technologin'!K14+Milchw.Laborant!K14+Hauswirtschaft!K14</f>
        <v>#REF!</v>
      </c>
      <c r="L13" s="1056" t="e">
        <f>'A. Ausbildungsverh. Landwirt'!L17+'Fachkraft Agrarservice'!L14+Winzer!L14+'LW-Fachwerker'!L14+Tierwirt!L22+Fischwirt!L14+Pferdewirt!L14+'Pferdewirt (2)'!L14+Gärtner!L23+'Gaba-Fachwerker'!L14+Revierjäger!L14+Forstwirt!L14+#REF!+'Milchtechnologe-technologin'!L14+Milchw.Laborant!L14+Hauswirtschaft!L14</f>
        <v>#REF!</v>
      </c>
      <c r="M13" s="1056" t="e">
        <f>'A. Ausbildungsverh. Landwirt'!M17+'Fachkraft Agrarservice'!M14+Winzer!M14+'LW-Fachwerker'!M14+Tierwirt!M22+Fischwirt!M14+Pferdewirt!M14+'Pferdewirt (2)'!M14+Gärtner!M23+'Gaba-Fachwerker'!M14+Revierjäger!M14+Forstwirt!M14+#REF!+'Milchtechnologe-technologin'!M14+Milchw.Laborant!M14+Hauswirtschaft!M14</f>
        <v>#REF!</v>
      </c>
      <c r="N13" s="1187" t="e">
        <f>'A. Ausbildungsverh. Landwirt'!N17+'Fachkraft Agrarservice'!N14+Winzer!N14+'LW-Fachwerker'!N14+Tierwirt!N22+Fischwirt!N14+Pferdewirt!N14+'Pferdewirt (2)'!N14+Gärtner!N23+'Gaba-Fachwerker'!N14+Revierjäger!N14+Forstwirt!N14+#REF!+'Milchtechnologe-technologin'!N14+Milchw.Laborant!N14+Hauswirtschaft!N14</f>
        <v>#REF!</v>
      </c>
      <c r="O13" s="1056" t="e">
        <f>'A. Ausbildungsverh. Landwirt'!O17+'Fachkraft Agrarservice'!O14+Winzer!O14+'LW-Fachwerker'!O14+Tierwirt!O22+Fischwirt!O14+Pferdewirt!O14+'Pferdewirt (2)'!O14+Gärtner!O23+'Gaba-Fachwerker'!O14+Revierjäger!O14+Forstwirt!O14+#REF!+'Milchtechnologe-technologin'!O14+Milchw.Laborant!O14+Hauswirtschaft!O14</f>
        <v>#REF!</v>
      </c>
      <c r="P13" s="1057" t="e">
        <f>'A. Ausbildungsverh. Landwirt'!P17+'Fachkraft Agrarservice'!P14+Winzer!P14+'LW-Fachwerker'!P14+Tierwirt!P22+Fischwirt!P14+Pferdewirt!P14+'Pferdewirt (2)'!P14+Gärtner!P23+'Gaba-Fachwerker'!P14+Revierjäger!P14+Forstwirt!P14+#REF!+'Milchtechnologe-technologin'!P14+Milchw.Laborant!P14+Hauswirtschaft!P14</f>
        <v>#REF!</v>
      </c>
    </row>
    <row r="14" spans="1:23" ht="15" customHeight="1">
      <c r="A14" s="592" t="s">
        <v>52</v>
      </c>
      <c r="B14" s="794"/>
      <c r="C14" s="1186" t="e">
        <f>'A. Ausbildungsverh. Landwirt'!C18+'Fachkraft Agrarservice'!C15+Winzer!C15+'LW-Fachwerker'!C15+Tierwirt!C30+Fischwirt!C15+Pferdewirt!C15+'Pferdewirt (2)'!C15+Gärtner!C32+'Gaba-Fachwerker'!C15+Revierjäger!C15+Forstwirt!C15+#REF!+'Milchtechnologe-technologin'!C15+Milchw.Laborant!C15+Hauswirtschaft!C15</f>
        <v>#REF!</v>
      </c>
      <c r="D14" s="1056" t="e">
        <f>'A. Ausbildungsverh. Landwirt'!D18+'Fachkraft Agrarservice'!D15+Winzer!D15+'LW-Fachwerker'!D15+Tierwirt!D30+Fischwirt!D15+Pferdewirt!D15+'Pferdewirt (2)'!D15+Gärtner!D32+'Gaba-Fachwerker'!D15+Revierjäger!D15+Forstwirt!D15+#REF!+'Milchtechnologe-technologin'!D15+Milchw.Laborant!D15+Hauswirtschaft!D15</f>
        <v>#REF!</v>
      </c>
      <c r="E14" s="1056" t="e">
        <f>'A. Ausbildungsverh. Landwirt'!E18+'Fachkraft Agrarservice'!E15+Winzer!E15+'LW-Fachwerker'!E15+Tierwirt!E30+Fischwirt!E15+Pferdewirt!E15+'Pferdewirt (2)'!E15+Gärtner!E32+'Gaba-Fachwerker'!E15+Revierjäger!E15+Forstwirt!E15+#REF!+'Milchtechnologe-technologin'!E15+Milchw.Laborant!E15+Hauswirtschaft!E15</f>
        <v>#REF!</v>
      </c>
      <c r="F14" s="1056" t="e">
        <f>'A. Ausbildungsverh. Landwirt'!F18+'Fachkraft Agrarservice'!F15+Winzer!F15+'LW-Fachwerker'!F15+Tierwirt!F30+Fischwirt!F15+Pferdewirt!F15+'Pferdewirt (2)'!F15+Gärtner!F32+'Gaba-Fachwerker'!F15+Revierjäger!F15+Forstwirt!F15+#REF!+'Milchtechnologe-technologin'!F15+Milchw.Laborant!F15+Hauswirtschaft!F15</f>
        <v>#REF!</v>
      </c>
      <c r="G14" s="1056" t="e">
        <f>'A. Ausbildungsverh. Landwirt'!G18+'Fachkraft Agrarservice'!G15+Winzer!G15+'LW-Fachwerker'!G15+Tierwirt!G30+Fischwirt!G15+Pferdewirt!G15+'Pferdewirt (2)'!G15+Gärtner!G32+'Gaba-Fachwerker'!G15+Revierjäger!G15+Forstwirt!G15+#REF!+'Milchtechnologe-technologin'!G15+Milchw.Laborant!G15+Hauswirtschaft!G15</f>
        <v>#REF!</v>
      </c>
      <c r="H14" s="1056" t="e">
        <f>'A. Ausbildungsverh. Landwirt'!H18+'Fachkraft Agrarservice'!H15+Winzer!H15+'LW-Fachwerker'!H15+Tierwirt!H30+Fischwirt!H15+Pferdewirt!H15+'Pferdewirt (2)'!H15+Gärtner!H32+'Gaba-Fachwerker'!H15+Revierjäger!H15+Forstwirt!H15+#REF!+'Milchtechnologe-technologin'!H15+Milchw.Laborant!H15+Hauswirtschaft!H15</f>
        <v>#REF!</v>
      </c>
      <c r="I14" s="1056" t="e">
        <f>'A. Ausbildungsverh. Landwirt'!I18+'Fachkraft Agrarservice'!I15+Winzer!I15+'LW-Fachwerker'!I15+Tierwirt!I30+Fischwirt!I15+Pferdewirt!I15+'Pferdewirt (2)'!I15+Gärtner!I32+'Gaba-Fachwerker'!I15+Revierjäger!I15+Forstwirt!I15+#REF!+'Milchtechnologe-technologin'!I15+Milchw.Laborant!I15+Hauswirtschaft!I15</f>
        <v>#REF!</v>
      </c>
      <c r="J14" s="1056" t="e">
        <f>'A. Ausbildungsverh. Landwirt'!J18+'Fachkraft Agrarservice'!J15+Winzer!J15+'LW-Fachwerker'!J15+Tierwirt!J30+Fischwirt!J15+Pferdewirt!J15+'Pferdewirt (2)'!J15+Gärtner!J32+'Gaba-Fachwerker'!J15+Revierjäger!J15+Forstwirt!J15+#REF!+'Milchtechnologe-technologin'!J15+Milchw.Laborant!J15+Hauswirtschaft!J15</f>
        <v>#REF!</v>
      </c>
      <c r="K14" s="1186" t="e">
        <f>'A. Ausbildungsverh. Landwirt'!K18+'Fachkraft Agrarservice'!K15+Winzer!K15+'LW-Fachwerker'!K15+Tierwirt!K30+Fischwirt!K15+Pferdewirt!K15+'Pferdewirt (2)'!K15+Gärtner!K32+'Gaba-Fachwerker'!K15+Revierjäger!K15+Forstwirt!K15+#REF!+'Milchtechnologe-technologin'!K15+Milchw.Laborant!K15+Hauswirtschaft!K15</f>
        <v>#REF!</v>
      </c>
      <c r="L14" s="1056" t="e">
        <f>'A. Ausbildungsverh. Landwirt'!L18+'Fachkraft Agrarservice'!L15+Winzer!L15+'LW-Fachwerker'!L15+Tierwirt!L30+Fischwirt!L15+Pferdewirt!L15+'Pferdewirt (2)'!L15+Gärtner!L32+'Gaba-Fachwerker'!L15+Revierjäger!L15+Forstwirt!L15+#REF!+'Milchtechnologe-technologin'!L15+Milchw.Laborant!L15+Hauswirtschaft!L15</f>
        <v>#REF!</v>
      </c>
      <c r="M14" s="1056" t="e">
        <f>'A. Ausbildungsverh. Landwirt'!M18+'Fachkraft Agrarservice'!M15+Winzer!M15+'LW-Fachwerker'!M15+Tierwirt!M30+Fischwirt!M15+Pferdewirt!M15+'Pferdewirt (2)'!M15+Gärtner!M32+'Gaba-Fachwerker'!M15+Revierjäger!M15+Forstwirt!M15+#REF!+'Milchtechnologe-technologin'!M15+Milchw.Laborant!M15+Hauswirtschaft!M15</f>
        <v>#REF!</v>
      </c>
      <c r="N14" s="1186" t="e">
        <f>'A. Ausbildungsverh. Landwirt'!N18+'Fachkraft Agrarservice'!N15+Winzer!N15+'LW-Fachwerker'!N15+Tierwirt!N30+Fischwirt!N15+Pferdewirt!N15+'Pferdewirt (2)'!N15+Gärtner!N32+'Gaba-Fachwerker'!N15+Revierjäger!N15+Forstwirt!N15+#REF!+'Milchtechnologe-technologin'!N15+Milchw.Laborant!N15+Hauswirtschaft!N15</f>
        <v>#REF!</v>
      </c>
      <c r="O14" s="1056" t="e">
        <f>'A. Ausbildungsverh. Landwirt'!O18+'Fachkraft Agrarservice'!O15+Winzer!O15+'LW-Fachwerker'!O15+Tierwirt!O30+Fischwirt!O15+Pferdewirt!O15+'Pferdewirt (2)'!O15+Gärtner!O32+'Gaba-Fachwerker'!O15+Revierjäger!O15+Forstwirt!O15+#REF!+'Milchtechnologe-technologin'!O15+Milchw.Laborant!O15+Hauswirtschaft!O15</f>
        <v>#REF!</v>
      </c>
      <c r="P14" s="1057" t="e">
        <f>'A. Ausbildungsverh. Landwirt'!P18+'Fachkraft Agrarservice'!P15+Winzer!P15+'LW-Fachwerker'!P15+Tierwirt!P30+Fischwirt!P15+Pferdewirt!P15+'Pferdewirt (2)'!P15+Gärtner!P32+'Gaba-Fachwerker'!P15+Revierjäger!P15+Forstwirt!P15+#REF!+'Milchtechnologe-technologin'!P15+Milchw.Laborant!P15+Hauswirtschaft!P15</f>
        <v>#REF!</v>
      </c>
    </row>
    <row r="15" spans="1:23" ht="15" customHeight="1">
      <c r="A15" s="592" t="s">
        <v>48</v>
      </c>
      <c r="B15" s="810"/>
      <c r="C15" s="1186" t="e">
        <f>'A. Ausbildungsverh. Landwirt'!C19+'Fachkraft Agrarservice'!C16+Winzer!C16+'LW-Fachwerker'!C16+Tierwirt!C38+Fischwirt!C16+Pferdewirt!C16+'Pferdewirt (2)'!C16+Gärtner!C41+'Gaba-Fachwerker'!C16+Revierjäger!C16+Forstwirt!C16+#REF!+'Milchtechnologe-technologin'!C16+Milchw.Laborant!C16+Hauswirtschaft!C16</f>
        <v>#REF!</v>
      </c>
      <c r="D15" s="1056" t="e">
        <f>'A. Ausbildungsverh. Landwirt'!D19+'Fachkraft Agrarservice'!D16+Winzer!D16+'LW-Fachwerker'!D16+Tierwirt!D38+Fischwirt!D16+Pferdewirt!D16+'Pferdewirt (2)'!D16+Gärtner!D41+'Gaba-Fachwerker'!D16+Revierjäger!D16+Forstwirt!D16+#REF!+'Milchtechnologe-technologin'!D16+Milchw.Laborant!D16+Hauswirtschaft!D16</f>
        <v>#REF!</v>
      </c>
      <c r="E15" s="1056" t="e">
        <f>'A. Ausbildungsverh. Landwirt'!E19+'Fachkraft Agrarservice'!E16+Winzer!E16+'LW-Fachwerker'!E16+Tierwirt!E38+Fischwirt!E16+Pferdewirt!E16+'Pferdewirt (2)'!E16+Gärtner!E41+'Gaba-Fachwerker'!E16+Revierjäger!E16+Forstwirt!E16+#REF!+'Milchtechnologe-technologin'!E16+Milchw.Laborant!E16+Hauswirtschaft!E16</f>
        <v>#REF!</v>
      </c>
      <c r="F15" s="1056" t="e">
        <f>'A. Ausbildungsverh. Landwirt'!F19+'Fachkraft Agrarservice'!F16+Winzer!F16+'LW-Fachwerker'!F16+Tierwirt!F38+Fischwirt!F16+Pferdewirt!F16+'Pferdewirt (2)'!F16+Gärtner!F41+'Gaba-Fachwerker'!F16+Revierjäger!F16+Forstwirt!F16+#REF!+'Milchtechnologe-technologin'!F16+Milchw.Laborant!F16+Hauswirtschaft!F16</f>
        <v>#REF!</v>
      </c>
      <c r="G15" s="1056" t="e">
        <f>'A. Ausbildungsverh. Landwirt'!G19+'Fachkraft Agrarservice'!G16+Winzer!G16+'LW-Fachwerker'!G16+Tierwirt!G38+Fischwirt!G16+Pferdewirt!G16+'Pferdewirt (2)'!G16+Gärtner!G41+'Gaba-Fachwerker'!G16+Revierjäger!G16+Forstwirt!G16+#REF!+'Milchtechnologe-technologin'!G16+Milchw.Laborant!G16+Hauswirtschaft!G16</f>
        <v>#REF!</v>
      </c>
      <c r="H15" s="1056" t="e">
        <f>'A. Ausbildungsverh. Landwirt'!H19+'Fachkraft Agrarservice'!H16+Winzer!H16+'LW-Fachwerker'!H16+Tierwirt!H38+Fischwirt!H16+Pferdewirt!H16+'Pferdewirt (2)'!H16+Gärtner!H41+'Gaba-Fachwerker'!H16+Revierjäger!H16+Forstwirt!H16+#REF!+'Milchtechnologe-technologin'!H16+Milchw.Laborant!H16+Hauswirtschaft!H16</f>
        <v>#REF!</v>
      </c>
      <c r="I15" s="1056" t="e">
        <f>'A. Ausbildungsverh. Landwirt'!I19+'Fachkraft Agrarservice'!I16+Winzer!I16+'LW-Fachwerker'!I16+Tierwirt!I38+Fischwirt!I16+Pferdewirt!I16+'Pferdewirt (2)'!I16+Gärtner!I41+'Gaba-Fachwerker'!I16+Revierjäger!I16+Forstwirt!I16+#REF!+'Milchtechnologe-technologin'!I16+Milchw.Laborant!I16+Hauswirtschaft!I16</f>
        <v>#REF!</v>
      </c>
      <c r="J15" s="1056" t="e">
        <f>'A. Ausbildungsverh. Landwirt'!J19+'Fachkraft Agrarservice'!J16+Winzer!J16+'LW-Fachwerker'!J16+Tierwirt!J38+Fischwirt!J16+Pferdewirt!J16+'Pferdewirt (2)'!J16+Gärtner!J41+'Gaba-Fachwerker'!J16+Revierjäger!J16+Forstwirt!J16+#REF!+'Milchtechnologe-technologin'!J16+Milchw.Laborant!J16+Hauswirtschaft!J16</f>
        <v>#REF!</v>
      </c>
      <c r="K15" s="1186" t="e">
        <f>'A. Ausbildungsverh. Landwirt'!K19+'Fachkraft Agrarservice'!K16+Winzer!K16+'LW-Fachwerker'!K16+Tierwirt!K38+Fischwirt!K16+Pferdewirt!K16+'Pferdewirt (2)'!K16+Gärtner!K41+'Gaba-Fachwerker'!K16+Revierjäger!K16+Forstwirt!K16+#REF!+'Milchtechnologe-technologin'!K16+Milchw.Laborant!K16+Hauswirtschaft!K16</f>
        <v>#REF!</v>
      </c>
      <c r="L15" s="1056" t="e">
        <f>'A. Ausbildungsverh. Landwirt'!L19+'Fachkraft Agrarservice'!L16+Winzer!L16+'LW-Fachwerker'!L16+Tierwirt!L38+Fischwirt!L16+Pferdewirt!L16+'Pferdewirt (2)'!L16+Gärtner!L41+'Gaba-Fachwerker'!L16+Revierjäger!L16+Forstwirt!L16+#REF!+'Milchtechnologe-technologin'!L16+Milchw.Laborant!L16+Hauswirtschaft!L16</f>
        <v>#REF!</v>
      </c>
      <c r="M15" s="1056" t="e">
        <f>'A. Ausbildungsverh. Landwirt'!M19+'Fachkraft Agrarservice'!M16+Winzer!M16+'LW-Fachwerker'!M16+Tierwirt!M38+Fischwirt!M16+Pferdewirt!M16+'Pferdewirt (2)'!M16+Gärtner!M41+'Gaba-Fachwerker'!M16+Revierjäger!M16+Forstwirt!M16+#REF!+'Milchtechnologe-technologin'!M16+Milchw.Laborant!M16+Hauswirtschaft!M16</f>
        <v>#REF!</v>
      </c>
      <c r="N15" s="1187" t="e">
        <f>'A. Ausbildungsverh. Landwirt'!N19+'Fachkraft Agrarservice'!N16+Winzer!N16+'LW-Fachwerker'!N16+Tierwirt!N38+Fischwirt!N16+Pferdewirt!N16+'Pferdewirt (2)'!N16+Gärtner!N41+'Gaba-Fachwerker'!N16+Revierjäger!N16+Forstwirt!N16+#REF!+'Milchtechnologe-technologin'!N16+Milchw.Laborant!N16+Hauswirtschaft!N16</f>
        <v>#REF!</v>
      </c>
      <c r="O15" s="1056" t="e">
        <f>'A. Ausbildungsverh. Landwirt'!O19+'Fachkraft Agrarservice'!O16+Winzer!O16+'LW-Fachwerker'!O16+Tierwirt!O38+Fischwirt!O16+Pferdewirt!O16+'Pferdewirt (2)'!O16+Gärtner!O41+'Gaba-Fachwerker'!O16+Revierjäger!O16+Forstwirt!O16+#REF!+'Milchtechnologe-technologin'!O16+Milchw.Laborant!O16+Hauswirtschaft!O16</f>
        <v>#REF!</v>
      </c>
      <c r="P15" s="1057" t="e">
        <f>'A. Ausbildungsverh. Landwirt'!P19+'Fachkraft Agrarservice'!P16+Winzer!P16+'LW-Fachwerker'!P16+Tierwirt!P38+Fischwirt!P16+Pferdewirt!P16+'Pferdewirt (2)'!P16+Gärtner!P41+'Gaba-Fachwerker'!P16+Revierjäger!P16+Forstwirt!P16+#REF!+'Milchtechnologe-technologin'!P16+Milchw.Laborant!P16+Hauswirtschaft!P16</f>
        <v>#REF!</v>
      </c>
    </row>
    <row r="16" spans="1:23" ht="15" customHeight="1">
      <c r="A16" s="592" t="s">
        <v>53</v>
      </c>
      <c r="B16" s="810"/>
      <c r="C16" s="1186" t="e">
        <f>'A. Ausbildungsverh. Landwirt'!C20+'Fachkraft Agrarservice'!C17+Winzer!C17+'LW-Fachwerker'!C17+Tierwirt!C46+Fischwirt!C17+Pferdewirt!C17+'Pferdewirt (2)'!C17+Gärtner!C61+'Gaba-Fachwerker'!C17+Revierjäger!C17+Forstwirt!C17+#REF!+'Milchtechnologe-technologin'!C17+Milchw.Laborant!C17+Hauswirtschaft!C17</f>
        <v>#REF!</v>
      </c>
      <c r="D16" s="1056" t="e">
        <f>'A. Ausbildungsverh. Landwirt'!D20+'Fachkraft Agrarservice'!D17+Winzer!D17+'LW-Fachwerker'!D17+Tierwirt!D46+Fischwirt!D17+Pferdewirt!D17+'Pferdewirt (2)'!D17+Gärtner!D61+'Gaba-Fachwerker'!D17+Revierjäger!D17+Forstwirt!D17+#REF!+'Milchtechnologe-technologin'!D17+Milchw.Laborant!D17+Hauswirtschaft!D17</f>
        <v>#REF!</v>
      </c>
      <c r="E16" s="1056" t="e">
        <f>'A. Ausbildungsverh. Landwirt'!E20+'Fachkraft Agrarservice'!E17+Winzer!E17+'LW-Fachwerker'!E17+Tierwirt!E46+Fischwirt!E17+Pferdewirt!E17+'Pferdewirt (2)'!E17+Gärtner!E61+'Gaba-Fachwerker'!E17+Revierjäger!E17+Forstwirt!E17+#REF!+'Milchtechnologe-technologin'!E17+Milchw.Laborant!E17+Hauswirtschaft!E17</f>
        <v>#REF!</v>
      </c>
      <c r="F16" s="1056" t="e">
        <f>'A. Ausbildungsverh. Landwirt'!F20+'Fachkraft Agrarservice'!F17+Winzer!F17+'LW-Fachwerker'!F17+Tierwirt!F46+Fischwirt!F17+Pferdewirt!F17+'Pferdewirt (2)'!F17+Gärtner!F61+'Gaba-Fachwerker'!F17+Revierjäger!F17+Forstwirt!F17+#REF!+'Milchtechnologe-technologin'!F17+Milchw.Laborant!F17+Hauswirtschaft!F17</f>
        <v>#REF!</v>
      </c>
      <c r="G16" s="1056" t="e">
        <f>'A. Ausbildungsverh. Landwirt'!G20+'Fachkraft Agrarservice'!G17+Winzer!G17+'LW-Fachwerker'!G17+Tierwirt!G46+Fischwirt!G17+Pferdewirt!G17+'Pferdewirt (2)'!G17+Gärtner!G61+'Gaba-Fachwerker'!G17+Revierjäger!G17+Forstwirt!G17+#REF!+'Milchtechnologe-technologin'!G17+Milchw.Laborant!G17+Hauswirtschaft!G17</f>
        <v>#REF!</v>
      </c>
      <c r="H16" s="1056" t="e">
        <f>'A. Ausbildungsverh. Landwirt'!H20+'Fachkraft Agrarservice'!H17+Winzer!H17+'LW-Fachwerker'!H17+Tierwirt!H46+Fischwirt!H17+Pferdewirt!H17+'Pferdewirt (2)'!H17+Gärtner!H61+'Gaba-Fachwerker'!H17+Revierjäger!H17+Forstwirt!H17+#REF!+'Milchtechnologe-technologin'!H17+Milchw.Laborant!H17+Hauswirtschaft!H17</f>
        <v>#REF!</v>
      </c>
      <c r="I16" s="1056" t="e">
        <f>'A. Ausbildungsverh. Landwirt'!I20+'Fachkraft Agrarservice'!I17+Winzer!I17+'LW-Fachwerker'!I17+Tierwirt!I46+Fischwirt!I17+Pferdewirt!I17+'Pferdewirt (2)'!I17+Gärtner!I61+'Gaba-Fachwerker'!I17+Revierjäger!I17+Forstwirt!I17+#REF!+'Milchtechnologe-technologin'!I17+Milchw.Laborant!I17+Hauswirtschaft!I17</f>
        <v>#REF!</v>
      </c>
      <c r="J16" s="1056" t="e">
        <f>'A. Ausbildungsverh. Landwirt'!J20+'Fachkraft Agrarservice'!J17+Winzer!J17+'LW-Fachwerker'!J17+Tierwirt!J46+Fischwirt!J17+Pferdewirt!J17+'Pferdewirt (2)'!J17+Gärtner!J61+'Gaba-Fachwerker'!J17+Revierjäger!J17+Forstwirt!J17+#REF!+'Milchtechnologe-technologin'!J17+Milchw.Laborant!J17+Hauswirtschaft!J17</f>
        <v>#REF!</v>
      </c>
      <c r="K16" s="1186" t="e">
        <f>'A. Ausbildungsverh. Landwirt'!K20+'Fachkraft Agrarservice'!K17+Winzer!K17+'LW-Fachwerker'!K17+Tierwirt!K46+Fischwirt!K17+Pferdewirt!K17+'Pferdewirt (2)'!K17+Gärtner!K61+'Gaba-Fachwerker'!K17+Revierjäger!K17+Forstwirt!K17+#REF!+'Milchtechnologe-technologin'!K17+Milchw.Laborant!K17+Hauswirtschaft!K17</f>
        <v>#REF!</v>
      </c>
      <c r="L16" s="1056" t="e">
        <f>'A. Ausbildungsverh. Landwirt'!L20+'Fachkraft Agrarservice'!L17+Winzer!L17+'LW-Fachwerker'!L17+Tierwirt!L46+Fischwirt!L17+Pferdewirt!L17+'Pferdewirt (2)'!L17+Gärtner!L61+'Gaba-Fachwerker'!L17+Revierjäger!L17+Forstwirt!L17+#REF!+'Milchtechnologe-technologin'!L17+Milchw.Laborant!L17+Hauswirtschaft!L17</f>
        <v>#REF!</v>
      </c>
      <c r="M16" s="1056" t="e">
        <f>'A. Ausbildungsverh. Landwirt'!M20+'Fachkraft Agrarservice'!M17+Winzer!M17+'LW-Fachwerker'!M17+Tierwirt!M46+Fischwirt!M17+Pferdewirt!M17+'Pferdewirt (2)'!M17+Gärtner!M61+'Gaba-Fachwerker'!M17+Revierjäger!M17+Forstwirt!M17+#REF!+'Milchtechnologe-technologin'!M17+Milchw.Laborant!M17+Hauswirtschaft!M17</f>
        <v>#REF!</v>
      </c>
      <c r="N16" s="1187" t="e">
        <f>'A. Ausbildungsverh. Landwirt'!N20+'Fachkraft Agrarservice'!N17+Winzer!N17+'LW-Fachwerker'!N17+Tierwirt!N46+Fischwirt!N17+Pferdewirt!N17+'Pferdewirt (2)'!N17+Gärtner!N61+'Gaba-Fachwerker'!N17+Revierjäger!N17+Forstwirt!N17+#REF!+'Milchtechnologe-technologin'!N17+Milchw.Laborant!N17+Hauswirtschaft!N17</f>
        <v>#REF!</v>
      </c>
      <c r="O16" s="1056" t="e">
        <f>'A. Ausbildungsverh. Landwirt'!O20+'Fachkraft Agrarservice'!O17+Winzer!O17+'LW-Fachwerker'!O17+Tierwirt!O46+Fischwirt!O17+Pferdewirt!O17+'Pferdewirt (2)'!O17+Gärtner!O61+'Gaba-Fachwerker'!O17+Revierjäger!O17+Forstwirt!O17+#REF!+'Milchtechnologe-technologin'!O17+Milchw.Laborant!O17+Hauswirtschaft!O17</f>
        <v>#REF!</v>
      </c>
      <c r="P16" s="1057" t="e">
        <f>'A. Ausbildungsverh. Landwirt'!P20+'Fachkraft Agrarservice'!P17+Winzer!P17+'LW-Fachwerker'!P17+Tierwirt!P46+Fischwirt!P17+Pferdewirt!P17+'Pferdewirt (2)'!P17+Gärtner!P61+'Gaba-Fachwerker'!P17+Revierjäger!P17+Forstwirt!P17+#REF!+'Milchtechnologe-technologin'!P17+Milchw.Laborant!P17+Hauswirtschaft!P17</f>
        <v>#REF!</v>
      </c>
    </row>
    <row r="17" spans="1:33" ht="15" customHeight="1">
      <c r="A17" s="592" t="s">
        <v>50</v>
      </c>
      <c r="B17" s="794"/>
      <c r="C17" s="1186" t="e">
        <f>'A. Ausbildungsverh. Landwirt'!C21+'Fachkraft Agrarservice'!C18+Winzer!C18+'LW-Fachwerker'!C18+Tierwirt!C66+Fischwirt!C18+Pferdewirt!C18+'Pferdewirt (2)'!C18+Gärtner!C70+'Gaba-Fachwerker'!C18+Revierjäger!C18+Forstwirt!C18+#REF!+'Milchtechnologe-technologin'!C18+Milchw.Laborant!C18+Hauswirtschaft!C18</f>
        <v>#REF!</v>
      </c>
      <c r="D17" s="1056" t="e">
        <f>'A. Ausbildungsverh. Landwirt'!D21+'Fachkraft Agrarservice'!D18+Winzer!D18+'LW-Fachwerker'!D18+Tierwirt!D66+Fischwirt!D18+Pferdewirt!D18+'Pferdewirt (2)'!D18+Gärtner!D70+'Gaba-Fachwerker'!D18+Revierjäger!D18+Forstwirt!D18+#REF!+'Milchtechnologe-technologin'!D18+Milchw.Laborant!D18+Hauswirtschaft!D18</f>
        <v>#REF!</v>
      </c>
      <c r="E17" s="1056" t="e">
        <f>'A. Ausbildungsverh. Landwirt'!E21+'Fachkraft Agrarservice'!E18+Winzer!E18+'LW-Fachwerker'!E18+Tierwirt!E66+Fischwirt!E18+Pferdewirt!E18+'Pferdewirt (2)'!E18+Gärtner!E70+'Gaba-Fachwerker'!E18+Revierjäger!E18+Forstwirt!E18+#REF!+'Milchtechnologe-technologin'!E18+Milchw.Laborant!E18+Hauswirtschaft!E18</f>
        <v>#REF!</v>
      </c>
      <c r="F17" s="1056" t="e">
        <f>'A. Ausbildungsverh. Landwirt'!F21+'Fachkraft Agrarservice'!F18+Winzer!F18+'LW-Fachwerker'!F18+Tierwirt!F66+Fischwirt!F18+Pferdewirt!F18+'Pferdewirt (2)'!F18+Gärtner!F70+'Gaba-Fachwerker'!F18+Revierjäger!F18+Forstwirt!F18+#REF!+'Milchtechnologe-technologin'!F18+Milchw.Laborant!F18+Hauswirtschaft!F18</f>
        <v>#REF!</v>
      </c>
      <c r="G17" s="1056" t="e">
        <f>'A. Ausbildungsverh. Landwirt'!G21+'Fachkraft Agrarservice'!G18+Winzer!G18+'LW-Fachwerker'!G18+Tierwirt!G66+Fischwirt!G18+Pferdewirt!G18+'Pferdewirt (2)'!G18+Gärtner!G70+'Gaba-Fachwerker'!G18+Revierjäger!G18+Forstwirt!G18+#REF!+'Milchtechnologe-technologin'!G18+Milchw.Laborant!G18+Hauswirtschaft!G18</f>
        <v>#REF!</v>
      </c>
      <c r="H17" s="1056" t="e">
        <f>'A. Ausbildungsverh. Landwirt'!H21+'Fachkraft Agrarservice'!H18+Winzer!H18+'LW-Fachwerker'!H18+Tierwirt!H66+Fischwirt!H18+Pferdewirt!H18+'Pferdewirt (2)'!H18+Gärtner!H70+'Gaba-Fachwerker'!H18+Revierjäger!H18+Forstwirt!H18+#REF!+'Milchtechnologe-technologin'!H18+Milchw.Laborant!H18+Hauswirtschaft!H18</f>
        <v>#REF!</v>
      </c>
      <c r="I17" s="1056" t="e">
        <f>'A. Ausbildungsverh. Landwirt'!I21+'Fachkraft Agrarservice'!I18+Winzer!I18+'LW-Fachwerker'!I18+Tierwirt!I66+Fischwirt!I18+Pferdewirt!I18+'Pferdewirt (2)'!I18+Gärtner!I70+'Gaba-Fachwerker'!I18+Revierjäger!I18+Forstwirt!I18+#REF!+'Milchtechnologe-technologin'!I18+Milchw.Laborant!I18+Hauswirtschaft!I18</f>
        <v>#REF!</v>
      </c>
      <c r="J17" s="1056" t="e">
        <f>'A. Ausbildungsverh. Landwirt'!J21+'Fachkraft Agrarservice'!J18+Winzer!J18+'LW-Fachwerker'!J18+Tierwirt!J66+Fischwirt!J18+Pferdewirt!J18+'Pferdewirt (2)'!J18+Gärtner!J70+'Gaba-Fachwerker'!J18+Revierjäger!J18+Forstwirt!J18+#REF!+'Milchtechnologe-technologin'!J18+Milchw.Laborant!J18+Hauswirtschaft!J18</f>
        <v>#REF!</v>
      </c>
      <c r="K17" s="1186" t="e">
        <f>'A. Ausbildungsverh. Landwirt'!K21+'Fachkraft Agrarservice'!K18+Winzer!K18+'LW-Fachwerker'!K18+Tierwirt!K66+Fischwirt!K18+Pferdewirt!K18+'Pferdewirt (2)'!K18+Gärtner!K70+'Gaba-Fachwerker'!K18+Revierjäger!K18+Forstwirt!K18+#REF!+'Milchtechnologe-technologin'!K18+Milchw.Laborant!K18+Hauswirtschaft!K18</f>
        <v>#REF!</v>
      </c>
      <c r="L17" s="1056" t="e">
        <f>'A. Ausbildungsverh. Landwirt'!L21+'Fachkraft Agrarservice'!L18+Winzer!L18+'LW-Fachwerker'!L18+Tierwirt!L66+Fischwirt!L18+Pferdewirt!L18+'Pferdewirt (2)'!L18+Gärtner!L70+'Gaba-Fachwerker'!L18+Revierjäger!L18+Forstwirt!L18+#REF!+'Milchtechnologe-technologin'!L18+Milchw.Laborant!L18+Hauswirtschaft!L18</f>
        <v>#REF!</v>
      </c>
      <c r="M17" s="1056" t="e">
        <f>'A. Ausbildungsverh. Landwirt'!M21+'Fachkraft Agrarservice'!M18+Winzer!M18+'LW-Fachwerker'!M18+Tierwirt!M66+Fischwirt!M18+Pferdewirt!M18+'Pferdewirt (2)'!M18+Gärtner!M70+'Gaba-Fachwerker'!M18+Revierjäger!M18+Forstwirt!M18+#REF!+'Milchtechnologe-technologin'!M18+Milchw.Laborant!M18+Hauswirtschaft!M18</f>
        <v>#REF!</v>
      </c>
      <c r="N17" s="1187" t="e">
        <f>'A. Ausbildungsverh. Landwirt'!N21+'Fachkraft Agrarservice'!N18+Winzer!N18+'LW-Fachwerker'!N18+Tierwirt!N66+Fischwirt!N18+Pferdewirt!N18+'Pferdewirt (2)'!N18+Gärtner!N70+'Gaba-Fachwerker'!N18+Revierjäger!N18+Forstwirt!N18+#REF!+'Milchtechnologe-technologin'!N18+Milchw.Laborant!N18+Hauswirtschaft!N18</f>
        <v>#REF!</v>
      </c>
      <c r="O17" s="1056" t="e">
        <f>'A. Ausbildungsverh. Landwirt'!O21+'Fachkraft Agrarservice'!O18+Winzer!O18+'LW-Fachwerker'!O18+Tierwirt!O66+Fischwirt!O18+Pferdewirt!O18+'Pferdewirt (2)'!O18+Gärtner!O70+'Gaba-Fachwerker'!O18+Revierjäger!O18+Forstwirt!O18+#REF!+'Milchtechnologe-technologin'!O18+Milchw.Laborant!O18+Hauswirtschaft!O18</f>
        <v>#REF!</v>
      </c>
      <c r="P17" s="1057" t="e">
        <f>'A. Ausbildungsverh. Landwirt'!P21+'Fachkraft Agrarservice'!P18+Winzer!P18+'LW-Fachwerker'!P18+Tierwirt!P66+Fischwirt!P18+Pferdewirt!P18+'Pferdewirt (2)'!P18+Gärtner!P70+'Gaba-Fachwerker'!P18+Revierjäger!P18+Forstwirt!P18+#REF!+'Milchtechnologe-technologin'!P18+Milchw.Laborant!P18+Hauswirtschaft!P18</f>
        <v>#REF!</v>
      </c>
      <c r="Q17" s="811"/>
      <c r="R17" s="812"/>
      <c r="S17" s="812"/>
      <c r="T17" s="813"/>
      <c r="U17" s="774"/>
      <c r="V17" s="775"/>
      <c r="W17" s="774"/>
      <c r="X17" s="774"/>
      <c r="Y17" s="775"/>
      <c r="Z17" s="813"/>
      <c r="AA17" s="775"/>
      <c r="AB17" s="775"/>
      <c r="AC17" s="775"/>
      <c r="AD17" s="775"/>
      <c r="AE17" s="775"/>
      <c r="AF17" s="775"/>
      <c r="AG17" s="775"/>
    </row>
    <row r="18" spans="1:33" ht="15" customHeight="1">
      <c r="A18" s="592" t="s">
        <v>54</v>
      </c>
      <c r="B18" s="794"/>
      <c r="C18" s="1186" t="e">
        <f>'A. Ausbildungsverh. Landwirt'!C22+'Fachkraft Agrarservice'!C19+Winzer!C19+'LW-Fachwerker'!C19+Tierwirt!C74+Fischwirt!C19+Pferdewirt!C19+'Pferdewirt (2)'!C19+Gärtner!C80+'Gaba-Fachwerker'!C19+Revierjäger!C19+Forstwirt!C19+#REF!+'Milchtechnologe-technologin'!C19+Milchw.Laborant!C19+Hauswirtschaft!C19</f>
        <v>#REF!</v>
      </c>
      <c r="D18" s="1056" t="e">
        <f>'A. Ausbildungsverh. Landwirt'!D22+'Fachkraft Agrarservice'!D19+Winzer!D19+'LW-Fachwerker'!D19+Tierwirt!D74+Fischwirt!D19+Pferdewirt!D19+'Pferdewirt (2)'!D19+Gärtner!D80+'Gaba-Fachwerker'!D19+Revierjäger!D19+Forstwirt!D19+#REF!+'Milchtechnologe-technologin'!D19+Milchw.Laborant!D19+Hauswirtschaft!D19</f>
        <v>#REF!</v>
      </c>
      <c r="E18" s="1056" t="e">
        <f>'A. Ausbildungsverh. Landwirt'!E22+'Fachkraft Agrarservice'!E19+Winzer!E19+'LW-Fachwerker'!E19+Tierwirt!E74+Fischwirt!E19+Pferdewirt!E19+'Pferdewirt (2)'!E19+Gärtner!E80+'Gaba-Fachwerker'!E19+Revierjäger!E19+Forstwirt!E19+#REF!+'Milchtechnologe-technologin'!E19+Milchw.Laborant!E19+Hauswirtschaft!E19</f>
        <v>#REF!</v>
      </c>
      <c r="F18" s="1056" t="e">
        <f>'A. Ausbildungsverh. Landwirt'!F22+'Fachkraft Agrarservice'!F19+Winzer!F19+'LW-Fachwerker'!F19+Tierwirt!F74+Fischwirt!F19+Pferdewirt!F19+'Pferdewirt (2)'!F19+Gärtner!F80+'Gaba-Fachwerker'!F19+Revierjäger!F19+Forstwirt!F19+#REF!+'Milchtechnologe-technologin'!F19+Milchw.Laborant!F19+Hauswirtschaft!F19</f>
        <v>#REF!</v>
      </c>
      <c r="G18" s="1056" t="e">
        <f>'A. Ausbildungsverh. Landwirt'!G22+'Fachkraft Agrarservice'!G19+Winzer!G19+'LW-Fachwerker'!G19+Tierwirt!G74+Fischwirt!G19+Pferdewirt!G19+'Pferdewirt (2)'!G19+Gärtner!G80+'Gaba-Fachwerker'!G19+Revierjäger!G19+Forstwirt!G19+#REF!+'Milchtechnologe-technologin'!G19+Milchw.Laborant!G19+Hauswirtschaft!G19</f>
        <v>#REF!</v>
      </c>
      <c r="H18" s="1056" t="e">
        <f>'A. Ausbildungsverh. Landwirt'!H22+'Fachkraft Agrarservice'!H19+Winzer!H19+'LW-Fachwerker'!H19+Tierwirt!H74+Fischwirt!H19+Pferdewirt!H19+'Pferdewirt (2)'!H19+Gärtner!H80+'Gaba-Fachwerker'!H19+Revierjäger!H19+Forstwirt!H19+#REF!+'Milchtechnologe-technologin'!H19+Milchw.Laborant!H19+Hauswirtschaft!H19</f>
        <v>#REF!</v>
      </c>
      <c r="I18" s="1056" t="e">
        <f>'A. Ausbildungsverh. Landwirt'!I22+'Fachkraft Agrarservice'!I19+Winzer!I19+'LW-Fachwerker'!I19+Tierwirt!I74+Fischwirt!I19+Pferdewirt!I19+'Pferdewirt (2)'!I19+Gärtner!I80+'Gaba-Fachwerker'!I19+Revierjäger!I19+Forstwirt!I19+#REF!+'Milchtechnologe-technologin'!I19+Milchw.Laborant!I19+Hauswirtschaft!I19</f>
        <v>#REF!</v>
      </c>
      <c r="J18" s="1056" t="e">
        <f>'A. Ausbildungsverh. Landwirt'!J22+'Fachkraft Agrarservice'!J19+Winzer!J19+'LW-Fachwerker'!J19+Tierwirt!J74+Fischwirt!J19+Pferdewirt!J19+'Pferdewirt (2)'!J19+Gärtner!J80+'Gaba-Fachwerker'!J19+Revierjäger!J19+Forstwirt!J19+#REF!+'Milchtechnologe-technologin'!J19+Milchw.Laborant!J19+Hauswirtschaft!J19</f>
        <v>#REF!</v>
      </c>
      <c r="K18" s="1186" t="e">
        <f>'A. Ausbildungsverh. Landwirt'!K22+'Fachkraft Agrarservice'!K19+Winzer!K19+'LW-Fachwerker'!K19+Tierwirt!K74+Fischwirt!K19+Pferdewirt!K19+'Pferdewirt (2)'!K19+Gärtner!K80+'Gaba-Fachwerker'!K19+Revierjäger!K19+Forstwirt!K19+#REF!+'Milchtechnologe-technologin'!K19+Milchw.Laborant!K19+Hauswirtschaft!K19</f>
        <v>#REF!</v>
      </c>
      <c r="L18" s="1056" t="e">
        <f>'A. Ausbildungsverh. Landwirt'!L22+'Fachkraft Agrarservice'!L19+Winzer!L19+'LW-Fachwerker'!L19+Tierwirt!L74+Fischwirt!L19+Pferdewirt!L19+'Pferdewirt (2)'!L19+Gärtner!L80+'Gaba-Fachwerker'!L19+Revierjäger!L19+Forstwirt!L19+#REF!+'Milchtechnologe-technologin'!L19+Milchw.Laborant!L19+Hauswirtschaft!L19</f>
        <v>#REF!</v>
      </c>
      <c r="M18" s="1056" t="e">
        <f>'A. Ausbildungsverh. Landwirt'!M22+'Fachkraft Agrarservice'!M19+Winzer!M19+'LW-Fachwerker'!M19+Tierwirt!M74+Fischwirt!M19+Pferdewirt!M19+'Pferdewirt (2)'!M19+Gärtner!M80+'Gaba-Fachwerker'!M19+Revierjäger!M19+Forstwirt!M19+#REF!+'Milchtechnologe-technologin'!M19+Milchw.Laborant!M19+Hauswirtschaft!M19</f>
        <v>#REF!</v>
      </c>
      <c r="N18" s="1187" t="e">
        <f>'A. Ausbildungsverh. Landwirt'!N22+'Fachkraft Agrarservice'!N19+Winzer!N19+'LW-Fachwerker'!N19+Tierwirt!N74+Fischwirt!N19+Pferdewirt!N19+'Pferdewirt (2)'!N19+Gärtner!N80+'Gaba-Fachwerker'!N19+Revierjäger!N19+Forstwirt!N19+#REF!+'Milchtechnologe-technologin'!N19+Milchw.Laborant!N19+Hauswirtschaft!N19</f>
        <v>#REF!</v>
      </c>
      <c r="O18" s="1056" t="e">
        <f>'A. Ausbildungsverh. Landwirt'!O22+'Fachkraft Agrarservice'!O19+Winzer!O19+'LW-Fachwerker'!O19+Tierwirt!O74+Fischwirt!O19+Pferdewirt!O19+'Pferdewirt (2)'!O19+Gärtner!O80+'Gaba-Fachwerker'!O19+Revierjäger!O19+Forstwirt!O19+#REF!+'Milchtechnologe-technologin'!O19+Milchw.Laborant!O19+Hauswirtschaft!O19</f>
        <v>#REF!</v>
      </c>
      <c r="P18" s="1057" t="e">
        <f>'A. Ausbildungsverh. Landwirt'!P22+'Fachkraft Agrarservice'!P19+Winzer!P19+'LW-Fachwerker'!P19+Tierwirt!P74+Fischwirt!P19+Pferdewirt!P19+'Pferdewirt (2)'!P19+Gärtner!P80+'Gaba-Fachwerker'!P19+Revierjäger!P19+Forstwirt!P19+#REF!+'Milchtechnologe-technologin'!P19+Milchw.Laborant!P19+Hauswirtschaft!P19</f>
        <v>#REF!</v>
      </c>
      <c r="Q18" s="776"/>
      <c r="R18" s="814"/>
      <c r="S18" s="814"/>
      <c r="T18" s="776"/>
      <c r="U18" s="774"/>
      <c r="V18" s="775"/>
      <c r="W18" s="815"/>
      <c r="X18" s="816"/>
      <c r="Y18" s="813"/>
      <c r="Z18" s="776"/>
      <c r="AA18" s="774"/>
      <c r="AB18" s="775"/>
      <c r="AC18" s="817"/>
      <c r="AD18" s="815"/>
      <c r="AE18" s="816"/>
      <c r="AF18" s="769"/>
      <c r="AG18" s="816"/>
    </row>
    <row r="19" spans="1:33" ht="15" customHeight="1">
      <c r="A19" s="592" t="s">
        <v>44</v>
      </c>
      <c r="B19" s="794"/>
      <c r="C19" s="1186" t="e">
        <f>'A. Ausbildungsverh. Landwirt'!C23+'Fachkraft Agrarservice'!C20+Winzer!C20+'LW-Fachwerker'!C20+Tierwirt!C82+Fischwirt!C20+Pferdewirt!C20+'Pferdewirt (2)'!C20+Gärtner!C89+'Gaba-Fachwerker'!C20+Revierjäger!C20+Forstwirt!C20+#REF!+'Milchtechnologe-technologin'!C20+Milchw.Laborant!C20+Hauswirtschaft!C20</f>
        <v>#REF!</v>
      </c>
      <c r="D19" s="1056" t="e">
        <f>'A. Ausbildungsverh. Landwirt'!D23+'Fachkraft Agrarservice'!D20+Winzer!D20+'LW-Fachwerker'!D20+Tierwirt!D82+Fischwirt!D20+Pferdewirt!D20+'Pferdewirt (2)'!D20+Gärtner!D89+'Gaba-Fachwerker'!D20+Revierjäger!D20+Forstwirt!D20+#REF!+'Milchtechnologe-technologin'!D20+Milchw.Laborant!D20+Hauswirtschaft!D20</f>
        <v>#REF!</v>
      </c>
      <c r="E19" s="1056" t="e">
        <f>'A. Ausbildungsverh. Landwirt'!E23+'Fachkraft Agrarservice'!E20+Winzer!E20+'LW-Fachwerker'!E20+Tierwirt!E82+Fischwirt!E20+Pferdewirt!E20+'Pferdewirt (2)'!E20+Gärtner!E89+'Gaba-Fachwerker'!E20+Revierjäger!E20+Forstwirt!E20+#REF!+'Milchtechnologe-technologin'!E20+Milchw.Laborant!E20+Hauswirtschaft!E20</f>
        <v>#REF!</v>
      </c>
      <c r="F19" s="1056" t="e">
        <f>'A. Ausbildungsverh. Landwirt'!F23+'Fachkraft Agrarservice'!F20+Winzer!F20+'LW-Fachwerker'!F20+Tierwirt!F82+Fischwirt!F20+Pferdewirt!F20+'Pferdewirt (2)'!F20+Gärtner!F89+'Gaba-Fachwerker'!F20+Revierjäger!F20+Forstwirt!F20+#REF!+'Milchtechnologe-technologin'!F20+Milchw.Laborant!F20+Hauswirtschaft!F20</f>
        <v>#REF!</v>
      </c>
      <c r="G19" s="1056" t="e">
        <f>'A. Ausbildungsverh. Landwirt'!G23+'Fachkraft Agrarservice'!G20+Winzer!G20+'LW-Fachwerker'!G20+Tierwirt!G82+Fischwirt!G20+Pferdewirt!G20+'Pferdewirt (2)'!G20+Gärtner!G89+'Gaba-Fachwerker'!G20+Revierjäger!G20+Forstwirt!G20+#REF!+'Milchtechnologe-technologin'!G20+Milchw.Laborant!G20+Hauswirtschaft!G20</f>
        <v>#REF!</v>
      </c>
      <c r="H19" s="1056" t="e">
        <f>'A. Ausbildungsverh. Landwirt'!H23+'Fachkraft Agrarservice'!H20+Winzer!H20+'LW-Fachwerker'!H20+Tierwirt!H82+Fischwirt!H20+Pferdewirt!H20+'Pferdewirt (2)'!H20+Gärtner!H89+'Gaba-Fachwerker'!H20+Revierjäger!H20+Forstwirt!H20+#REF!+'Milchtechnologe-technologin'!H20+Milchw.Laborant!H20+Hauswirtschaft!H20</f>
        <v>#REF!</v>
      </c>
      <c r="I19" s="1056" t="e">
        <f>'A. Ausbildungsverh. Landwirt'!I23+'Fachkraft Agrarservice'!I20+Winzer!I20+'LW-Fachwerker'!I20+Tierwirt!I82+Fischwirt!I20+Pferdewirt!I20+'Pferdewirt (2)'!I20+Gärtner!I89+'Gaba-Fachwerker'!I20+Revierjäger!I20+Forstwirt!I20+#REF!+'Milchtechnologe-technologin'!I20+Milchw.Laborant!I20+Hauswirtschaft!I20</f>
        <v>#REF!</v>
      </c>
      <c r="J19" s="1056" t="e">
        <f>'A. Ausbildungsverh. Landwirt'!J23+'Fachkraft Agrarservice'!J20+Winzer!J20+'LW-Fachwerker'!J20+Tierwirt!J82+Fischwirt!J20+Pferdewirt!J20+'Pferdewirt (2)'!J20+Gärtner!J89+'Gaba-Fachwerker'!J20+Revierjäger!J20+Forstwirt!J20+#REF!+'Milchtechnologe-technologin'!J20+Milchw.Laborant!J20+Hauswirtschaft!J20</f>
        <v>#REF!</v>
      </c>
      <c r="K19" s="1186" t="e">
        <f>'A. Ausbildungsverh. Landwirt'!K23+'Fachkraft Agrarservice'!K20+Winzer!K20+'LW-Fachwerker'!K20+Tierwirt!K82+Fischwirt!K20+Pferdewirt!K20+'Pferdewirt (2)'!K20+Gärtner!K89+'Gaba-Fachwerker'!K20+Revierjäger!K20+Forstwirt!K20+#REF!+'Milchtechnologe-technologin'!K20+Milchw.Laborant!K20+Hauswirtschaft!K20</f>
        <v>#REF!</v>
      </c>
      <c r="L19" s="1056" t="e">
        <f>'A. Ausbildungsverh. Landwirt'!L23+'Fachkraft Agrarservice'!L20+Winzer!L20+'LW-Fachwerker'!L20+Tierwirt!L82+Fischwirt!L20+Pferdewirt!L20+'Pferdewirt (2)'!L20+Gärtner!L89+'Gaba-Fachwerker'!L20+Revierjäger!L20+Forstwirt!L20+#REF!+'Milchtechnologe-technologin'!L20+Milchw.Laborant!L20+Hauswirtschaft!L20</f>
        <v>#REF!</v>
      </c>
      <c r="M19" s="1056" t="e">
        <f>'A. Ausbildungsverh. Landwirt'!M23+'Fachkraft Agrarservice'!M20+Winzer!M20+'LW-Fachwerker'!M20+Tierwirt!M82+Fischwirt!M20+Pferdewirt!M20+'Pferdewirt (2)'!M20+Gärtner!M89+'Gaba-Fachwerker'!M20+Revierjäger!M20+Forstwirt!M20+#REF!+'Milchtechnologe-technologin'!M20+Milchw.Laborant!M20+Hauswirtschaft!M20</f>
        <v>#REF!</v>
      </c>
      <c r="N19" s="1187" t="e">
        <f>'A. Ausbildungsverh. Landwirt'!N23+'Fachkraft Agrarservice'!N20+Winzer!N20+'LW-Fachwerker'!N20+Tierwirt!N82+Fischwirt!N20+Pferdewirt!N20+'Pferdewirt (2)'!N20+Gärtner!N89+'Gaba-Fachwerker'!N20+Revierjäger!N20+Forstwirt!N20+#REF!+'Milchtechnologe-technologin'!N20+Milchw.Laborant!N20+Hauswirtschaft!N20</f>
        <v>#REF!</v>
      </c>
      <c r="O19" s="1056" t="e">
        <f>'A. Ausbildungsverh. Landwirt'!O23+'Fachkraft Agrarservice'!O20+Winzer!O20+'LW-Fachwerker'!O20+Tierwirt!O82+Fischwirt!O20+Pferdewirt!O20+'Pferdewirt (2)'!O20+Gärtner!O89+'Gaba-Fachwerker'!O20+Revierjäger!O20+Forstwirt!O20+#REF!+'Milchtechnologe-technologin'!O20+Milchw.Laborant!O20+Hauswirtschaft!O20</f>
        <v>#REF!</v>
      </c>
      <c r="P19" s="1057" t="e">
        <f>'A. Ausbildungsverh. Landwirt'!P23+'Fachkraft Agrarservice'!P20+Winzer!P20+'LW-Fachwerker'!P20+Tierwirt!P82+Fischwirt!P20+Pferdewirt!P20+'Pferdewirt (2)'!P20+Gärtner!P89+'Gaba-Fachwerker'!P20+Revierjäger!P20+Forstwirt!P20+#REF!+'Milchtechnologe-technologin'!P20+Milchw.Laborant!P20+Hauswirtschaft!P20</f>
        <v>#REF!</v>
      </c>
      <c r="Q19" s="842"/>
      <c r="R19" s="814"/>
      <c r="S19" s="814"/>
      <c r="T19" s="818"/>
      <c r="U19" s="818"/>
      <c r="V19" s="819"/>
      <c r="W19" s="815"/>
      <c r="X19" s="815"/>
      <c r="Y19" s="775"/>
      <c r="Z19" s="818"/>
      <c r="AA19" s="818"/>
      <c r="AB19" s="819"/>
      <c r="AC19" s="812"/>
      <c r="AD19" s="815"/>
      <c r="AE19" s="816"/>
      <c r="AF19" s="769"/>
      <c r="AG19" s="816"/>
    </row>
    <row r="20" spans="1:33" ht="15" customHeight="1">
      <c r="A20" s="592" t="s">
        <v>45</v>
      </c>
      <c r="B20" s="794"/>
      <c r="C20" s="1186" t="e">
        <f>'A. Ausbildungsverh. Landwirt'!C24+'Fachkraft Agrarservice'!C21+Winzer!C21+'LW-Fachwerker'!C21+Tierwirt!C90+Fischwirt!C21+Pferdewirt!C21+'Pferdewirt (2)'!C21+Gärtner!C108+'Gaba-Fachwerker'!C21+Revierjäger!C21+Forstwirt!C21+#REF!+'Milchtechnologe-technologin'!C21+Milchw.Laborant!C21+Hauswirtschaft!C21</f>
        <v>#REF!</v>
      </c>
      <c r="D20" s="1056" t="e">
        <f>'A. Ausbildungsverh. Landwirt'!D24+'Fachkraft Agrarservice'!D21+Winzer!D21+'LW-Fachwerker'!D21+Tierwirt!D90+Fischwirt!D21+Pferdewirt!D21+'Pferdewirt (2)'!D21+Gärtner!D108+'Gaba-Fachwerker'!D21+Revierjäger!D21+Forstwirt!D21+#REF!+'Milchtechnologe-technologin'!D21+Milchw.Laborant!D21+Hauswirtschaft!D21</f>
        <v>#REF!</v>
      </c>
      <c r="E20" s="1056" t="e">
        <f>'A. Ausbildungsverh. Landwirt'!E24+'Fachkraft Agrarservice'!E21+Winzer!E21+'LW-Fachwerker'!E21+Tierwirt!E90+Fischwirt!E21+Pferdewirt!E21+'Pferdewirt (2)'!E21+Gärtner!E108+'Gaba-Fachwerker'!E21+Revierjäger!E21+Forstwirt!E21+#REF!+'Milchtechnologe-technologin'!E21+Milchw.Laborant!E21+Hauswirtschaft!E21</f>
        <v>#REF!</v>
      </c>
      <c r="F20" s="1056" t="e">
        <f>'A. Ausbildungsverh. Landwirt'!F24+'Fachkraft Agrarservice'!F21+Winzer!F21+'LW-Fachwerker'!F21+Tierwirt!F90+Fischwirt!F21+Pferdewirt!F21+'Pferdewirt (2)'!F21+Gärtner!F108+'Gaba-Fachwerker'!F21+Revierjäger!F21+Forstwirt!F21+#REF!+'Milchtechnologe-technologin'!F21+Milchw.Laborant!F21+Hauswirtschaft!F21</f>
        <v>#REF!</v>
      </c>
      <c r="G20" s="1056" t="e">
        <f>'A. Ausbildungsverh. Landwirt'!G24+'Fachkraft Agrarservice'!G21+Winzer!G21+'LW-Fachwerker'!G21+Tierwirt!G90+Fischwirt!G21+Pferdewirt!G21+'Pferdewirt (2)'!G21+Gärtner!G108+'Gaba-Fachwerker'!G21+Revierjäger!G21+Forstwirt!G21+#REF!+'Milchtechnologe-technologin'!G21+Milchw.Laborant!G21+Hauswirtschaft!G21</f>
        <v>#REF!</v>
      </c>
      <c r="H20" s="1056" t="e">
        <f>'A. Ausbildungsverh. Landwirt'!H24+'Fachkraft Agrarservice'!H21+Winzer!H21+'LW-Fachwerker'!H21+Tierwirt!H90+Fischwirt!H21+Pferdewirt!H21+'Pferdewirt (2)'!H21+Gärtner!H108+'Gaba-Fachwerker'!H21+Revierjäger!H21+Forstwirt!H21+#REF!+'Milchtechnologe-technologin'!H21+Milchw.Laborant!H21+Hauswirtschaft!H21</f>
        <v>#REF!</v>
      </c>
      <c r="I20" s="1056" t="e">
        <f>'A. Ausbildungsverh. Landwirt'!I24+'Fachkraft Agrarservice'!I21+Winzer!I21+'LW-Fachwerker'!I21+Tierwirt!I90+Fischwirt!I21+Pferdewirt!I21+'Pferdewirt (2)'!I21+Gärtner!I108+'Gaba-Fachwerker'!I21+Revierjäger!I21+Forstwirt!I21+#REF!+'Milchtechnologe-technologin'!I21+Milchw.Laborant!I21+Hauswirtschaft!I21</f>
        <v>#REF!</v>
      </c>
      <c r="J20" s="1056" t="e">
        <f>'A. Ausbildungsverh. Landwirt'!J24+'Fachkraft Agrarservice'!J21+Winzer!J21+'LW-Fachwerker'!J21+Tierwirt!J90+Fischwirt!J21+Pferdewirt!J21+'Pferdewirt (2)'!J21+Gärtner!J108+'Gaba-Fachwerker'!J21+Revierjäger!J21+Forstwirt!J21+#REF!+'Milchtechnologe-technologin'!J21+Milchw.Laborant!J21+Hauswirtschaft!J21</f>
        <v>#REF!</v>
      </c>
      <c r="K20" s="1186" t="e">
        <f>'A. Ausbildungsverh. Landwirt'!K24+'Fachkraft Agrarservice'!K21+Winzer!K21+'LW-Fachwerker'!K21+Tierwirt!K90+Fischwirt!K21+Pferdewirt!K21+'Pferdewirt (2)'!K21+Gärtner!K108+'Gaba-Fachwerker'!K21+Revierjäger!K21+Forstwirt!K21+#REF!+'Milchtechnologe-technologin'!K21+Milchw.Laborant!K21+Hauswirtschaft!K21</f>
        <v>#REF!</v>
      </c>
      <c r="L20" s="1056" t="e">
        <f>'A. Ausbildungsverh. Landwirt'!L24+'Fachkraft Agrarservice'!L21+Winzer!L21+'LW-Fachwerker'!L21+Tierwirt!L90+Fischwirt!L21+Pferdewirt!L21+'Pferdewirt (2)'!L21+Gärtner!L108+'Gaba-Fachwerker'!L21+Revierjäger!L21+Forstwirt!L21+#REF!+'Milchtechnologe-technologin'!L21+Milchw.Laborant!L21+Hauswirtschaft!L21</f>
        <v>#REF!</v>
      </c>
      <c r="M20" s="1056" t="e">
        <f>'A. Ausbildungsverh. Landwirt'!M24+'Fachkraft Agrarservice'!M21+Winzer!M21+'LW-Fachwerker'!M21+Tierwirt!M90+Fischwirt!M21+Pferdewirt!M21+'Pferdewirt (2)'!M21+Gärtner!M108+'Gaba-Fachwerker'!M21+Revierjäger!M21+Forstwirt!M21+#REF!+'Milchtechnologe-technologin'!M21+Milchw.Laborant!M21+Hauswirtschaft!M21</f>
        <v>#REF!</v>
      </c>
      <c r="N20" s="1187" t="e">
        <f>'A. Ausbildungsverh. Landwirt'!N24+'Fachkraft Agrarservice'!N21+Winzer!N21+'LW-Fachwerker'!N21+Tierwirt!N90+Fischwirt!N21+Pferdewirt!N21+'Pferdewirt (2)'!N21+Gärtner!N108+'Gaba-Fachwerker'!N21+Revierjäger!N21+Forstwirt!N21+#REF!+'Milchtechnologe-technologin'!N21+Milchw.Laborant!N21+Hauswirtschaft!N21</f>
        <v>#REF!</v>
      </c>
      <c r="O20" s="1056" t="e">
        <f>'A. Ausbildungsverh. Landwirt'!O24+'Fachkraft Agrarservice'!O21+Winzer!O21+'LW-Fachwerker'!O21+Tierwirt!O90+Fischwirt!O21+Pferdewirt!O21+'Pferdewirt (2)'!O21+Gärtner!O108+'Gaba-Fachwerker'!O21+Revierjäger!O21+Forstwirt!O21+#REF!+'Milchtechnologe-technologin'!O21+Milchw.Laborant!O21+Hauswirtschaft!O21</f>
        <v>#REF!</v>
      </c>
      <c r="P20" s="1057" t="e">
        <f>'A. Ausbildungsverh. Landwirt'!P24+'Fachkraft Agrarservice'!P21+Winzer!P21+'LW-Fachwerker'!P21+Tierwirt!P90+Fischwirt!P21+Pferdewirt!P21+'Pferdewirt (2)'!P21+Gärtner!P108+'Gaba-Fachwerker'!P21+Revierjäger!P21+Forstwirt!P21+#REF!+'Milchtechnologe-technologin'!P21+Milchw.Laborant!P21+Hauswirtschaft!P21</f>
        <v>#REF!</v>
      </c>
      <c r="Q20" s="774"/>
      <c r="R20" s="814"/>
      <c r="S20" s="814"/>
      <c r="T20" s="776"/>
      <c r="U20" s="776"/>
      <c r="V20" s="780"/>
      <c r="W20" s="776"/>
      <c r="X20" s="776"/>
      <c r="Y20" s="780"/>
      <c r="Z20" s="776"/>
      <c r="AA20" s="776"/>
      <c r="AB20" s="780"/>
      <c r="AC20" s="812"/>
      <c r="AD20" s="818"/>
      <c r="AE20" s="818"/>
      <c r="AF20" s="819"/>
      <c r="AG20" s="820"/>
    </row>
    <row r="21" spans="1:33" ht="15" customHeight="1">
      <c r="A21" s="592" t="s">
        <v>55</v>
      </c>
      <c r="B21" s="821"/>
      <c r="C21" s="1186" t="e">
        <f>'A. Ausbildungsverh. Landwirt'!C25+'Fachkraft Agrarservice'!C22+Winzer!C22+'LW-Fachwerker'!C22+Tierwirt!C98+Fischwirt!C22+Pferdewirt!C22+'Pferdewirt (2)'!C22+Gärtner!C117+'Gaba-Fachwerker'!C22+Revierjäger!C22+Forstwirt!C22+#REF!+'Milchtechnologe-technologin'!C22+Milchw.Laborant!C22+Hauswirtschaft!C22</f>
        <v>#REF!</v>
      </c>
      <c r="D21" s="1056" t="e">
        <f>'A. Ausbildungsverh. Landwirt'!D25+'Fachkraft Agrarservice'!D22+Winzer!D22+'LW-Fachwerker'!D22+Tierwirt!D98+Fischwirt!D22+Pferdewirt!D22+'Pferdewirt (2)'!D22+Gärtner!D117+'Gaba-Fachwerker'!D22+Revierjäger!D22+Forstwirt!D22+#REF!+'Milchtechnologe-technologin'!D22+Milchw.Laborant!D22+Hauswirtschaft!D22</f>
        <v>#REF!</v>
      </c>
      <c r="E21" s="1056" t="e">
        <f>'A. Ausbildungsverh. Landwirt'!E25+'Fachkraft Agrarservice'!E22+Winzer!E22+'LW-Fachwerker'!E22+Tierwirt!E98+Fischwirt!E22+Pferdewirt!E22+'Pferdewirt (2)'!E22+Gärtner!E117+'Gaba-Fachwerker'!E22+Revierjäger!E22+Forstwirt!E22+#REF!+'Milchtechnologe-technologin'!E22+Milchw.Laborant!E22+Hauswirtschaft!E22</f>
        <v>#REF!</v>
      </c>
      <c r="F21" s="1056" t="e">
        <f>'A. Ausbildungsverh. Landwirt'!F25+'Fachkraft Agrarservice'!F22+Winzer!F22+'LW-Fachwerker'!F22+Tierwirt!F98+Fischwirt!F22+Pferdewirt!F22+'Pferdewirt (2)'!F22+Gärtner!F117+'Gaba-Fachwerker'!F22+Revierjäger!F22+Forstwirt!F22+#REF!+'Milchtechnologe-technologin'!F22+Milchw.Laborant!F22+Hauswirtschaft!F22</f>
        <v>#REF!</v>
      </c>
      <c r="G21" s="1056" t="e">
        <f>'A. Ausbildungsverh. Landwirt'!G25+'Fachkraft Agrarservice'!G22+Winzer!G22+'LW-Fachwerker'!G22+Tierwirt!G98+Fischwirt!G22+Pferdewirt!G22+'Pferdewirt (2)'!G22+Gärtner!G117+'Gaba-Fachwerker'!G22+Revierjäger!G22+Forstwirt!G22+#REF!+'Milchtechnologe-technologin'!G22+Milchw.Laborant!G22+Hauswirtschaft!G22</f>
        <v>#REF!</v>
      </c>
      <c r="H21" s="1056" t="e">
        <f>'A. Ausbildungsverh. Landwirt'!H25+'Fachkraft Agrarservice'!H22+Winzer!H22+'LW-Fachwerker'!H22+Tierwirt!H98+Fischwirt!H22+Pferdewirt!H22+'Pferdewirt (2)'!H22+Gärtner!H117+'Gaba-Fachwerker'!H22+Revierjäger!H22+Forstwirt!H22+#REF!+'Milchtechnologe-technologin'!H22+Milchw.Laborant!H22+Hauswirtschaft!H22</f>
        <v>#REF!</v>
      </c>
      <c r="I21" s="1056" t="e">
        <f>'A. Ausbildungsverh. Landwirt'!I25+'Fachkraft Agrarservice'!I22+Winzer!I22+'LW-Fachwerker'!I22+Tierwirt!I98+Fischwirt!I22+Pferdewirt!I22+'Pferdewirt (2)'!I22+Gärtner!I117+'Gaba-Fachwerker'!I22+Revierjäger!I22+Forstwirt!I22+#REF!+'Milchtechnologe-technologin'!I22+Milchw.Laborant!I22+Hauswirtschaft!I22</f>
        <v>#REF!</v>
      </c>
      <c r="J21" s="1056" t="e">
        <f>'A. Ausbildungsverh. Landwirt'!J25+'Fachkraft Agrarservice'!J22+Winzer!J22+'LW-Fachwerker'!J22+Tierwirt!J98+Fischwirt!J22+Pferdewirt!J22+'Pferdewirt (2)'!J22+Gärtner!J117+'Gaba-Fachwerker'!J22+Revierjäger!J22+Forstwirt!J22+#REF!+'Milchtechnologe-technologin'!J22+Milchw.Laborant!J22+Hauswirtschaft!J22</f>
        <v>#REF!</v>
      </c>
      <c r="K21" s="1186" t="e">
        <f>'A. Ausbildungsverh. Landwirt'!K25+'Fachkraft Agrarservice'!K22+Winzer!K22+'LW-Fachwerker'!K22+Tierwirt!K98+Fischwirt!K22+Pferdewirt!K22+'Pferdewirt (2)'!K22+Gärtner!K117+'Gaba-Fachwerker'!K22+Revierjäger!K22+Forstwirt!K22+#REF!+'Milchtechnologe-technologin'!K22+Milchw.Laborant!K22+Hauswirtschaft!K22</f>
        <v>#REF!</v>
      </c>
      <c r="L21" s="1056" t="e">
        <f>'A. Ausbildungsverh. Landwirt'!L25+'Fachkraft Agrarservice'!L22+Winzer!L22+'LW-Fachwerker'!L22+Tierwirt!L98+Fischwirt!L22+Pferdewirt!L22+'Pferdewirt (2)'!L22+Gärtner!L117+'Gaba-Fachwerker'!L22+Revierjäger!L22+Forstwirt!L22+#REF!+'Milchtechnologe-technologin'!L22+Milchw.Laborant!L22+Hauswirtschaft!L22</f>
        <v>#REF!</v>
      </c>
      <c r="M21" s="1056" t="e">
        <f>'A. Ausbildungsverh. Landwirt'!M25+'Fachkraft Agrarservice'!M22+Winzer!M22+'LW-Fachwerker'!M22+Tierwirt!M98+Fischwirt!M22+Pferdewirt!M22+'Pferdewirt (2)'!M22+Gärtner!M117+'Gaba-Fachwerker'!M22+Revierjäger!M22+Forstwirt!M22+#REF!+'Milchtechnologe-technologin'!M22+Milchw.Laborant!M22+Hauswirtschaft!M22</f>
        <v>#REF!</v>
      </c>
      <c r="N21" s="1187" t="e">
        <f>'A. Ausbildungsverh. Landwirt'!N25+'Fachkraft Agrarservice'!N22+Winzer!N22+'LW-Fachwerker'!N22+Tierwirt!N98+Fischwirt!N22+Pferdewirt!N22+'Pferdewirt (2)'!N22+Gärtner!N117+'Gaba-Fachwerker'!N22+Revierjäger!N22+Forstwirt!N22+#REF!+'Milchtechnologe-technologin'!N22+Milchw.Laborant!N22+Hauswirtschaft!N22</f>
        <v>#REF!</v>
      </c>
      <c r="O21" s="1056" t="e">
        <f>'A. Ausbildungsverh. Landwirt'!O25+'Fachkraft Agrarservice'!O22+Winzer!O22+'LW-Fachwerker'!O22+Tierwirt!O98+Fischwirt!O22+Pferdewirt!O22+'Pferdewirt (2)'!O22+Gärtner!O117+'Gaba-Fachwerker'!O22+Revierjäger!O22+Forstwirt!O22+#REF!+'Milchtechnologe-technologin'!O22+Milchw.Laborant!O22+Hauswirtschaft!O22</f>
        <v>#REF!</v>
      </c>
      <c r="P21" s="1057" t="e">
        <f>'A. Ausbildungsverh. Landwirt'!P25+'Fachkraft Agrarservice'!P22+Winzer!P22+'LW-Fachwerker'!P22+Tierwirt!P98+Fischwirt!P22+Pferdewirt!P22+'Pferdewirt (2)'!P22+Gärtner!P117+'Gaba-Fachwerker'!P22+Revierjäger!P22+Forstwirt!P22+#REF!+'Milchtechnologe-technologin'!P22+Milchw.Laborant!P22+Hauswirtschaft!P22</f>
        <v>#REF!</v>
      </c>
      <c r="Q21" s="820"/>
      <c r="R21" s="814"/>
      <c r="S21" s="814"/>
      <c r="T21" s="812"/>
      <c r="U21" s="812"/>
      <c r="V21" s="822"/>
      <c r="W21" s="812"/>
      <c r="X21" s="774"/>
      <c r="Y21" s="822"/>
      <c r="Z21" s="812"/>
      <c r="AA21" s="812"/>
      <c r="AB21" s="822"/>
      <c r="AC21" s="812"/>
      <c r="AD21" s="812"/>
      <c r="AE21" s="812"/>
      <c r="AF21" s="822"/>
      <c r="AG21" s="820"/>
    </row>
    <row r="22" spans="1:33" ht="15" customHeight="1">
      <c r="A22" s="592" t="s">
        <v>46</v>
      </c>
      <c r="B22" s="794"/>
      <c r="C22" s="1186" t="e">
        <f>'A. Ausbildungsverh. Landwirt'!C26+'Fachkraft Agrarservice'!C23+Winzer!C23+'LW-Fachwerker'!C23+Tierwirt!C118+Fischwirt!C23+Pferdewirt!C23+'Pferdewirt (2)'!C23+Gärtner!C126+'Gaba-Fachwerker'!C23+Revierjäger!C23+Forstwirt!C23+#REF!+'Milchtechnologe-technologin'!C23+Milchw.Laborant!C23+Hauswirtschaft!C23</f>
        <v>#REF!</v>
      </c>
      <c r="D22" s="1056" t="e">
        <f>'A. Ausbildungsverh. Landwirt'!D26+'Fachkraft Agrarservice'!D23+Winzer!D23+'LW-Fachwerker'!D23+Tierwirt!D118+Fischwirt!D23+Pferdewirt!D23+'Pferdewirt (2)'!D23+Gärtner!D126+'Gaba-Fachwerker'!D23+Revierjäger!D23+Forstwirt!D23+#REF!+'Milchtechnologe-technologin'!D23+Milchw.Laborant!D23+Hauswirtschaft!D23</f>
        <v>#REF!</v>
      </c>
      <c r="E22" s="1056" t="e">
        <f>'A. Ausbildungsverh. Landwirt'!E26+'Fachkraft Agrarservice'!E23+Winzer!E23+'LW-Fachwerker'!E23+Tierwirt!E118+Fischwirt!E23+Pferdewirt!E23+'Pferdewirt (2)'!E23+Gärtner!E126+'Gaba-Fachwerker'!E23+Revierjäger!E23+Forstwirt!E23+#REF!+'Milchtechnologe-technologin'!E23+Milchw.Laborant!E23+Hauswirtschaft!E23</f>
        <v>#REF!</v>
      </c>
      <c r="F22" s="1056" t="e">
        <f>'A. Ausbildungsverh. Landwirt'!F26+'Fachkraft Agrarservice'!F23+Winzer!F23+'LW-Fachwerker'!F23+Tierwirt!F118+Fischwirt!F23+Pferdewirt!F23+'Pferdewirt (2)'!F23+Gärtner!F126+'Gaba-Fachwerker'!F23+Revierjäger!F23+Forstwirt!F23+#REF!+'Milchtechnologe-technologin'!F23+Milchw.Laborant!F23+Hauswirtschaft!F23</f>
        <v>#REF!</v>
      </c>
      <c r="G22" s="1056" t="e">
        <f>'A. Ausbildungsverh. Landwirt'!G26+'Fachkraft Agrarservice'!G23+Winzer!G23+'LW-Fachwerker'!G23+Tierwirt!G118+Fischwirt!G23+Pferdewirt!G23+'Pferdewirt (2)'!G23+Gärtner!G126+'Gaba-Fachwerker'!G23+Revierjäger!G23+Forstwirt!G23+#REF!+'Milchtechnologe-technologin'!G23+Milchw.Laborant!G23+Hauswirtschaft!G23</f>
        <v>#REF!</v>
      </c>
      <c r="H22" s="1056" t="e">
        <f>'A. Ausbildungsverh. Landwirt'!H26+'Fachkraft Agrarservice'!H23+Winzer!H23+'LW-Fachwerker'!H23+Tierwirt!H118+Fischwirt!H23+Pferdewirt!H23+'Pferdewirt (2)'!H23+Gärtner!H126+'Gaba-Fachwerker'!H23+Revierjäger!H23+Forstwirt!H23+#REF!+'Milchtechnologe-technologin'!H23+Milchw.Laborant!H23+Hauswirtschaft!H23</f>
        <v>#REF!</v>
      </c>
      <c r="I22" s="1056" t="e">
        <f>'A. Ausbildungsverh. Landwirt'!I26+'Fachkraft Agrarservice'!I23+Winzer!I23+'LW-Fachwerker'!I23+Tierwirt!I118+Fischwirt!I23+Pferdewirt!I23+'Pferdewirt (2)'!I23+Gärtner!I126+'Gaba-Fachwerker'!I23+Revierjäger!I23+Forstwirt!I23+#REF!+'Milchtechnologe-technologin'!I23+Milchw.Laborant!I23+Hauswirtschaft!I23</f>
        <v>#REF!</v>
      </c>
      <c r="J22" s="1056" t="e">
        <f>'A. Ausbildungsverh. Landwirt'!J26+'Fachkraft Agrarservice'!J23+Winzer!J23+'LW-Fachwerker'!J23+Tierwirt!J118+Fischwirt!J23+Pferdewirt!J23+'Pferdewirt (2)'!J23+Gärtner!J126+'Gaba-Fachwerker'!J23+Revierjäger!J23+Forstwirt!J23+#REF!+'Milchtechnologe-technologin'!J23+Milchw.Laborant!J23+Hauswirtschaft!J23</f>
        <v>#REF!</v>
      </c>
      <c r="K22" s="1186" t="e">
        <f>'A. Ausbildungsverh. Landwirt'!K26+'Fachkraft Agrarservice'!K23+Winzer!K23+'LW-Fachwerker'!K23+Tierwirt!K118+Fischwirt!K23+Pferdewirt!K23+'Pferdewirt (2)'!K23+Gärtner!K126+'Gaba-Fachwerker'!K23+Revierjäger!K23+Forstwirt!K23+#REF!+'Milchtechnologe-technologin'!K23+Milchw.Laborant!K23+Hauswirtschaft!K23</f>
        <v>#REF!</v>
      </c>
      <c r="L22" s="1056" t="e">
        <f>'A. Ausbildungsverh. Landwirt'!L26+'Fachkraft Agrarservice'!L23+Winzer!L23+'LW-Fachwerker'!L23+Tierwirt!L118+Fischwirt!L23+Pferdewirt!L23+'Pferdewirt (2)'!L23+Gärtner!L126+'Gaba-Fachwerker'!L23+Revierjäger!L23+Forstwirt!L23+#REF!+'Milchtechnologe-technologin'!L23+Milchw.Laborant!L23+Hauswirtschaft!L23</f>
        <v>#REF!</v>
      </c>
      <c r="M22" s="1056" t="e">
        <f>'A. Ausbildungsverh. Landwirt'!M26+'Fachkraft Agrarservice'!M23+Winzer!M23+'LW-Fachwerker'!M23+Tierwirt!M118+Fischwirt!M23+Pferdewirt!M23+'Pferdewirt (2)'!M23+Gärtner!M126+'Gaba-Fachwerker'!M23+Revierjäger!M23+Forstwirt!M23+#REF!+'Milchtechnologe-technologin'!M23+Milchw.Laborant!M23+Hauswirtschaft!M23</f>
        <v>#REF!</v>
      </c>
      <c r="N22" s="1187" t="e">
        <f>'A. Ausbildungsverh. Landwirt'!N26+'Fachkraft Agrarservice'!N23+Winzer!N23+'LW-Fachwerker'!N23+Tierwirt!N118+Fischwirt!N23+Pferdewirt!N23+'Pferdewirt (2)'!N23+Gärtner!N126+'Gaba-Fachwerker'!N23+Revierjäger!N23+Forstwirt!N23+#REF!+'Milchtechnologe-technologin'!N23+Milchw.Laborant!N23+Hauswirtschaft!N23</f>
        <v>#REF!</v>
      </c>
      <c r="O22" s="1056" t="e">
        <f>'A. Ausbildungsverh. Landwirt'!O26+'Fachkraft Agrarservice'!O23+Winzer!O23+'LW-Fachwerker'!O23+Tierwirt!O118+Fischwirt!O23+Pferdewirt!O23+'Pferdewirt (2)'!O23+Gärtner!O126+'Gaba-Fachwerker'!O23+Revierjäger!O23+Forstwirt!O23+#REF!+'Milchtechnologe-technologin'!O23+Milchw.Laborant!O23+Hauswirtschaft!O23</f>
        <v>#REF!</v>
      </c>
      <c r="P22" s="1057" t="e">
        <f>'A. Ausbildungsverh. Landwirt'!P26+'Fachkraft Agrarservice'!P23+Winzer!P23+'LW-Fachwerker'!P23+Tierwirt!P118+Fischwirt!P23+Pferdewirt!P23+'Pferdewirt (2)'!P23+Gärtner!P126+'Gaba-Fachwerker'!P23+Revierjäger!P23+Forstwirt!P23+#REF!+'Milchtechnologe-technologin'!P23+Milchw.Laborant!P23+Hauswirtschaft!P23</f>
        <v>#REF!</v>
      </c>
      <c r="Q22" s="812"/>
      <c r="R22" s="814"/>
      <c r="S22" s="814"/>
      <c r="T22" s="812"/>
      <c r="U22" s="812"/>
      <c r="V22" s="822"/>
      <c r="W22" s="812"/>
      <c r="X22" s="812"/>
      <c r="Y22" s="822"/>
      <c r="Z22" s="812"/>
      <c r="AA22" s="812"/>
      <c r="AB22" s="822"/>
      <c r="AC22" s="812"/>
      <c r="AD22" s="812"/>
      <c r="AE22" s="812"/>
      <c r="AF22" s="822"/>
      <c r="AG22" s="820"/>
    </row>
    <row r="23" spans="1:33" ht="15" customHeight="1">
      <c r="A23" s="592" t="s">
        <v>47</v>
      </c>
      <c r="B23" s="794"/>
      <c r="C23" s="1186" t="e">
        <f>'A. Ausbildungsverh. Landwirt'!C27+'Fachkraft Agrarservice'!C24+Winzer!C24+'LW-Fachwerker'!C24+Tierwirt!C126+Fischwirt!C24+Pferdewirt!C24+'Pferdewirt (2)'!C24+Gärtner!C135+'Gaba-Fachwerker'!C24+Revierjäger!C24+Forstwirt!C24+#REF!+'Milchtechnologe-technologin'!C24+Milchw.Laborant!C24+Hauswirtschaft!C24</f>
        <v>#REF!</v>
      </c>
      <c r="D23" s="1056" t="e">
        <f>'A. Ausbildungsverh. Landwirt'!D27+'Fachkraft Agrarservice'!D24+Winzer!D24+'LW-Fachwerker'!D24+Tierwirt!D126+Fischwirt!D24+Pferdewirt!D24+'Pferdewirt (2)'!D24+Gärtner!D135+'Gaba-Fachwerker'!D24+Revierjäger!D24+Forstwirt!D24+#REF!+'Milchtechnologe-technologin'!D24+Milchw.Laborant!D24+Hauswirtschaft!D24</f>
        <v>#REF!</v>
      </c>
      <c r="E23" s="1056" t="e">
        <f>'A. Ausbildungsverh. Landwirt'!E27+'Fachkraft Agrarservice'!E24+Winzer!E24+'LW-Fachwerker'!E24+Tierwirt!E126+Fischwirt!E24+Pferdewirt!E24+'Pferdewirt (2)'!E24+Gärtner!E135+'Gaba-Fachwerker'!E24+Revierjäger!E24+Forstwirt!E24+#REF!+'Milchtechnologe-technologin'!E24+Milchw.Laborant!E24+Hauswirtschaft!E24</f>
        <v>#REF!</v>
      </c>
      <c r="F23" s="1056" t="e">
        <f>'A. Ausbildungsverh. Landwirt'!F27+'Fachkraft Agrarservice'!F24+Winzer!F24+'LW-Fachwerker'!F24+Tierwirt!F126+Fischwirt!F24+Pferdewirt!F24+'Pferdewirt (2)'!F24+Gärtner!F135+'Gaba-Fachwerker'!F24+Revierjäger!F24+Forstwirt!F24+#REF!+'Milchtechnologe-technologin'!F24+Milchw.Laborant!F24+Hauswirtschaft!F24</f>
        <v>#REF!</v>
      </c>
      <c r="G23" s="1056" t="e">
        <f>'A. Ausbildungsverh. Landwirt'!G27+'Fachkraft Agrarservice'!G24+Winzer!G24+'LW-Fachwerker'!G24+Tierwirt!G126+Fischwirt!G24+Pferdewirt!G24+'Pferdewirt (2)'!G24+Gärtner!G135+'Gaba-Fachwerker'!G24+Revierjäger!G24+Forstwirt!G24+#REF!+'Milchtechnologe-technologin'!G24+Milchw.Laborant!G24+Hauswirtschaft!G24</f>
        <v>#REF!</v>
      </c>
      <c r="H23" s="1056" t="e">
        <f>'A. Ausbildungsverh. Landwirt'!H27+'Fachkraft Agrarservice'!H24+Winzer!H24+'LW-Fachwerker'!H24+Tierwirt!H126+Fischwirt!H24+Pferdewirt!H24+'Pferdewirt (2)'!H24+Gärtner!H135+'Gaba-Fachwerker'!H24+Revierjäger!H24+Forstwirt!H24+#REF!+'Milchtechnologe-technologin'!H24+Milchw.Laborant!H24+Hauswirtschaft!H24</f>
        <v>#REF!</v>
      </c>
      <c r="I23" s="1056" t="e">
        <f>'A. Ausbildungsverh. Landwirt'!I27+'Fachkraft Agrarservice'!I24+Winzer!I24+'LW-Fachwerker'!I24+Tierwirt!I126+Fischwirt!I24+Pferdewirt!I24+'Pferdewirt (2)'!I24+Gärtner!I135+'Gaba-Fachwerker'!I24+Revierjäger!I24+Forstwirt!I24+#REF!+'Milchtechnologe-technologin'!I24+Milchw.Laborant!I24+Hauswirtschaft!I24</f>
        <v>#REF!</v>
      </c>
      <c r="J23" s="1056" t="e">
        <f>'A. Ausbildungsverh. Landwirt'!J27+'Fachkraft Agrarservice'!J24+Winzer!J24+'LW-Fachwerker'!J24+Tierwirt!J126+Fischwirt!J24+Pferdewirt!J24+'Pferdewirt (2)'!J24+Gärtner!J135+'Gaba-Fachwerker'!J24+Revierjäger!J24+Forstwirt!J24+#REF!+'Milchtechnologe-technologin'!J24+Milchw.Laborant!J24+Hauswirtschaft!J24</f>
        <v>#REF!</v>
      </c>
      <c r="K23" s="1186" t="e">
        <f>'A. Ausbildungsverh. Landwirt'!K27+'Fachkraft Agrarservice'!K24+Winzer!K24+'LW-Fachwerker'!K24+Tierwirt!K126+Fischwirt!K24+Pferdewirt!K24+'Pferdewirt (2)'!K24+Gärtner!K135+'Gaba-Fachwerker'!K24+Revierjäger!K24+Forstwirt!K24+#REF!+'Milchtechnologe-technologin'!K24+Milchw.Laborant!K24+Hauswirtschaft!K24</f>
        <v>#REF!</v>
      </c>
      <c r="L23" s="1056" t="e">
        <f>'A. Ausbildungsverh. Landwirt'!L27+'Fachkraft Agrarservice'!L24+Winzer!L24+'LW-Fachwerker'!L24+Tierwirt!L126+Fischwirt!L24+Pferdewirt!L24+'Pferdewirt (2)'!L24+Gärtner!L135+'Gaba-Fachwerker'!L24+Revierjäger!L24+Forstwirt!L24+#REF!+'Milchtechnologe-technologin'!L24+Milchw.Laborant!L24+Hauswirtschaft!L24</f>
        <v>#REF!</v>
      </c>
      <c r="M23" s="1056" t="e">
        <f>'A. Ausbildungsverh. Landwirt'!M27+'Fachkraft Agrarservice'!M24+Winzer!M24+'LW-Fachwerker'!M24+Tierwirt!M126+Fischwirt!M24+Pferdewirt!M24+'Pferdewirt (2)'!M24+Gärtner!M135+'Gaba-Fachwerker'!M24+Revierjäger!M24+Forstwirt!M24+#REF!+'Milchtechnologe-technologin'!M24+Milchw.Laborant!M24+Hauswirtschaft!M24</f>
        <v>#REF!</v>
      </c>
      <c r="N23" s="1187" t="e">
        <f>'A. Ausbildungsverh. Landwirt'!N27+'Fachkraft Agrarservice'!N24+Winzer!N24+'LW-Fachwerker'!N24+Tierwirt!N126+Fischwirt!N24+Pferdewirt!N24+'Pferdewirt (2)'!N24+Gärtner!N135+'Gaba-Fachwerker'!N24+Revierjäger!N24+Forstwirt!N24+#REF!+'Milchtechnologe-technologin'!N24+Milchw.Laborant!N24+Hauswirtschaft!N24</f>
        <v>#REF!</v>
      </c>
      <c r="O23" s="1056" t="e">
        <f>'A. Ausbildungsverh. Landwirt'!O27+'Fachkraft Agrarservice'!O24+Winzer!O24+'LW-Fachwerker'!O24+Tierwirt!O126+Fischwirt!O24+Pferdewirt!O24+'Pferdewirt (2)'!O24+Gärtner!O135+'Gaba-Fachwerker'!O24+Revierjäger!O24+Forstwirt!O24+#REF!+'Milchtechnologe-technologin'!O24+Milchw.Laborant!O24+Hauswirtschaft!O24</f>
        <v>#REF!</v>
      </c>
      <c r="P23" s="1057" t="e">
        <f>'A. Ausbildungsverh. Landwirt'!P27+'Fachkraft Agrarservice'!P24+Winzer!P24+'LW-Fachwerker'!P24+Tierwirt!P126+Fischwirt!P24+Pferdewirt!P24+'Pferdewirt (2)'!P24+Gärtner!P135+'Gaba-Fachwerker'!P24+Revierjäger!P24+Forstwirt!P24+#REF!+'Milchtechnologe-technologin'!P24+Milchw.Laborant!P24+Hauswirtschaft!P24</f>
        <v>#REF!</v>
      </c>
      <c r="Q23" s="776"/>
      <c r="R23" s="823"/>
      <c r="S23" s="823"/>
      <c r="T23" s="776"/>
      <c r="U23" s="776"/>
      <c r="V23" s="780"/>
      <c r="W23" s="776"/>
      <c r="X23" s="776"/>
      <c r="Y23" s="780"/>
      <c r="Z23" s="776"/>
      <c r="AA23" s="776"/>
      <c r="AB23" s="780"/>
      <c r="AC23" s="817"/>
      <c r="AD23" s="776"/>
      <c r="AE23" s="776"/>
      <c r="AF23" s="780"/>
      <c r="AG23" s="820"/>
    </row>
    <row r="24" spans="1:33" ht="15" customHeight="1">
      <c r="A24" s="592" t="s">
        <v>51</v>
      </c>
      <c r="B24" s="794"/>
      <c r="C24" s="1186" t="e">
        <f>'A. Ausbildungsverh. Landwirt'!C28+'Fachkraft Agrarservice'!C25+Winzer!C25+'LW-Fachwerker'!C25+Tierwirt!C134+Fischwirt!C25+Pferdewirt!C25+'Pferdewirt (2)'!C25+Gärtner!C154+'Gaba-Fachwerker'!C25+Revierjäger!C25+Forstwirt!C25+#REF!+'Milchtechnologe-technologin'!C25+Milchw.Laborant!C25+Hauswirtschaft!C25</f>
        <v>#REF!</v>
      </c>
      <c r="D24" s="1056" t="e">
        <f>'A. Ausbildungsverh. Landwirt'!D28+'Fachkraft Agrarservice'!D25+Winzer!D25+'LW-Fachwerker'!D25+Tierwirt!D134+Fischwirt!D25+Pferdewirt!D25+'Pferdewirt (2)'!D25+Gärtner!D154+'Gaba-Fachwerker'!D25+Revierjäger!D25+Forstwirt!D25+#REF!+'Milchtechnologe-technologin'!D25+Milchw.Laborant!D25+Hauswirtschaft!D25</f>
        <v>#REF!</v>
      </c>
      <c r="E24" s="1056" t="e">
        <f>'A. Ausbildungsverh. Landwirt'!E28+'Fachkraft Agrarservice'!E25+Winzer!E25+'LW-Fachwerker'!E25+Tierwirt!E134+Fischwirt!E25+Pferdewirt!E25+'Pferdewirt (2)'!E25+Gärtner!E154+'Gaba-Fachwerker'!E25+Revierjäger!E25+Forstwirt!E25+#REF!+'Milchtechnologe-technologin'!E25+Milchw.Laborant!E25+Hauswirtschaft!E25</f>
        <v>#REF!</v>
      </c>
      <c r="F24" s="1056" t="e">
        <f>'A. Ausbildungsverh. Landwirt'!F28+'Fachkraft Agrarservice'!F25+Winzer!F25+'LW-Fachwerker'!F25+Tierwirt!F134+Fischwirt!F25+Pferdewirt!F25+'Pferdewirt (2)'!F25+Gärtner!F154+'Gaba-Fachwerker'!F25+Revierjäger!F25+Forstwirt!F25+#REF!+'Milchtechnologe-technologin'!F25+Milchw.Laborant!F25+Hauswirtschaft!F25</f>
        <v>#REF!</v>
      </c>
      <c r="G24" s="1056" t="e">
        <f>'A. Ausbildungsverh. Landwirt'!G28+'Fachkraft Agrarservice'!G25+Winzer!G25+'LW-Fachwerker'!G25+Tierwirt!G134+Fischwirt!G25+Pferdewirt!G25+'Pferdewirt (2)'!G25+Gärtner!G154+'Gaba-Fachwerker'!G25+Revierjäger!G25+Forstwirt!G25+#REF!+'Milchtechnologe-technologin'!G25+Milchw.Laborant!G25+Hauswirtschaft!G25</f>
        <v>#REF!</v>
      </c>
      <c r="H24" s="1056" t="e">
        <f>'A. Ausbildungsverh. Landwirt'!H28+'Fachkraft Agrarservice'!H25+Winzer!H25+'LW-Fachwerker'!H25+Tierwirt!H134+Fischwirt!H25+Pferdewirt!H25+'Pferdewirt (2)'!H25+Gärtner!H154+'Gaba-Fachwerker'!H25+Revierjäger!H25+Forstwirt!H25+#REF!+'Milchtechnologe-technologin'!H25+Milchw.Laborant!H25+Hauswirtschaft!H25</f>
        <v>#REF!</v>
      </c>
      <c r="I24" s="1056" t="e">
        <f>'A. Ausbildungsverh. Landwirt'!I28+'Fachkraft Agrarservice'!I25+Winzer!I25+'LW-Fachwerker'!I25+Tierwirt!I134+Fischwirt!I25+Pferdewirt!I25+'Pferdewirt (2)'!I25+Gärtner!I154+'Gaba-Fachwerker'!I25+Revierjäger!I25+Forstwirt!I25+#REF!+'Milchtechnologe-technologin'!I25+Milchw.Laborant!I25+Hauswirtschaft!I25</f>
        <v>#REF!</v>
      </c>
      <c r="J24" s="1056" t="e">
        <f>'A. Ausbildungsverh. Landwirt'!J28+'Fachkraft Agrarservice'!J25+Winzer!J25+'LW-Fachwerker'!J25+Tierwirt!J134+Fischwirt!J25+Pferdewirt!J25+'Pferdewirt (2)'!J25+Gärtner!J154+'Gaba-Fachwerker'!J25+Revierjäger!J25+Forstwirt!J25+#REF!+'Milchtechnologe-technologin'!J25+Milchw.Laborant!J25+Hauswirtschaft!J25</f>
        <v>#REF!</v>
      </c>
      <c r="K24" s="1186" t="e">
        <f>'A. Ausbildungsverh. Landwirt'!K28+'Fachkraft Agrarservice'!K25+Winzer!K25+'LW-Fachwerker'!K25+Tierwirt!K134+Fischwirt!K25+Pferdewirt!K25+'Pferdewirt (2)'!K25+Gärtner!K154+'Gaba-Fachwerker'!K25+Revierjäger!K25+Forstwirt!K25+#REF!+'Milchtechnologe-technologin'!K25+Milchw.Laborant!K25+Hauswirtschaft!K25</f>
        <v>#REF!</v>
      </c>
      <c r="L24" s="1056" t="e">
        <f>'A. Ausbildungsverh. Landwirt'!L28+'Fachkraft Agrarservice'!L25+Winzer!L25+'LW-Fachwerker'!L25+Tierwirt!L134+Fischwirt!L25+Pferdewirt!L25+'Pferdewirt (2)'!L25+Gärtner!L154+'Gaba-Fachwerker'!L25+Revierjäger!L25+Forstwirt!L25+#REF!+'Milchtechnologe-technologin'!L25+Milchw.Laborant!L25+Hauswirtschaft!L25</f>
        <v>#REF!</v>
      </c>
      <c r="M24" s="1056" t="e">
        <f>'A. Ausbildungsverh. Landwirt'!M28+'Fachkraft Agrarservice'!M25+Winzer!M25+'LW-Fachwerker'!M25+Tierwirt!M134+Fischwirt!M25+Pferdewirt!M25+'Pferdewirt (2)'!M25+Gärtner!M154+'Gaba-Fachwerker'!M25+Revierjäger!M25+Forstwirt!M25+#REF!+'Milchtechnologe-technologin'!M25+Milchw.Laborant!M25+Hauswirtschaft!M25</f>
        <v>#REF!</v>
      </c>
      <c r="N24" s="1187" t="e">
        <f>'A. Ausbildungsverh. Landwirt'!N28+'Fachkraft Agrarservice'!N25+Winzer!N25+'LW-Fachwerker'!N25+Tierwirt!N134+Fischwirt!N25+Pferdewirt!N25+'Pferdewirt (2)'!N25+Gärtner!N154+'Gaba-Fachwerker'!N25+Revierjäger!N25+Forstwirt!N25+#REF!+'Milchtechnologe-technologin'!N25+Milchw.Laborant!N25+Hauswirtschaft!N25</f>
        <v>#REF!</v>
      </c>
      <c r="O24" s="1056" t="e">
        <f>'A. Ausbildungsverh. Landwirt'!O28+'Fachkraft Agrarservice'!O25+Winzer!O25+'LW-Fachwerker'!O25+Tierwirt!O134+Fischwirt!O25+Pferdewirt!O25+'Pferdewirt (2)'!O25+Gärtner!O154+'Gaba-Fachwerker'!O25+Revierjäger!O25+Forstwirt!O25+#REF!+'Milchtechnologe-technologin'!O25+Milchw.Laborant!O25+Hauswirtschaft!O25</f>
        <v>#REF!</v>
      </c>
      <c r="P24" s="1058" t="e">
        <f>'A. Ausbildungsverh. Landwirt'!P28+'Fachkraft Agrarservice'!P25+Winzer!P25+'LW-Fachwerker'!P25+Tierwirt!P134+Fischwirt!P25+Pferdewirt!P25+'Pferdewirt (2)'!P25+Gärtner!P154+'Gaba-Fachwerker'!P25+Revierjäger!P25+Forstwirt!P25+#REF!+'Milchtechnologe-technologin'!P25+Milchw.Laborant!P25+Hauswirtschaft!P25</f>
        <v>#REF!</v>
      </c>
    </row>
    <row r="25" spans="1:33" ht="15" customHeight="1">
      <c r="A25" s="592" t="s">
        <v>56</v>
      </c>
      <c r="B25" s="794"/>
      <c r="C25" s="1186" t="e">
        <f>'A. Ausbildungsverh. Landwirt'!C29+'Fachkraft Agrarservice'!C26+Winzer!C26+'LW-Fachwerker'!C26+Tierwirt!C142+Fischwirt!C26+Pferdewirt!C26+'Pferdewirt (2)'!C26+Gärtner!C163+'Gaba-Fachwerker'!C26+Revierjäger!C26+Forstwirt!C26+#REF!+'Milchtechnologe-technologin'!C26+Milchw.Laborant!C26+Hauswirtschaft!C26</f>
        <v>#REF!</v>
      </c>
      <c r="D25" s="1056" t="e">
        <f>'A. Ausbildungsverh. Landwirt'!D29+'Fachkraft Agrarservice'!D26+Winzer!D26+'LW-Fachwerker'!D26+Tierwirt!D142+Fischwirt!D26+Pferdewirt!D26+'Pferdewirt (2)'!D26+Gärtner!D163+'Gaba-Fachwerker'!D26+Revierjäger!D26+Forstwirt!D26+#REF!+'Milchtechnologe-technologin'!D26+Milchw.Laborant!D26+Hauswirtschaft!D26</f>
        <v>#REF!</v>
      </c>
      <c r="E25" s="1056" t="e">
        <f>'A. Ausbildungsverh. Landwirt'!E29+'Fachkraft Agrarservice'!E26+Winzer!E26+'LW-Fachwerker'!E26+Tierwirt!E142+Fischwirt!E26+Pferdewirt!E26+'Pferdewirt (2)'!E26+Gärtner!E163+'Gaba-Fachwerker'!E26+Revierjäger!E26+Forstwirt!E26+#REF!+'Milchtechnologe-technologin'!E26+Milchw.Laborant!E26+Hauswirtschaft!E26</f>
        <v>#REF!</v>
      </c>
      <c r="F25" s="1056" t="e">
        <f>'A. Ausbildungsverh. Landwirt'!F29+'Fachkraft Agrarservice'!F26+Winzer!F26+'LW-Fachwerker'!F26+Tierwirt!F142+Fischwirt!F26+Pferdewirt!F26+'Pferdewirt (2)'!F26+Gärtner!F163+'Gaba-Fachwerker'!F26+Revierjäger!F26+Forstwirt!F26+#REF!+'Milchtechnologe-technologin'!F26+Milchw.Laborant!F26+Hauswirtschaft!F26</f>
        <v>#REF!</v>
      </c>
      <c r="G25" s="1056" t="e">
        <f>'A. Ausbildungsverh. Landwirt'!G29+'Fachkraft Agrarservice'!G26+Winzer!G26+'LW-Fachwerker'!G26+Tierwirt!G142+Fischwirt!G26+Pferdewirt!G26+'Pferdewirt (2)'!G26+Gärtner!G163+'Gaba-Fachwerker'!G26+Revierjäger!G26+Forstwirt!G26+#REF!+'Milchtechnologe-technologin'!G26+Milchw.Laborant!G26+Hauswirtschaft!G26</f>
        <v>#REF!</v>
      </c>
      <c r="H25" s="1056" t="e">
        <f>'A. Ausbildungsverh. Landwirt'!H29+'Fachkraft Agrarservice'!H26+Winzer!H26+'LW-Fachwerker'!H26+Tierwirt!H142+Fischwirt!H26+Pferdewirt!H26+'Pferdewirt (2)'!H26+Gärtner!H163+'Gaba-Fachwerker'!H26+Revierjäger!H26+Forstwirt!H26+#REF!+'Milchtechnologe-technologin'!H26+Milchw.Laborant!H26+Hauswirtschaft!H26</f>
        <v>#REF!</v>
      </c>
      <c r="I25" s="1056" t="e">
        <f>'A. Ausbildungsverh. Landwirt'!I29+'Fachkraft Agrarservice'!I26+Winzer!I26+'LW-Fachwerker'!I26+Tierwirt!I142+Fischwirt!I26+Pferdewirt!I26+'Pferdewirt (2)'!I26+Gärtner!I163+'Gaba-Fachwerker'!I26+Revierjäger!I26+Forstwirt!I26+#REF!+'Milchtechnologe-technologin'!I26+Milchw.Laborant!I26+Hauswirtschaft!I26</f>
        <v>#REF!</v>
      </c>
      <c r="J25" s="1056" t="e">
        <f>'A. Ausbildungsverh. Landwirt'!J29+'Fachkraft Agrarservice'!J26+Winzer!J26+'LW-Fachwerker'!J26+Tierwirt!J142+Fischwirt!J26+Pferdewirt!J26+'Pferdewirt (2)'!J26+Gärtner!J163+'Gaba-Fachwerker'!J26+Revierjäger!J26+Forstwirt!J26+#REF!+'Milchtechnologe-technologin'!J26+Milchw.Laborant!J26+Hauswirtschaft!J26</f>
        <v>#REF!</v>
      </c>
      <c r="K25" s="1186" t="e">
        <f>'A. Ausbildungsverh. Landwirt'!K29+'Fachkraft Agrarservice'!K26+Winzer!K26+'LW-Fachwerker'!K26+Tierwirt!K142+Fischwirt!K26+Pferdewirt!K26+'Pferdewirt (2)'!K26+Gärtner!K163+'Gaba-Fachwerker'!K26+Revierjäger!K26+Forstwirt!K26+#REF!+'Milchtechnologe-technologin'!K26+Milchw.Laborant!K26+Hauswirtschaft!K26</f>
        <v>#REF!</v>
      </c>
      <c r="L25" s="1056" t="e">
        <f>'A. Ausbildungsverh. Landwirt'!L29+'Fachkraft Agrarservice'!L26+Winzer!L26+'LW-Fachwerker'!L26+Tierwirt!L142+Fischwirt!L26+Pferdewirt!L26+'Pferdewirt (2)'!L26+Gärtner!L163+'Gaba-Fachwerker'!L26+Revierjäger!L26+Forstwirt!L26+#REF!+'Milchtechnologe-technologin'!L26+Milchw.Laborant!L26+Hauswirtschaft!L26</f>
        <v>#REF!</v>
      </c>
      <c r="M25" s="1056" t="e">
        <f>'A. Ausbildungsverh. Landwirt'!M29+'Fachkraft Agrarservice'!M26+Winzer!M26+'LW-Fachwerker'!M26+Tierwirt!M142+Fischwirt!M26+Pferdewirt!M26+'Pferdewirt (2)'!M26+Gärtner!M163+'Gaba-Fachwerker'!M26+Revierjäger!M26+Forstwirt!M26+#REF!+'Milchtechnologe-technologin'!M26+Milchw.Laborant!M26+Hauswirtschaft!M26</f>
        <v>#REF!</v>
      </c>
      <c r="N25" s="1187" t="e">
        <f>'A. Ausbildungsverh. Landwirt'!N29+'Fachkraft Agrarservice'!N26+Winzer!N26+'LW-Fachwerker'!N26+Tierwirt!N142+Fischwirt!N26+Pferdewirt!N26+'Pferdewirt (2)'!N26+Gärtner!N163+'Gaba-Fachwerker'!N26+Revierjäger!N26+Forstwirt!N26+#REF!+'Milchtechnologe-technologin'!N26+Milchw.Laborant!N26+Hauswirtschaft!N26</f>
        <v>#REF!</v>
      </c>
      <c r="O25" s="1056" t="e">
        <f>'A. Ausbildungsverh. Landwirt'!O29+'Fachkraft Agrarservice'!O26+Winzer!O26+'LW-Fachwerker'!O26+Tierwirt!O142+Fischwirt!O26+Pferdewirt!O26+'Pferdewirt (2)'!O26+Gärtner!O163+'Gaba-Fachwerker'!O26+Revierjäger!O26+Forstwirt!O26+#REF!+'Milchtechnologe-technologin'!O26+Milchw.Laborant!O26+Hauswirtschaft!O26</f>
        <v>#REF!</v>
      </c>
      <c r="P25" s="1057" t="e">
        <f>'A. Ausbildungsverh. Landwirt'!P29+'Fachkraft Agrarservice'!P26+Winzer!P26+'LW-Fachwerker'!P26+Tierwirt!P142+Fischwirt!P26+Pferdewirt!P26+'Pferdewirt (2)'!P26+Gärtner!P163+'Gaba-Fachwerker'!P26+Revierjäger!P26+Forstwirt!P26+#REF!+'Milchtechnologe-technologin'!P26+Milchw.Laborant!P26+Hauswirtschaft!P26</f>
        <v>#REF!</v>
      </c>
    </row>
    <row r="26" spans="1:33" ht="15" customHeight="1">
      <c r="A26" s="592" t="s">
        <v>57</v>
      </c>
      <c r="B26" s="821"/>
      <c r="C26" s="1186" t="e">
        <f>'A. Ausbildungsverh. Landwirt'!C30+'Fachkraft Agrarservice'!C27+Winzer!C27+'LW-Fachwerker'!C27+Tierwirt!C150+Fischwirt!C27+Pferdewirt!C27+'Pferdewirt (2)'!C27+Gärtner!C172+'Gaba-Fachwerker'!C27+Revierjäger!C27+Forstwirt!C27+#REF!+'Milchtechnologe-technologin'!C27+Milchw.Laborant!C27+Hauswirtschaft!C27</f>
        <v>#REF!</v>
      </c>
      <c r="D26" s="1056" t="e">
        <f>'A. Ausbildungsverh. Landwirt'!D30+'Fachkraft Agrarservice'!D27+Winzer!D27+'LW-Fachwerker'!D27+Tierwirt!D150+Fischwirt!D27+Pferdewirt!D27+'Pferdewirt (2)'!D27+Gärtner!D172+'Gaba-Fachwerker'!D27+Revierjäger!D27+Forstwirt!D27+#REF!+'Milchtechnologe-technologin'!D27+Milchw.Laborant!D27+Hauswirtschaft!D27</f>
        <v>#REF!</v>
      </c>
      <c r="E26" s="1056" t="e">
        <f>'A. Ausbildungsverh. Landwirt'!E30+'Fachkraft Agrarservice'!E27+Winzer!E27+'LW-Fachwerker'!E27+Tierwirt!E150+Fischwirt!E27+Pferdewirt!E27+'Pferdewirt (2)'!E27+Gärtner!E172+'Gaba-Fachwerker'!E27+Revierjäger!E27+Forstwirt!E27+#REF!+'Milchtechnologe-technologin'!E27+Milchw.Laborant!E27+Hauswirtschaft!E27</f>
        <v>#REF!</v>
      </c>
      <c r="F26" s="1056" t="e">
        <f>'A. Ausbildungsverh. Landwirt'!F30+'Fachkraft Agrarservice'!F27+Winzer!F27+'LW-Fachwerker'!F27+Tierwirt!F150+Fischwirt!F27+Pferdewirt!F27+'Pferdewirt (2)'!F27+Gärtner!F172+'Gaba-Fachwerker'!F27+Revierjäger!F27+Forstwirt!F27+#REF!+'Milchtechnologe-technologin'!F27+Milchw.Laborant!F27+Hauswirtschaft!F27</f>
        <v>#REF!</v>
      </c>
      <c r="G26" s="1056" t="e">
        <f>'A. Ausbildungsverh. Landwirt'!G30+'Fachkraft Agrarservice'!G27+Winzer!G27+'LW-Fachwerker'!G27+Tierwirt!G150+Fischwirt!G27+Pferdewirt!G27+'Pferdewirt (2)'!G27+Gärtner!G172+'Gaba-Fachwerker'!G27+Revierjäger!G27+Forstwirt!G27+#REF!+'Milchtechnologe-technologin'!G27+Milchw.Laborant!G27+Hauswirtschaft!G27</f>
        <v>#REF!</v>
      </c>
      <c r="H26" s="1056" t="e">
        <f>'A. Ausbildungsverh. Landwirt'!H30+'Fachkraft Agrarservice'!H27+Winzer!H27+'LW-Fachwerker'!H27+Tierwirt!H150+Fischwirt!H27+Pferdewirt!H27+'Pferdewirt (2)'!H27+Gärtner!H172+'Gaba-Fachwerker'!H27+Revierjäger!H27+Forstwirt!H27+#REF!+'Milchtechnologe-technologin'!H27+Milchw.Laborant!H27+Hauswirtschaft!H27</f>
        <v>#REF!</v>
      </c>
      <c r="I26" s="1056" t="e">
        <f>'A. Ausbildungsverh. Landwirt'!I30+'Fachkraft Agrarservice'!I27+Winzer!I27+'LW-Fachwerker'!I27+Tierwirt!I150+Fischwirt!I27+Pferdewirt!I27+'Pferdewirt (2)'!I27+Gärtner!I172+'Gaba-Fachwerker'!I27+Revierjäger!I27+Forstwirt!I27+#REF!+'Milchtechnologe-technologin'!I27+Milchw.Laborant!I27+Hauswirtschaft!I27</f>
        <v>#REF!</v>
      </c>
      <c r="J26" s="1056" t="e">
        <f>'A. Ausbildungsverh. Landwirt'!J30+'Fachkraft Agrarservice'!J27+Winzer!J27+'LW-Fachwerker'!J27+Tierwirt!J150+Fischwirt!J27+Pferdewirt!J27+'Pferdewirt (2)'!J27+Gärtner!J172+'Gaba-Fachwerker'!J27+Revierjäger!J27+Forstwirt!J27+#REF!+'Milchtechnologe-technologin'!J27+Milchw.Laborant!J27+Hauswirtschaft!J27</f>
        <v>#REF!</v>
      </c>
      <c r="K26" s="1186" t="e">
        <f>'A. Ausbildungsverh. Landwirt'!K30+'Fachkraft Agrarservice'!K27+Winzer!K27+'LW-Fachwerker'!K27+Tierwirt!K150+Fischwirt!K27+Pferdewirt!K27+'Pferdewirt (2)'!K27+Gärtner!K172+'Gaba-Fachwerker'!K27+Revierjäger!K27+Forstwirt!K27+#REF!+'Milchtechnologe-technologin'!K27+Milchw.Laborant!K27+Hauswirtschaft!K27</f>
        <v>#REF!</v>
      </c>
      <c r="L26" s="1056" t="e">
        <f>'A. Ausbildungsverh. Landwirt'!L30+'Fachkraft Agrarservice'!L27+Winzer!L27+'LW-Fachwerker'!L27+Tierwirt!L150+Fischwirt!L27+Pferdewirt!L27+'Pferdewirt (2)'!L27+Gärtner!L172+'Gaba-Fachwerker'!L27+Revierjäger!L27+Forstwirt!L27+#REF!+'Milchtechnologe-technologin'!L27+Milchw.Laborant!L27+Hauswirtschaft!L27</f>
        <v>#REF!</v>
      </c>
      <c r="M26" s="1056" t="e">
        <f>'A. Ausbildungsverh. Landwirt'!M30+'Fachkraft Agrarservice'!M27+Winzer!M27+'LW-Fachwerker'!M27+Tierwirt!M150+Fischwirt!M27+Pferdewirt!M27+'Pferdewirt (2)'!M27+Gärtner!M172+'Gaba-Fachwerker'!M27+Revierjäger!M27+Forstwirt!M27+#REF!+'Milchtechnologe-technologin'!M27+Milchw.Laborant!M27+Hauswirtschaft!M27</f>
        <v>#REF!</v>
      </c>
      <c r="N26" s="1187" t="e">
        <f>'A. Ausbildungsverh. Landwirt'!N30+'Fachkraft Agrarservice'!N27+Winzer!N27+'LW-Fachwerker'!N27+Tierwirt!N150+Fischwirt!N27+Pferdewirt!N27+'Pferdewirt (2)'!N27+Gärtner!N172+'Gaba-Fachwerker'!N27+Revierjäger!N27+Forstwirt!N27+#REF!+'Milchtechnologe-technologin'!N27+Milchw.Laborant!N27+Hauswirtschaft!N27</f>
        <v>#REF!</v>
      </c>
      <c r="O26" s="1056" t="e">
        <f>'A. Ausbildungsverh. Landwirt'!O30+'Fachkraft Agrarservice'!O27+Winzer!O27+'LW-Fachwerker'!O27+Tierwirt!O150+Fischwirt!O27+Pferdewirt!O27+'Pferdewirt (2)'!O27+Gärtner!O172+'Gaba-Fachwerker'!O27+Revierjäger!O27+Forstwirt!O27+#REF!+'Milchtechnologe-technologin'!O27+Milchw.Laborant!O27+Hauswirtschaft!O27</f>
        <v>#REF!</v>
      </c>
      <c r="P26" s="1057" t="e">
        <f>'A. Ausbildungsverh. Landwirt'!P30+'Fachkraft Agrarservice'!P27+Winzer!P27+'LW-Fachwerker'!P27+Tierwirt!P150+Fischwirt!P27+Pferdewirt!P27+'Pferdewirt (2)'!P27+Gärtner!P172+'Gaba-Fachwerker'!P27+Revierjäger!P27+Forstwirt!P27+#REF!+'Milchtechnologe-technologin'!P27+Milchw.Laborant!P27+Hauswirtschaft!P27</f>
        <v>#REF!</v>
      </c>
    </row>
    <row r="27" spans="1:33" s="824" customFormat="1" ht="15" customHeight="1">
      <c r="A27" s="592" t="s">
        <v>59</v>
      </c>
      <c r="B27" s="767"/>
      <c r="C27" s="1187" t="e">
        <f>'A. Ausbildungsverh. Landwirt'!C31+'Fachkraft Agrarservice'!C28+Winzer!C28+'LW-Fachwerker'!C28+Tierwirt!C170+Fischwirt!C28+Pferdewirt!C28+'Pferdewirt (2)'!C28+Gärtner!C181+'Gaba-Fachwerker'!C28+Revierjäger!C28+Forstwirt!C28+#REF!+'Milchtechnologe-technologin'!C28+Milchw.Laborant!C28+Hauswirtschaft!C28</f>
        <v>#REF!</v>
      </c>
      <c r="D27" s="1056" t="e">
        <f>'A. Ausbildungsverh. Landwirt'!D31+'Fachkraft Agrarservice'!D28+Winzer!D28+'LW-Fachwerker'!D28+Tierwirt!D170+Fischwirt!D28+Pferdewirt!D28+'Pferdewirt (2)'!D28+Gärtner!D181+'Gaba-Fachwerker'!D28+Revierjäger!D28+Forstwirt!D28+#REF!+'Milchtechnologe-technologin'!D28+Milchw.Laborant!D28+Hauswirtschaft!D28</f>
        <v>#REF!</v>
      </c>
      <c r="E27" s="1056" t="e">
        <f>'A. Ausbildungsverh. Landwirt'!E31+'Fachkraft Agrarservice'!E28+Winzer!E28+'LW-Fachwerker'!E28+Tierwirt!E170+Fischwirt!E28+Pferdewirt!E28+'Pferdewirt (2)'!E28+Gärtner!E181+'Gaba-Fachwerker'!E28+Revierjäger!E28+Forstwirt!E28+#REF!+'Milchtechnologe-technologin'!E28+Milchw.Laborant!E28+Hauswirtschaft!E28</f>
        <v>#REF!</v>
      </c>
      <c r="F27" s="1056" t="e">
        <f>'A. Ausbildungsverh. Landwirt'!F31+'Fachkraft Agrarservice'!F28+Winzer!F28+'LW-Fachwerker'!F28+Tierwirt!F170+Fischwirt!F28+Pferdewirt!F28+'Pferdewirt (2)'!F28+Gärtner!F181+'Gaba-Fachwerker'!F28+Revierjäger!F28+Forstwirt!F28+#REF!+'Milchtechnologe-technologin'!F28+Milchw.Laborant!F28+Hauswirtschaft!F28</f>
        <v>#REF!</v>
      </c>
      <c r="G27" s="1056" t="e">
        <f>'A. Ausbildungsverh. Landwirt'!G31+'Fachkraft Agrarservice'!G28+Winzer!G28+'LW-Fachwerker'!G28+Tierwirt!G170+Fischwirt!G28+Pferdewirt!G28+'Pferdewirt (2)'!G28+Gärtner!G181+'Gaba-Fachwerker'!G28+Revierjäger!G28+Forstwirt!G28+#REF!+'Milchtechnologe-technologin'!G28+Milchw.Laborant!G28+Hauswirtschaft!G28</f>
        <v>#REF!</v>
      </c>
      <c r="H27" s="1056" t="e">
        <f>'A. Ausbildungsverh. Landwirt'!H31+'Fachkraft Agrarservice'!H28+Winzer!H28+'LW-Fachwerker'!H28+Tierwirt!H170+Fischwirt!H28+Pferdewirt!H28+'Pferdewirt (2)'!H28+Gärtner!H181+'Gaba-Fachwerker'!H28+Revierjäger!H28+Forstwirt!H28+#REF!+'Milchtechnologe-technologin'!H28+Milchw.Laborant!H28+Hauswirtschaft!H28</f>
        <v>#REF!</v>
      </c>
      <c r="I27" s="1056" t="e">
        <f>'A. Ausbildungsverh. Landwirt'!I31+'Fachkraft Agrarservice'!I28+Winzer!I28+'LW-Fachwerker'!I28+Tierwirt!I170+Fischwirt!I28+Pferdewirt!I28+'Pferdewirt (2)'!I28+Gärtner!I181+'Gaba-Fachwerker'!I28+Revierjäger!I28+Forstwirt!I28+#REF!+'Milchtechnologe-technologin'!I28+Milchw.Laborant!I28+Hauswirtschaft!I28</f>
        <v>#REF!</v>
      </c>
      <c r="J27" s="1056" t="e">
        <f>'A. Ausbildungsverh. Landwirt'!J31+'Fachkraft Agrarservice'!J28+Winzer!J28+'LW-Fachwerker'!J28+Tierwirt!J170+Fischwirt!J28+Pferdewirt!J28+'Pferdewirt (2)'!J28+Gärtner!J181+'Gaba-Fachwerker'!J28+Revierjäger!J28+Forstwirt!J28+#REF!+'Milchtechnologe-technologin'!J28+Milchw.Laborant!J28+Hauswirtschaft!J28</f>
        <v>#REF!</v>
      </c>
      <c r="K27" s="1186" t="e">
        <f>'A. Ausbildungsverh. Landwirt'!K31+'Fachkraft Agrarservice'!K28+Winzer!K28+'LW-Fachwerker'!K28+Tierwirt!K170+Fischwirt!K28+Pferdewirt!K28+'Pferdewirt (2)'!K28+Gärtner!K181+'Gaba-Fachwerker'!K28+Revierjäger!K28+Forstwirt!K28+#REF!+'Milchtechnologe-technologin'!K28+Milchw.Laborant!K28+Hauswirtschaft!K28</f>
        <v>#REF!</v>
      </c>
      <c r="L27" s="1056" t="e">
        <f>'A. Ausbildungsverh. Landwirt'!L31+'Fachkraft Agrarservice'!L28+Winzer!L28+'LW-Fachwerker'!L28+Tierwirt!L170+Fischwirt!L28+Pferdewirt!L28+'Pferdewirt (2)'!L28+Gärtner!L181+'Gaba-Fachwerker'!L28+Revierjäger!L28+Forstwirt!L28+#REF!+'Milchtechnologe-technologin'!L28+Milchw.Laborant!L28+Hauswirtschaft!L28</f>
        <v>#REF!</v>
      </c>
      <c r="M27" s="1056" t="e">
        <f>'A. Ausbildungsverh. Landwirt'!M31+'Fachkraft Agrarservice'!M28+Winzer!M28+'LW-Fachwerker'!M28+Tierwirt!M170+Fischwirt!M28+Pferdewirt!M28+'Pferdewirt (2)'!M28+Gärtner!M181+'Gaba-Fachwerker'!M28+Revierjäger!M28+Forstwirt!M28+#REF!+'Milchtechnologe-technologin'!M28+Milchw.Laborant!M28+Hauswirtschaft!M28</f>
        <v>#REF!</v>
      </c>
      <c r="N27" s="1186" t="e">
        <f>'A. Ausbildungsverh. Landwirt'!N31+'Fachkraft Agrarservice'!N28+Winzer!N28+'LW-Fachwerker'!N28+Tierwirt!N170+Fischwirt!N28+Pferdewirt!N28+'Pferdewirt (2)'!N28+Gärtner!N181+'Gaba-Fachwerker'!N28+Revierjäger!N28+Forstwirt!N28+#REF!+'Milchtechnologe-technologin'!N28+Milchw.Laborant!N28+Hauswirtschaft!N28</f>
        <v>#REF!</v>
      </c>
      <c r="O27" s="1056" t="e">
        <f>'A. Ausbildungsverh. Landwirt'!O31+'Fachkraft Agrarservice'!O28+Winzer!O28+'LW-Fachwerker'!O28+Tierwirt!O170+Fischwirt!O28+Pferdewirt!O28+'Pferdewirt (2)'!O28+Gärtner!O181+'Gaba-Fachwerker'!O28+Revierjäger!O28+Forstwirt!O28+#REF!+'Milchtechnologe-technologin'!O28+Milchw.Laborant!O28+Hauswirtschaft!O28</f>
        <v>#REF!</v>
      </c>
      <c r="P27" s="1057" t="e">
        <f>'A. Ausbildungsverh. Landwirt'!P31+'Fachkraft Agrarservice'!P28+Winzer!P28+'LW-Fachwerker'!P28+Tierwirt!P170+Fischwirt!P28+Pferdewirt!P28+'Pferdewirt (2)'!P28+Gärtner!P181+'Gaba-Fachwerker'!P28+Revierjäger!P28+Forstwirt!P28+#REF!+'Milchtechnologe-technologin'!P28+Milchw.Laborant!P28+Hauswirtschaft!P28</f>
        <v>#REF!</v>
      </c>
    </row>
    <row r="28" spans="1:33" s="776" customFormat="1" ht="4.5" customHeight="1">
      <c r="A28" s="825"/>
      <c r="B28" s="742"/>
      <c r="C28" s="1188"/>
      <c r="D28" s="1189"/>
      <c r="E28" s="1188"/>
      <c r="F28" s="1188"/>
      <c r="G28" s="1188"/>
      <c r="H28" s="1188"/>
      <c r="I28" s="1190"/>
      <c r="J28" s="826"/>
      <c r="K28" s="827"/>
      <c r="L28" s="828"/>
      <c r="M28" s="827"/>
      <c r="N28" s="1027"/>
      <c r="O28" s="828"/>
      <c r="P28" s="1191"/>
    </row>
    <row r="29" spans="1:33" s="831" customFormat="1" ht="20.100000000000001" customHeight="1" thickBot="1">
      <c r="A29" s="611" t="s">
        <v>60</v>
      </c>
      <c r="B29" s="829"/>
      <c r="C29" s="830" t="e">
        <f t="shared" ref="C29:P29" si="0">SUM(C12:C27)</f>
        <v>#REF!</v>
      </c>
      <c r="D29" s="830" t="e">
        <f t="shared" si="0"/>
        <v>#REF!</v>
      </c>
      <c r="E29" s="830" t="e">
        <f t="shared" si="0"/>
        <v>#REF!</v>
      </c>
      <c r="F29" s="830" t="e">
        <f t="shared" si="0"/>
        <v>#REF!</v>
      </c>
      <c r="G29" s="830" t="e">
        <f t="shared" si="0"/>
        <v>#REF!</v>
      </c>
      <c r="H29" s="830" t="e">
        <f t="shared" si="0"/>
        <v>#REF!</v>
      </c>
      <c r="I29" s="830" t="e">
        <f t="shared" si="0"/>
        <v>#REF!</v>
      </c>
      <c r="J29" s="830" t="e">
        <f t="shared" si="0"/>
        <v>#REF!</v>
      </c>
      <c r="K29" s="830" t="e">
        <f t="shared" si="0"/>
        <v>#REF!</v>
      </c>
      <c r="L29" s="830" t="e">
        <f t="shared" si="0"/>
        <v>#REF!</v>
      </c>
      <c r="M29" s="830" t="e">
        <f t="shared" si="0"/>
        <v>#REF!</v>
      </c>
      <c r="N29" s="830" t="e">
        <f t="shared" si="0"/>
        <v>#REF!</v>
      </c>
      <c r="O29" s="830" t="e">
        <f t="shared" si="0"/>
        <v>#REF!</v>
      </c>
      <c r="P29" s="1028" t="e">
        <f t="shared" si="0"/>
        <v>#REF!</v>
      </c>
    </row>
    <row r="30" spans="1:33" s="831" customFormat="1" ht="3.6" customHeight="1">
      <c r="A30" s="767"/>
      <c r="B30" s="767"/>
      <c r="C30" s="832"/>
      <c r="D30" s="833"/>
      <c r="E30" s="832"/>
      <c r="F30" s="833"/>
      <c r="G30" s="832"/>
      <c r="H30" s="832"/>
      <c r="I30" s="832"/>
      <c r="J30" s="834"/>
      <c r="K30" s="835"/>
      <c r="L30" s="835"/>
      <c r="M30" s="835"/>
      <c r="N30" s="836"/>
      <c r="O30" s="835"/>
      <c r="P30" s="835"/>
    </row>
    <row r="31" spans="1:33" s="831" customFormat="1" ht="12" customHeight="1">
      <c r="A31" s="388" t="s">
        <v>304</v>
      </c>
      <c r="B31" s="767"/>
      <c r="C31" s="832"/>
      <c r="D31" s="833"/>
      <c r="E31" s="832"/>
      <c r="F31" s="833"/>
      <c r="G31" s="832"/>
      <c r="H31" s="832"/>
      <c r="I31" s="832"/>
      <c r="J31" s="834"/>
      <c r="K31" s="835"/>
      <c r="L31" s="835"/>
      <c r="M31" s="835"/>
      <c r="N31" s="836"/>
      <c r="O31" s="835"/>
      <c r="P31" s="835"/>
    </row>
    <row r="32" spans="1:33" s="831" customFormat="1" ht="12" customHeight="1">
      <c r="A32" s="70" t="s">
        <v>345</v>
      </c>
      <c r="B32" s="388"/>
      <c r="C32" s="832"/>
      <c r="D32" s="833"/>
      <c r="E32" s="832"/>
      <c r="F32" s="833"/>
      <c r="G32" s="832"/>
      <c r="H32" s="832"/>
      <c r="I32" s="832"/>
      <c r="J32" s="834"/>
      <c r="K32" s="835"/>
      <c r="L32" s="835"/>
      <c r="M32" s="835"/>
      <c r="N32" s="836"/>
      <c r="O32" s="835"/>
      <c r="P32" s="835"/>
    </row>
    <row r="33" spans="1:16" s="824" customFormat="1" ht="12" customHeight="1">
      <c r="A33" s="608" t="s">
        <v>346</v>
      </c>
      <c r="B33" s="608"/>
      <c r="C33" s="837"/>
      <c r="D33" s="837"/>
      <c r="E33" s="837"/>
      <c r="F33" s="837"/>
      <c r="G33" s="837"/>
      <c r="H33" s="837"/>
      <c r="I33" s="837"/>
      <c r="J33" s="837"/>
      <c r="K33" s="837"/>
      <c r="L33" s="837"/>
      <c r="M33" s="837"/>
      <c r="N33" s="837"/>
    </row>
    <row r="34" spans="1:16" s="831" customFormat="1">
      <c r="E34" s="838"/>
      <c r="G34" s="839"/>
      <c r="M34" s="838"/>
    </row>
    <row r="35" spans="1:16">
      <c r="C35" s="740"/>
    </row>
    <row r="36" spans="1:16" ht="14.25">
      <c r="C36" s="841"/>
      <c r="D36" s="841"/>
      <c r="E36" s="841"/>
      <c r="F36" s="841"/>
      <c r="G36" s="841"/>
      <c r="H36" s="841"/>
      <c r="I36" s="841"/>
      <c r="J36" s="841"/>
      <c r="K36" s="841"/>
      <c r="L36" s="841"/>
      <c r="M36" s="841"/>
      <c r="N36" s="841"/>
      <c r="O36" s="841"/>
      <c r="P36" s="841"/>
    </row>
  </sheetData>
  <mergeCells count="7">
    <mergeCell ref="A4:P4"/>
    <mergeCell ref="A6:B11"/>
    <mergeCell ref="C6:H6"/>
    <mergeCell ref="K6:P6"/>
    <mergeCell ref="A2:D2"/>
    <mergeCell ref="N7:P7"/>
    <mergeCell ref="N8:P8"/>
  </mergeCells>
  <printOptions horizontalCentered="1"/>
  <pageMargins left="0.19685039370078741" right="0.19685039370078741" top="0.82677165354330717" bottom="0.70866141732283472" header="0.62992125984251968" footer="0.51181102362204722"/>
  <pageSetup paperSize="9" scale="95" orientation="landscape" r:id="rId1"/>
  <headerFooter alignWithMargins="0">
    <oddHeader>&amp;C&amp;"Arial,Standard"&amp;8- 35 -
&amp;"Times New Roman,Standard"&amp;11
&amp;R&amp;8&amp;D</oddHeader>
    <oddFooter>&amp;R&amp;14...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AP36"/>
  <sheetViews>
    <sheetView zoomScaleNormal="100" zoomScaleSheetLayoutView="100" workbookViewId="0">
      <selection activeCell="D13" sqref="D13"/>
    </sheetView>
  </sheetViews>
  <sheetFormatPr baseColWidth="10" defaultColWidth="11.42578125" defaultRowHeight="11.25"/>
  <cols>
    <col min="1" max="1" width="5.5703125" style="6" customWidth="1"/>
    <col min="2" max="2" width="0.85546875" style="6" customWidth="1"/>
    <col min="3" max="8" width="7.5703125" style="6" customWidth="1"/>
    <col min="9" max="10" width="10.5703125" style="6" customWidth="1"/>
    <col min="11" max="16" width="7.5703125" style="6" customWidth="1"/>
    <col min="17" max="16384" width="11.42578125" style="6"/>
  </cols>
  <sheetData>
    <row r="1" spans="1:42" ht="12.75">
      <c r="I1" s="84"/>
    </row>
    <row r="2" spans="1:42" ht="12.75">
      <c r="A2" s="728" t="s">
        <v>215</v>
      </c>
      <c r="B2" s="63"/>
      <c r="C2" s="40"/>
      <c r="D2" s="41"/>
      <c r="E2" s="41"/>
      <c r="F2" s="41"/>
      <c r="G2" s="41"/>
      <c r="H2" s="41"/>
      <c r="I2" s="42"/>
      <c r="K2" s="43"/>
      <c r="L2" s="41"/>
      <c r="M2" s="41"/>
      <c r="N2" s="529"/>
      <c r="O2" s="41"/>
      <c r="P2" s="535"/>
      <c r="R2" s="64"/>
    </row>
    <row r="3" spans="1:42" ht="11.1" customHeight="1">
      <c r="A3" s="65"/>
      <c r="B3" s="65"/>
      <c r="C3" s="44"/>
      <c r="D3" s="44"/>
      <c r="E3" s="44"/>
      <c r="F3" s="44"/>
      <c r="G3" s="44"/>
      <c r="H3" s="44"/>
      <c r="I3" s="44"/>
      <c r="K3" s="409"/>
      <c r="L3" s="44"/>
      <c r="M3" s="44" t="s">
        <v>40</v>
      </c>
      <c r="N3" s="44"/>
    </row>
    <row r="4" spans="1:42" ht="15">
      <c r="A4" s="1978" t="s">
        <v>197</v>
      </c>
      <c r="B4" s="1979"/>
      <c r="C4" s="1979"/>
      <c r="D4" s="1979"/>
      <c r="E4" s="1979"/>
      <c r="F4" s="1979"/>
      <c r="G4" s="1979"/>
      <c r="H4" s="1979"/>
      <c r="I4" s="1979"/>
      <c r="J4" s="1979"/>
      <c r="K4" s="1979"/>
      <c r="L4" s="1979"/>
      <c r="M4" s="1979"/>
      <c r="N4" s="1979"/>
      <c r="O4" s="1979"/>
      <c r="P4" s="1979"/>
    </row>
    <row r="5" spans="1:42" ht="12" thickBot="1">
      <c r="A5" s="410"/>
      <c r="B5" s="410"/>
      <c r="C5" s="410"/>
      <c r="D5" s="410"/>
      <c r="E5" s="410"/>
      <c r="F5" s="410"/>
      <c r="G5" s="410"/>
      <c r="H5" s="410"/>
      <c r="I5" s="410"/>
      <c r="J5" s="410"/>
      <c r="K5" s="411"/>
      <c r="L5" s="410"/>
      <c r="M5" s="410"/>
      <c r="N5" s="410"/>
    </row>
    <row r="6" spans="1:42" ht="24.95" customHeight="1">
      <c r="A6" s="1953" t="s">
        <v>43</v>
      </c>
      <c r="B6" s="1984"/>
      <c r="C6" s="1966" t="s">
        <v>360</v>
      </c>
      <c r="D6" s="1966" t="s">
        <v>116</v>
      </c>
      <c r="E6" s="1966" t="s">
        <v>116</v>
      </c>
      <c r="F6" s="1966" t="s">
        <v>116</v>
      </c>
      <c r="G6" s="1966" t="s">
        <v>116</v>
      </c>
      <c r="H6" s="1967" t="s">
        <v>116</v>
      </c>
      <c r="I6" s="207" t="s">
        <v>0</v>
      </c>
      <c r="J6" s="207" t="s">
        <v>1</v>
      </c>
      <c r="K6" s="1962" t="s">
        <v>218</v>
      </c>
      <c r="L6" s="1982"/>
      <c r="M6" s="1982"/>
      <c r="N6" s="1982"/>
      <c r="O6" s="1982"/>
      <c r="P6" s="1983"/>
    </row>
    <row r="7" spans="1:42" ht="12" customHeight="1">
      <c r="A7" s="1985"/>
      <c r="B7" s="1986"/>
      <c r="C7" s="1980"/>
      <c r="D7" s="1980"/>
      <c r="E7" s="1980"/>
      <c r="F7" s="1980"/>
      <c r="G7" s="1980"/>
      <c r="H7" s="1981"/>
      <c r="I7" s="19" t="s">
        <v>3</v>
      </c>
      <c r="J7" s="19" t="s">
        <v>4</v>
      </c>
      <c r="K7" s="412"/>
      <c r="L7" s="413"/>
      <c r="M7" s="414"/>
      <c r="N7" s="1971" t="s">
        <v>300</v>
      </c>
      <c r="O7" s="1972"/>
      <c r="P7" s="1976"/>
    </row>
    <row r="8" spans="1:42" ht="12" customHeight="1">
      <c r="A8" s="1985"/>
      <c r="B8" s="1986"/>
      <c r="C8" s="599"/>
      <c r="D8" s="19"/>
      <c r="E8" s="19"/>
      <c r="F8" s="1971" t="s">
        <v>298</v>
      </c>
      <c r="G8" s="1972"/>
      <c r="H8" s="1973"/>
      <c r="I8" s="19" t="s">
        <v>8</v>
      </c>
      <c r="J8" s="19" t="s">
        <v>8</v>
      </c>
      <c r="K8" s="15"/>
      <c r="L8" s="415"/>
      <c r="M8" s="19"/>
      <c r="N8" s="1974"/>
      <c r="O8" s="1975"/>
      <c r="P8" s="1977"/>
      <c r="T8" s="63"/>
      <c r="U8" s="40"/>
      <c r="V8" s="41"/>
      <c r="W8" s="41"/>
      <c r="X8" s="41"/>
      <c r="Y8" s="41"/>
      <c r="Z8" s="41"/>
      <c r="AA8" s="41"/>
      <c r="AB8" s="42"/>
      <c r="AC8" s="42"/>
      <c r="AD8" s="43"/>
      <c r="AE8" s="41"/>
      <c r="AF8" s="41"/>
      <c r="AG8" s="41"/>
      <c r="AH8" s="41"/>
      <c r="AI8" s="41"/>
      <c r="AJ8" s="41"/>
      <c r="AK8" s="41"/>
      <c r="AL8" s="41"/>
      <c r="AM8" s="42"/>
      <c r="AN8" s="41"/>
      <c r="AO8" s="41"/>
      <c r="AP8" s="64" t="s">
        <v>111</v>
      </c>
    </row>
    <row r="9" spans="1:42" ht="12" customHeight="1">
      <c r="A9" s="1985"/>
      <c r="B9" s="1986"/>
      <c r="C9" s="600"/>
      <c r="D9" s="208"/>
      <c r="E9" s="208"/>
      <c r="F9" s="1974"/>
      <c r="G9" s="1975"/>
      <c r="H9" s="1958"/>
      <c r="I9" s="19" t="s">
        <v>20</v>
      </c>
      <c r="J9" s="19" t="s">
        <v>20</v>
      </c>
      <c r="K9" s="263"/>
      <c r="L9" s="418"/>
      <c r="M9" s="208"/>
      <c r="N9" s="498"/>
      <c r="O9" s="444"/>
      <c r="P9" s="504"/>
    </row>
    <row r="10" spans="1:42" ht="12" customHeight="1">
      <c r="A10" s="1985"/>
      <c r="B10" s="1986"/>
      <c r="C10" s="599" t="s">
        <v>19</v>
      </c>
      <c r="D10" s="19" t="s">
        <v>17</v>
      </c>
      <c r="E10" s="19" t="s">
        <v>18</v>
      </c>
      <c r="F10" s="420"/>
      <c r="G10" s="421"/>
      <c r="H10" s="421"/>
      <c r="I10" s="19" t="s">
        <v>33</v>
      </c>
      <c r="J10" s="19" t="s">
        <v>33</v>
      </c>
      <c r="K10" s="422" t="s">
        <v>19</v>
      </c>
      <c r="L10" s="15" t="s">
        <v>17</v>
      </c>
      <c r="M10" s="19" t="s">
        <v>18</v>
      </c>
      <c r="N10" s="20" t="s">
        <v>19</v>
      </c>
      <c r="O10" s="424" t="s">
        <v>17</v>
      </c>
      <c r="P10" s="503" t="s">
        <v>18</v>
      </c>
    </row>
    <row r="11" spans="1:42" ht="12" customHeight="1">
      <c r="A11" s="1985"/>
      <c r="B11" s="1986"/>
      <c r="C11" s="599" t="s">
        <v>29</v>
      </c>
      <c r="D11" s="19" t="s">
        <v>28</v>
      </c>
      <c r="E11" s="19" t="s">
        <v>28</v>
      </c>
      <c r="F11" s="15" t="s">
        <v>30</v>
      </c>
      <c r="G11" s="424" t="s">
        <v>31</v>
      </c>
      <c r="H11" s="424" t="s">
        <v>32</v>
      </c>
      <c r="I11" s="19" t="s">
        <v>39</v>
      </c>
      <c r="J11" s="19" t="s">
        <v>39</v>
      </c>
      <c r="K11" s="422" t="s">
        <v>29</v>
      </c>
      <c r="L11" s="15" t="s">
        <v>28</v>
      </c>
      <c r="M11" s="19" t="s">
        <v>34</v>
      </c>
      <c r="N11" s="20" t="s">
        <v>29</v>
      </c>
      <c r="O11" s="424" t="s">
        <v>28</v>
      </c>
      <c r="P11" s="503" t="s">
        <v>34</v>
      </c>
    </row>
    <row r="12" spans="1:42" ht="11.1" customHeight="1">
      <c r="A12" s="1987"/>
      <c r="B12" s="1988"/>
      <c r="C12" s="600"/>
      <c r="D12" s="425"/>
      <c r="E12" s="425"/>
      <c r="F12" s="427"/>
      <c r="G12" s="427"/>
      <c r="H12" s="427"/>
      <c r="I12" s="208"/>
      <c r="J12" s="425"/>
      <c r="K12" s="263"/>
      <c r="L12" s="418"/>
      <c r="M12" s="208"/>
      <c r="N12" s="417"/>
      <c r="O12" s="427"/>
      <c r="P12" s="518"/>
    </row>
    <row r="13" spans="1:42" ht="15" customHeight="1">
      <c r="A13" s="592" t="s">
        <v>58</v>
      </c>
      <c r="B13" s="595"/>
      <c r="C13" s="1078">
        <v>111</v>
      </c>
      <c r="D13" s="1076">
        <v>111</v>
      </c>
      <c r="E13" s="1077">
        <v>0</v>
      </c>
      <c r="F13" s="1076">
        <v>39</v>
      </c>
      <c r="G13" s="1076">
        <v>45</v>
      </c>
      <c r="H13" s="1077">
        <v>27</v>
      </c>
      <c r="I13" s="1067">
        <v>45</v>
      </c>
      <c r="J13" s="1067">
        <v>9</v>
      </c>
      <c r="K13" s="1080">
        <v>24</v>
      </c>
      <c r="L13" s="1076">
        <v>24</v>
      </c>
      <c r="M13" s="1077">
        <v>0</v>
      </c>
      <c r="N13" s="1080">
        <v>24</v>
      </c>
      <c r="O13" s="1076">
        <v>24</v>
      </c>
      <c r="P13" s="1084">
        <v>0</v>
      </c>
    </row>
    <row r="14" spans="1:42" ht="15" customHeight="1">
      <c r="A14" s="592" t="s">
        <v>49</v>
      </c>
      <c r="B14" s="595"/>
      <c r="C14" s="1069">
        <v>0</v>
      </c>
      <c r="D14" s="5">
        <v>0</v>
      </c>
      <c r="E14" s="396">
        <v>0</v>
      </c>
      <c r="F14" s="5">
        <v>0</v>
      </c>
      <c r="G14" s="5">
        <v>0</v>
      </c>
      <c r="H14" s="396">
        <v>0</v>
      </c>
      <c r="I14" s="396">
        <v>0</v>
      </c>
      <c r="J14" s="396">
        <v>0</v>
      </c>
      <c r="K14" s="1081">
        <v>0</v>
      </c>
      <c r="L14" s="5">
        <v>0</v>
      </c>
      <c r="M14" s="396">
        <v>0</v>
      </c>
      <c r="N14" s="1081">
        <v>0</v>
      </c>
      <c r="O14" s="5">
        <v>0</v>
      </c>
      <c r="P14" s="1038">
        <v>0</v>
      </c>
    </row>
    <row r="15" spans="1:42" ht="15" customHeight="1">
      <c r="A15" s="592" t="s">
        <v>52</v>
      </c>
      <c r="B15" s="595"/>
      <c r="C15" s="1069">
        <v>204</v>
      </c>
      <c r="D15" s="5">
        <v>201</v>
      </c>
      <c r="E15" s="396">
        <v>3</v>
      </c>
      <c r="F15" s="5">
        <v>51</v>
      </c>
      <c r="G15" s="5">
        <v>78</v>
      </c>
      <c r="H15" s="396">
        <v>78</v>
      </c>
      <c r="I15" s="396">
        <v>78</v>
      </c>
      <c r="J15" s="396">
        <v>18</v>
      </c>
      <c r="K15" s="1081">
        <v>66</v>
      </c>
      <c r="L15" s="5">
        <v>66</v>
      </c>
      <c r="M15" s="396">
        <v>0</v>
      </c>
      <c r="N15" s="1081">
        <v>60</v>
      </c>
      <c r="O15" s="5">
        <v>60</v>
      </c>
      <c r="P15" s="1038">
        <v>0</v>
      </c>
    </row>
    <row r="16" spans="1:42" ht="15" customHeight="1">
      <c r="A16" s="592" t="s">
        <v>48</v>
      </c>
      <c r="B16" s="596"/>
      <c r="C16" s="1069">
        <v>0</v>
      </c>
      <c r="D16" s="5">
        <v>0</v>
      </c>
      <c r="E16" s="396">
        <v>0</v>
      </c>
      <c r="F16" s="5">
        <v>0</v>
      </c>
      <c r="G16" s="5">
        <v>0</v>
      </c>
      <c r="H16" s="396">
        <v>0</v>
      </c>
      <c r="I16" s="396">
        <v>0</v>
      </c>
      <c r="J16" s="396">
        <v>0</v>
      </c>
      <c r="K16" s="1081">
        <v>0</v>
      </c>
      <c r="L16" s="5">
        <v>0</v>
      </c>
      <c r="M16" s="396">
        <v>0</v>
      </c>
      <c r="N16" s="1081">
        <v>0</v>
      </c>
      <c r="O16" s="5">
        <v>0</v>
      </c>
      <c r="P16" s="1038">
        <v>0</v>
      </c>
    </row>
    <row r="17" spans="1:16" ht="15" customHeight="1">
      <c r="A17" s="592" t="s">
        <v>53</v>
      </c>
      <c r="B17" s="596"/>
      <c r="C17" s="1069">
        <v>108</v>
      </c>
      <c r="D17" s="5">
        <v>108</v>
      </c>
      <c r="E17" s="396">
        <v>0</v>
      </c>
      <c r="F17" s="5">
        <v>42</v>
      </c>
      <c r="G17" s="5">
        <v>33</v>
      </c>
      <c r="H17" s="396">
        <v>33</v>
      </c>
      <c r="I17" s="396">
        <v>48</v>
      </c>
      <c r="J17" s="396">
        <v>6</v>
      </c>
      <c r="K17" s="1081">
        <v>48</v>
      </c>
      <c r="L17" s="5">
        <v>48</v>
      </c>
      <c r="M17" s="396">
        <v>0</v>
      </c>
      <c r="N17" s="1081">
        <v>45</v>
      </c>
      <c r="O17" s="5">
        <v>45</v>
      </c>
      <c r="P17" s="1038">
        <v>0</v>
      </c>
    </row>
    <row r="18" spans="1:16" ht="15" customHeight="1">
      <c r="A18" s="592" t="s">
        <v>50</v>
      </c>
      <c r="B18" s="595"/>
      <c r="C18" s="1069">
        <v>21</v>
      </c>
      <c r="D18" s="5">
        <v>21</v>
      </c>
      <c r="E18" s="396">
        <v>0</v>
      </c>
      <c r="F18" s="5">
        <v>0</v>
      </c>
      <c r="G18" s="5">
        <v>9</v>
      </c>
      <c r="H18" s="396">
        <v>12</v>
      </c>
      <c r="I18" s="396">
        <v>3</v>
      </c>
      <c r="J18" s="396">
        <v>0</v>
      </c>
      <c r="K18" s="1081">
        <v>3</v>
      </c>
      <c r="L18" s="5">
        <v>3</v>
      </c>
      <c r="M18" s="396">
        <v>0</v>
      </c>
      <c r="N18" s="1081">
        <v>3</v>
      </c>
      <c r="O18" s="5">
        <v>3</v>
      </c>
      <c r="P18" s="1038">
        <v>0</v>
      </c>
    </row>
    <row r="19" spans="1:16" ht="15" customHeight="1">
      <c r="A19" s="592" t="s">
        <v>54</v>
      </c>
      <c r="B19" s="595"/>
      <c r="C19" s="1069">
        <v>24</v>
      </c>
      <c r="D19" s="5">
        <v>24</v>
      </c>
      <c r="E19" s="396">
        <v>0</v>
      </c>
      <c r="F19" s="5">
        <v>12</v>
      </c>
      <c r="G19" s="5">
        <v>3</v>
      </c>
      <c r="H19" s="396">
        <v>9</v>
      </c>
      <c r="I19" s="396">
        <v>12</v>
      </c>
      <c r="J19" s="396">
        <v>3</v>
      </c>
      <c r="K19" s="1081">
        <v>6</v>
      </c>
      <c r="L19" s="5">
        <v>6</v>
      </c>
      <c r="M19" s="396">
        <v>0</v>
      </c>
      <c r="N19" s="1081">
        <v>3</v>
      </c>
      <c r="O19" s="5">
        <v>3</v>
      </c>
      <c r="P19" s="1038">
        <v>0</v>
      </c>
    </row>
    <row r="20" spans="1:16" ht="15" customHeight="1">
      <c r="A20" s="592" t="s">
        <v>44</v>
      </c>
      <c r="B20" s="595"/>
      <c r="C20" s="1069">
        <v>9</v>
      </c>
      <c r="D20" s="5">
        <v>9</v>
      </c>
      <c r="E20" s="396">
        <v>0</v>
      </c>
      <c r="F20" s="5">
        <v>0</v>
      </c>
      <c r="G20" s="5">
        <v>3</v>
      </c>
      <c r="H20" s="396">
        <v>6</v>
      </c>
      <c r="I20" s="396">
        <v>3</v>
      </c>
      <c r="J20" s="396">
        <v>0</v>
      </c>
      <c r="K20" s="1081">
        <v>3</v>
      </c>
      <c r="L20" s="5">
        <v>3</v>
      </c>
      <c r="M20" s="396">
        <v>0</v>
      </c>
      <c r="N20" s="1081">
        <v>3</v>
      </c>
      <c r="O20" s="5">
        <v>3</v>
      </c>
      <c r="P20" s="1038">
        <v>0</v>
      </c>
    </row>
    <row r="21" spans="1:16" ht="15" customHeight="1">
      <c r="A21" s="592" t="s">
        <v>45</v>
      </c>
      <c r="B21" s="595"/>
      <c r="C21" s="1069">
        <v>51</v>
      </c>
      <c r="D21" s="5">
        <v>48</v>
      </c>
      <c r="E21" s="396">
        <v>3</v>
      </c>
      <c r="F21" s="5">
        <v>3</v>
      </c>
      <c r="G21" s="5">
        <v>30</v>
      </c>
      <c r="H21" s="396">
        <v>21</v>
      </c>
      <c r="I21" s="396">
        <v>30</v>
      </c>
      <c r="J21" s="396">
        <v>0</v>
      </c>
      <c r="K21" s="1081">
        <v>27</v>
      </c>
      <c r="L21" s="5">
        <v>24</v>
      </c>
      <c r="M21" s="396">
        <v>0</v>
      </c>
      <c r="N21" s="1081">
        <v>24</v>
      </c>
      <c r="O21" s="5">
        <v>24</v>
      </c>
      <c r="P21" s="1038">
        <v>0</v>
      </c>
    </row>
    <row r="22" spans="1:16" ht="15" customHeight="1">
      <c r="A22" s="592" t="s">
        <v>55</v>
      </c>
      <c r="B22" s="597"/>
      <c r="C22" s="1069">
        <v>0</v>
      </c>
      <c r="D22" s="5">
        <v>0</v>
      </c>
      <c r="E22" s="396">
        <v>0</v>
      </c>
      <c r="F22" s="5">
        <v>0</v>
      </c>
      <c r="G22" s="5">
        <v>0</v>
      </c>
      <c r="H22" s="396">
        <v>0</v>
      </c>
      <c r="I22" s="396">
        <v>0</v>
      </c>
      <c r="J22" s="396">
        <v>0</v>
      </c>
      <c r="K22" s="1081">
        <v>0</v>
      </c>
      <c r="L22" s="5">
        <v>0</v>
      </c>
      <c r="M22" s="396">
        <v>0</v>
      </c>
      <c r="N22" s="1081">
        <v>0</v>
      </c>
      <c r="O22" s="5">
        <v>0</v>
      </c>
      <c r="P22" s="1038">
        <v>0</v>
      </c>
    </row>
    <row r="23" spans="1:16" ht="15" customHeight="1">
      <c r="A23" s="592" t="s">
        <v>46</v>
      </c>
      <c r="B23" s="595"/>
      <c r="C23" s="1070">
        <v>0</v>
      </c>
      <c r="D23" s="1063">
        <v>0</v>
      </c>
      <c r="E23" s="1064">
        <v>0</v>
      </c>
      <c r="F23" s="1063">
        <v>0</v>
      </c>
      <c r="G23" s="1063">
        <v>0</v>
      </c>
      <c r="H23" s="1064">
        <v>0</v>
      </c>
      <c r="I23" s="396">
        <v>0</v>
      </c>
      <c r="J23" s="396">
        <v>0</v>
      </c>
      <c r="K23" s="1082">
        <v>0</v>
      </c>
      <c r="L23" s="1063">
        <v>0</v>
      </c>
      <c r="M23" s="1064">
        <v>0</v>
      </c>
      <c r="N23" s="1082">
        <v>0</v>
      </c>
      <c r="O23" s="1063">
        <v>0</v>
      </c>
      <c r="P23" s="1036">
        <v>0</v>
      </c>
    </row>
    <row r="24" spans="1:16" ht="15" customHeight="1">
      <c r="A24" s="592" t="s">
        <v>47</v>
      </c>
      <c r="B24" s="595"/>
      <c r="C24" s="1069">
        <v>45</v>
      </c>
      <c r="D24" s="5">
        <v>45</v>
      </c>
      <c r="E24" s="396">
        <v>0</v>
      </c>
      <c r="F24" s="5">
        <v>9</v>
      </c>
      <c r="G24" s="5">
        <v>21</v>
      </c>
      <c r="H24" s="396">
        <v>15</v>
      </c>
      <c r="I24" s="258">
        <v>12</v>
      </c>
      <c r="J24" s="258">
        <v>6</v>
      </c>
      <c r="K24" s="1081">
        <v>6</v>
      </c>
      <c r="L24" s="5">
        <v>6</v>
      </c>
      <c r="M24" s="396">
        <v>0</v>
      </c>
      <c r="N24" s="1081">
        <v>6</v>
      </c>
      <c r="O24" s="5">
        <v>6</v>
      </c>
      <c r="P24" s="1038">
        <v>0</v>
      </c>
    </row>
    <row r="25" spans="1:16" ht="15" customHeight="1">
      <c r="A25" s="592" t="s">
        <v>51</v>
      </c>
      <c r="B25" s="595"/>
      <c r="C25" s="1069">
        <v>42</v>
      </c>
      <c r="D25" s="5">
        <v>42</v>
      </c>
      <c r="E25" s="396">
        <v>0</v>
      </c>
      <c r="F25" s="5">
        <v>15</v>
      </c>
      <c r="G25" s="5">
        <v>12</v>
      </c>
      <c r="H25" s="396">
        <v>15</v>
      </c>
      <c r="I25" s="396">
        <v>21</v>
      </c>
      <c r="J25" s="396">
        <v>6</v>
      </c>
      <c r="K25" s="1081">
        <v>9</v>
      </c>
      <c r="L25" s="5">
        <v>9</v>
      </c>
      <c r="M25" s="396">
        <v>0</v>
      </c>
      <c r="N25" s="1081">
        <v>9</v>
      </c>
      <c r="O25" s="5">
        <v>9</v>
      </c>
      <c r="P25" s="1038">
        <v>0</v>
      </c>
    </row>
    <row r="26" spans="1:16" ht="15" customHeight="1">
      <c r="A26" s="592" t="s">
        <v>56</v>
      </c>
      <c r="B26" s="595"/>
      <c r="C26" s="1069">
        <v>30</v>
      </c>
      <c r="D26" s="5">
        <v>30</v>
      </c>
      <c r="E26" s="396">
        <v>0</v>
      </c>
      <c r="F26" s="5">
        <v>9</v>
      </c>
      <c r="G26" s="5">
        <v>15</v>
      </c>
      <c r="H26" s="396">
        <v>9</v>
      </c>
      <c r="I26" s="396">
        <v>12</v>
      </c>
      <c r="J26" s="396">
        <v>3</v>
      </c>
      <c r="K26" s="1081">
        <v>3</v>
      </c>
      <c r="L26" s="5">
        <v>3</v>
      </c>
      <c r="M26" s="396">
        <v>0</v>
      </c>
      <c r="N26" s="1081">
        <v>3</v>
      </c>
      <c r="O26" s="5">
        <v>3</v>
      </c>
      <c r="P26" s="1038">
        <v>0</v>
      </c>
    </row>
    <row r="27" spans="1:16" s="70" customFormat="1" ht="15" customHeight="1">
      <c r="A27" s="592" t="s">
        <v>57</v>
      </c>
      <c r="B27" s="597"/>
      <c r="C27" s="1069">
        <v>48</v>
      </c>
      <c r="D27" s="5">
        <v>45</v>
      </c>
      <c r="E27" s="396">
        <v>0</v>
      </c>
      <c r="F27" s="5">
        <v>18</v>
      </c>
      <c r="G27" s="5">
        <v>21</v>
      </c>
      <c r="H27" s="396">
        <v>9</v>
      </c>
      <c r="I27" s="396">
        <v>18</v>
      </c>
      <c r="J27" s="396">
        <v>6</v>
      </c>
      <c r="K27" s="1081">
        <v>6</v>
      </c>
      <c r="L27" s="5">
        <v>6</v>
      </c>
      <c r="M27" s="396">
        <v>0</v>
      </c>
      <c r="N27" s="1081">
        <v>6</v>
      </c>
      <c r="O27" s="5">
        <v>6</v>
      </c>
      <c r="P27" s="1038">
        <v>0</v>
      </c>
    </row>
    <row r="28" spans="1:16" s="7" customFormat="1" ht="15" customHeight="1">
      <c r="A28" s="592" t="s">
        <v>59</v>
      </c>
      <c r="B28" s="597"/>
      <c r="C28" s="1069">
        <v>12</v>
      </c>
      <c r="D28" s="5">
        <v>12</v>
      </c>
      <c r="E28" s="396">
        <v>0</v>
      </c>
      <c r="F28" s="5">
        <v>6</v>
      </c>
      <c r="G28" s="5">
        <v>3</v>
      </c>
      <c r="H28" s="396">
        <v>6</v>
      </c>
      <c r="I28" s="1037">
        <v>6</v>
      </c>
      <c r="J28" s="1037">
        <v>0</v>
      </c>
      <c r="K28" s="1081">
        <v>3</v>
      </c>
      <c r="L28" s="5">
        <v>3</v>
      </c>
      <c r="M28" s="396">
        <v>0</v>
      </c>
      <c r="N28" s="1081">
        <v>3</v>
      </c>
      <c r="O28" s="5">
        <v>3</v>
      </c>
      <c r="P28" s="1038">
        <v>0</v>
      </c>
    </row>
    <row r="29" spans="1:16" s="7" customFormat="1" ht="4.5" customHeight="1">
      <c r="A29" s="329"/>
      <c r="B29" s="596"/>
      <c r="C29" s="408"/>
      <c r="D29" s="406"/>
      <c r="E29" s="407"/>
      <c r="F29" s="406"/>
      <c r="G29" s="406"/>
      <c r="H29" s="407"/>
      <c r="I29" s="1079"/>
      <c r="J29" s="1079"/>
      <c r="K29" s="1083"/>
      <c r="L29" s="406"/>
      <c r="M29" s="407"/>
      <c r="N29" s="1083"/>
      <c r="O29" s="406"/>
      <c r="P29" s="1085"/>
    </row>
    <row r="30" spans="1:16" s="70" customFormat="1" ht="21" customHeight="1" thickBot="1">
      <c r="A30" s="593" t="s">
        <v>60</v>
      </c>
      <c r="B30" s="598"/>
      <c r="C30" s="1068">
        <v>705</v>
      </c>
      <c r="D30" s="580">
        <v>696</v>
      </c>
      <c r="E30" s="1065">
        <v>12</v>
      </c>
      <c r="F30" s="580">
        <v>201</v>
      </c>
      <c r="G30" s="580">
        <v>267</v>
      </c>
      <c r="H30" s="1065">
        <v>237</v>
      </c>
      <c r="I30" s="1066">
        <v>291</v>
      </c>
      <c r="J30" s="1066">
        <v>60</v>
      </c>
      <c r="K30" s="580">
        <v>207</v>
      </c>
      <c r="L30" s="580">
        <v>207</v>
      </c>
      <c r="M30" s="1065">
        <v>0</v>
      </c>
      <c r="N30" s="580">
        <v>192</v>
      </c>
      <c r="O30" s="580">
        <v>192</v>
      </c>
      <c r="P30" s="1039">
        <v>0</v>
      </c>
    </row>
    <row r="31" spans="1:16" s="334" customFormat="1" ht="3.6" customHeight="1"/>
    <row r="32" spans="1:16" s="82" customFormat="1" ht="11.1" customHeight="1">
      <c r="A32" s="70" t="s">
        <v>299</v>
      </c>
      <c r="B32" s="70"/>
      <c r="C32" s="71"/>
      <c r="D32" s="71"/>
      <c r="E32" s="71"/>
      <c r="F32" s="71"/>
      <c r="G32" s="71"/>
      <c r="H32" s="71"/>
      <c r="I32" s="71"/>
      <c r="J32" s="71"/>
      <c r="K32" s="71"/>
      <c r="L32" s="71"/>
      <c r="M32" s="71"/>
      <c r="N32" s="71"/>
    </row>
    <row r="35" spans="1:16" ht="12" thickBot="1">
      <c r="A35" s="593" t="s">
        <v>60</v>
      </c>
      <c r="B35" s="598"/>
      <c r="C35" s="1068">
        <v>705</v>
      </c>
      <c r="D35" s="580">
        <v>696</v>
      </c>
      <c r="E35" s="1065">
        <v>6</v>
      </c>
      <c r="F35" s="580">
        <v>204</v>
      </c>
      <c r="G35" s="580">
        <v>273</v>
      </c>
      <c r="H35" s="1065">
        <v>240</v>
      </c>
      <c r="I35" s="580">
        <v>288</v>
      </c>
      <c r="J35" s="1066">
        <v>57</v>
      </c>
      <c r="K35" s="1068">
        <v>204</v>
      </c>
      <c r="L35" s="580">
        <v>201</v>
      </c>
      <c r="M35" s="1065">
        <v>0</v>
      </c>
      <c r="N35" s="1068">
        <v>189</v>
      </c>
      <c r="O35" s="580">
        <v>189</v>
      </c>
      <c r="P35" s="1039">
        <v>0</v>
      </c>
    </row>
    <row r="36" spans="1:16" ht="12" thickBot="1">
      <c r="A36" s="593" t="s">
        <v>386</v>
      </c>
      <c r="B36" s="598"/>
      <c r="C36" s="1303">
        <f>C30-C35</f>
        <v>0</v>
      </c>
      <c r="D36" s="1304">
        <f t="shared" ref="D36:P36" si="0">D30-D35</f>
        <v>0</v>
      </c>
      <c r="E36" s="1294">
        <f t="shared" si="0"/>
        <v>6</v>
      </c>
      <c r="F36" s="1295">
        <f t="shared" si="0"/>
        <v>-3</v>
      </c>
      <c r="G36" s="1295">
        <f t="shared" si="0"/>
        <v>-6</v>
      </c>
      <c r="H36" s="1296">
        <f t="shared" si="0"/>
        <v>-3</v>
      </c>
      <c r="I36" s="1293">
        <f t="shared" si="0"/>
        <v>3</v>
      </c>
      <c r="J36" s="1334">
        <f t="shared" si="0"/>
        <v>3</v>
      </c>
      <c r="K36" s="1292">
        <f t="shared" si="0"/>
        <v>3</v>
      </c>
      <c r="L36" s="1293">
        <f t="shared" si="0"/>
        <v>6</v>
      </c>
      <c r="M36" s="1302">
        <f t="shared" si="0"/>
        <v>0</v>
      </c>
      <c r="N36" s="1292">
        <f t="shared" si="0"/>
        <v>3</v>
      </c>
      <c r="O36" s="1293">
        <f t="shared" si="0"/>
        <v>3</v>
      </c>
      <c r="P36" s="1342">
        <f t="shared" si="0"/>
        <v>0</v>
      </c>
    </row>
  </sheetData>
  <mergeCells count="6">
    <mergeCell ref="A4:P4"/>
    <mergeCell ref="C6:H7"/>
    <mergeCell ref="K6:P6"/>
    <mergeCell ref="A6:B12"/>
    <mergeCell ref="F8:H9"/>
    <mergeCell ref="N7:P8"/>
  </mergeCells>
  <printOptions horizontalCentered="1"/>
  <pageMargins left="0.39370078740157483" right="0.19685039370078741" top="0.98425196850393704" bottom="0.43307086614173229" header="0.51181102362204722" footer="0.23622047244094491"/>
  <pageSetup paperSize="9" orientation="landscape" r:id="rId1"/>
  <headerFooter alignWithMargins="0">
    <oddHeader>&amp;C&amp;"Arial,Standard"&amp;8- 2 - &amp;R&amp;8&amp;D</oddHeader>
    <oddFooter>&amp;R
&amp;12...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T43"/>
  <sheetViews>
    <sheetView zoomScaleNormal="100" workbookViewId="0"/>
  </sheetViews>
  <sheetFormatPr baseColWidth="10" defaultColWidth="11.42578125" defaultRowHeight="16.5"/>
  <cols>
    <col min="1" max="1" width="19.85546875" style="1566" customWidth="1"/>
    <col min="2" max="2" width="8.42578125" style="1566" customWidth="1"/>
    <col min="3" max="3" width="9.42578125" style="1566" customWidth="1"/>
    <col min="4" max="4" width="14.5703125" style="1566" customWidth="1"/>
    <col min="5" max="5" width="14" style="1566" customWidth="1"/>
    <col min="6" max="8" width="13.42578125" style="1566" customWidth="1"/>
    <col min="9" max="10" width="17" style="1566" customWidth="1"/>
    <col min="11" max="16384" width="11.42578125" style="1566"/>
  </cols>
  <sheetData>
    <row r="1" spans="1:20" ht="18">
      <c r="A1" s="1599" t="s">
        <v>424</v>
      </c>
      <c r="B1" s="1599"/>
      <c r="C1" s="1423"/>
      <c r="D1" s="1423"/>
      <c r="E1" s="1423"/>
      <c r="F1" s="1423"/>
      <c r="G1" s="1423"/>
      <c r="H1" s="1423"/>
      <c r="I1" s="1423"/>
      <c r="J1" s="1423"/>
    </row>
    <row r="2" spans="1:20" ht="18">
      <c r="A2" s="1600" t="s">
        <v>153</v>
      </c>
      <c r="B2" s="1600"/>
      <c r="C2" s="1600"/>
      <c r="D2" s="1600"/>
      <c r="E2" s="1600"/>
      <c r="F2" s="1600"/>
      <c r="G2" s="1600"/>
      <c r="H2" s="1600"/>
      <c r="I2" s="1600"/>
      <c r="J2" s="1600"/>
      <c r="K2" s="1602"/>
    </row>
    <row r="3" spans="1:20" ht="18">
      <c r="A3" s="1600" t="s">
        <v>559</v>
      </c>
      <c r="B3" s="1600"/>
      <c r="C3" s="1423"/>
      <c r="D3" s="1423"/>
      <c r="E3" s="1423"/>
      <c r="F3" s="1423"/>
      <c r="G3" s="1423"/>
      <c r="H3" s="1423"/>
      <c r="I3" s="1423"/>
      <c r="J3" s="1423"/>
    </row>
    <row r="4" spans="1:20" ht="66">
      <c r="A4" s="1708" t="s">
        <v>43</v>
      </c>
      <c r="B4" s="1409" t="s">
        <v>475</v>
      </c>
      <c r="C4" s="1706" t="s">
        <v>94</v>
      </c>
      <c r="D4" s="1708" t="s">
        <v>416</v>
      </c>
      <c r="E4" s="1420" t="s">
        <v>417</v>
      </c>
      <c r="F4" s="1419" t="s">
        <v>419</v>
      </c>
      <c r="G4" s="1419" t="s">
        <v>420</v>
      </c>
      <c r="H4" s="1419" t="s">
        <v>421</v>
      </c>
      <c r="I4" s="1419" t="s">
        <v>414</v>
      </c>
      <c r="J4" s="1418" t="s">
        <v>415</v>
      </c>
    </row>
    <row r="5" spans="1:20" ht="18">
      <c r="A5" s="1434" t="s">
        <v>437</v>
      </c>
      <c r="B5" s="1492"/>
      <c r="C5" s="1394">
        <v>0</v>
      </c>
      <c r="D5" s="1395">
        <v>0</v>
      </c>
      <c r="E5" s="1396">
        <v>0</v>
      </c>
      <c r="F5" s="1395">
        <v>0</v>
      </c>
      <c r="G5" s="1395">
        <v>0</v>
      </c>
      <c r="H5" s="1396">
        <v>0</v>
      </c>
      <c r="I5" s="1570">
        <v>0</v>
      </c>
      <c r="J5" s="1395">
        <v>0</v>
      </c>
      <c r="M5" s="1788"/>
      <c r="N5" s="1788"/>
      <c r="O5" s="1788"/>
      <c r="P5" s="1788"/>
      <c r="Q5" s="1788"/>
      <c r="R5" s="1788"/>
      <c r="S5" s="1788"/>
      <c r="T5" s="1788"/>
    </row>
    <row r="6" spans="1:20" ht="18">
      <c r="A6" s="1434" t="s">
        <v>438</v>
      </c>
      <c r="B6" s="1492"/>
      <c r="C6" s="1394">
        <v>0</v>
      </c>
      <c r="D6" s="1395">
        <v>0</v>
      </c>
      <c r="E6" s="1396">
        <v>0</v>
      </c>
      <c r="F6" s="1395">
        <v>0</v>
      </c>
      <c r="G6" s="1395">
        <v>0</v>
      </c>
      <c r="H6" s="1396">
        <v>0</v>
      </c>
      <c r="I6" s="1397">
        <v>0</v>
      </c>
      <c r="J6" s="1395">
        <v>0</v>
      </c>
      <c r="M6" s="1788"/>
      <c r="N6" s="1788"/>
      <c r="O6" s="1788"/>
      <c r="P6" s="1788"/>
      <c r="Q6" s="1788"/>
      <c r="R6" s="1788"/>
      <c r="S6" s="1788"/>
      <c r="T6" s="1788"/>
    </row>
    <row r="7" spans="1:20" ht="18">
      <c r="A7" s="1434" t="s">
        <v>439</v>
      </c>
      <c r="B7" s="1492"/>
      <c r="C7" s="1394">
        <v>0</v>
      </c>
      <c r="D7" s="1395">
        <v>0</v>
      </c>
      <c r="E7" s="1396">
        <v>0</v>
      </c>
      <c r="F7" s="1395">
        <v>0</v>
      </c>
      <c r="G7" s="1395">
        <v>0</v>
      </c>
      <c r="H7" s="1396">
        <v>0</v>
      </c>
      <c r="I7" s="1397">
        <v>0</v>
      </c>
      <c r="J7" s="1395">
        <v>0</v>
      </c>
      <c r="M7" s="1788"/>
      <c r="N7" s="1788"/>
      <c r="O7" s="1788"/>
      <c r="P7" s="1788"/>
      <c r="Q7" s="1788"/>
      <c r="R7" s="1788"/>
      <c r="S7" s="1788"/>
      <c r="T7" s="1788"/>
    </row>
    <row r="8" spans="1:20" ht="18">
      <c r="A8" s="1434" t="s">
        <v>440</v>
      </c>
      <c r="B8" s="1492"/>
      <c r="C8" s="1394">
        <v>0</v>
      </c>
      <c r="D8" s="1395">
        <v>0</v>
      </c>
      <c r="E8" s="1396">
        <v>0</v>
      </c>
      <c r="F8" s="1395">
        <v>0</v>
      </c>
      <c r="G8" s="1395">
        <v>0</v>
      </c>
      <c r="H8" s="1396">
        <v>0</v>
      </c>
      <c r="I8" s="1397">
        <v>0</v>
      </c>
      <c r="J8" s="1395">
        <v>0</v>
      </c>
      <c r="M8" s="1788"/>
      <c r="N8" s="1788"/>
      <c r="O8" s="1788"/>
      <c r="P8" s="1788"/>
      <c r="Q8" s="1788"/>
      <c r="R8" s="1788"/>
      <c r="S8" s="1788"/>
      <c r="T8" s="1788"/>
    </row>
    <row r="9" spans="1:20" ht="18">
      <c r="A9" s="1434" t="s">
        <v>441</v>
      </c>
      <c r="B9" s="1492"/>
      <c r="C9" s="1394">
        <v>0</v>
      </c>
      <c r="D9" s="1395">
        <v>0</v>
      </c>
      <c r="E9" s="1396">
        <v>0</v>
      </c>
      <c r="F9" s="1395">
        <v>0</v>
      </c>
      <c r="G9" s="1395">
        <v>0</v>
      </c>
      <c r="H9" s="1396">
        <v>0</v>
      </c>
      <c r="I9" s="1397">
        <v>0</v>
      </c>
      <c r="J9" s="1395">
        <v>0</v>
      </c>
      <c r="M9" s="1788"/>
      <c r="N9" s="1788"/>
      <c r="O9" s="1788"/>
      <c r="P9" s="1788"/>
      <c r="Q9" s="1788"/>
      <c r="R9" s="1788"/>
      <c r="S9" s="1788"/>
      <c r="T9" s="1788"/>
    </row>
    <row r="10" spans="1:20" ht="18">
      <c r="A10" s="1434" t="s">
        <v>442</v>
      </c>
      <c r="B10" s="1492"/>
      <c r="C10" s="1394">
        <v>48</v>
      </c>
      <c r="D10" s="1395">
        <v>36</v>
      </c>
      <c r="E10" s="1396">
        <v>15</v>
      </c>
      <c r="F10" s="1395">
        <v>15</v>
      </c>
      <c r="G10" s="1395">
        <v>15</v>
      </c>
      <c r="H10" s="1396">
        <v>21</v>
      </c>
      <c r="I10" s="1397">
        <v>21</v>
      </c>
      <c r="J10" s="1396">
        <v>9</v>
      </c>
      <c r="M10" s="1788"/>
      <c r="N10" s="1788"/>
      <c r="O10" s="1788"/>
      <c r="P10" s="1788"/>
      <c r="Q10" s="1788"/>
      <c r="R10" s="1788"/>
      <c r="S10" s="1788"/>
      <c r="T10" s="1788"/>
    </row>
    <row r="11" spans="1:20" ht="18">
      <c r="A11" s="1434" t="s">
        <v>466</v>
      </c>
      <c r="B11" s="1915">
        <v>1</v>
      </c>
      <c r="C11" s="1394">
        <f>387+3</f>
        <v>390</v>
      </c>
      <c r="D11" s="1395">
        <f>288+3</f>
        <v>291</v>
      </c>
      <c r="E11" s="1396">
        <v>99</v>
      </c>
      <c r="F11" s="1395">
        <v>129</v>
      </c>
      <c r="G11" s="1395">
        <f>120+3</f>
        <v>123</v>
      </c>
      <c r="H11" s="1396">
        <v>138</v>
      </c>
      <c r="I11" s="1397">
        <v>129</v>
      </c>
      <c r="J11" s="1395">
        <v>12</v>
      </c>
      <c r="M11" s="1788"/>
      <c r="N11" s="1788"/>
      <c r="O11" s="1788"/>
      <c r="P11" s="1788"/>
      <c r="Q11" s="1788"/>
      <c r="R11" s="1788"/>
      <c r="S11" s="1788"/>
      <c r="T11" s="1788"/>
    </row>
    <row r="12" spans="1:20" ht="18">
      <c r="A12" s="1434" t="s">
        <v>444</v>
      </c>
      <c r="B12" s="1492"/>
      <c r="C12" s="1394">
        <v>108</v>
      </c>
      <c r="D12" s="1395">
        <v>72</v>
      </c>
      <c r="E12" s="1396">
        <v>39</v>
      </c>
      <c r="F12" s="1395">
        <v>21</v>
      </c>
      <c r="G12" s="1395">
        <v>33</v>
      </c>
      <c r="H12" s="1396">
        <v>54</v>
      </c>
      <c r="I12" s="1397">
        <v>36</v>
      </c>
      <c r="J12" s="1395">
        <v>12</v>
      </c>
      <c r="M12" s="1788"/>
      <c r="N12" s="1788"/>
      <c r="O12" s="1788"/>
      <c r="P12" s="1788"/>
      <c r="Q12" s="1788"/>
      <c r="R12" s="1788"/>
      <c r="S12" s="1788"/>
      <c r="T12" s="1788"/>
    </row>
    <row r="13" spans="1:20" ht="18">
      <c r="A13" s="1434" t="s">
        <v>445</v>
      </c>
      <c r="B13" s="1492"/>
      <c r="C13" s="1394">
        <v>36</v>
      </c>
      <c r="D13" s="1395">
        <v>21</v>
      </c>
      <c r="E13" s="1396">
        <v>15</v>
      </c>
      <c r="F13" s="1395">
        <v>3</v>
      </c>
      <c r="G13" s="1395">
        <v>18</v>
      </c>
      <c r="H13" s="1396">
        <v>15</v>
      </c>
      <c r="I13" s="1397">
        <v>21</v>
      </c>
      <c r="J13" s="1395">
        <v>3</v>
      </c>
      <c r="M13" s="1788"/>
      <c r="N13" s="1788"/>
      <c r="O13" s="1788"/>
      <c r="P13" s="1788"/>
      <c r="Q13" s="1788"/>
      <c r="R13" s="1788"/>
      <c r="S13" s="1788"/>
      <c r="T13" s="1788"/>
    </row>
    <row r="14" spans="1:20" ht="18">
      <c r="A14" s="1434" t="s">
        <v>446</v>
      </c>
      <c r="B14" s="1492"/>
      <c r="C14" s="1394">
        <v>3</v>
      </c>
      <c r="D14" s="1395">
        <v>0</v>
      </c>
      <c r="E14" s="1396">
        <v>0</v>
      </c>
      <c r="F14" s="1395">
        <v>0</v>
      </c>
      <c r="G14" s="1395">
        <v>0</v>
      </c>
      <c r="H14" s="1396">
        <v>0</v>
      </c>
      <c r="I14" s="1397">
        <v>0</v>
      </c>
      <c r="J14" s="1395">
        <v>0</v>
      </c>
      <c r="M14" s="1788"/>
      <c r="N14" s="1788"/>
      <c r="O14" s="1788"/>
      <c r="P14" s="1788"/>
      <c r="Q14" s="1788"/>
      <c r="R14" s="1788"/>
      <c r="S14" s="1788"/>
      <c r="T14" s="1788"/>
    </row>
    <row r="15" spans="1:20" ht="18">
      <c r="A15" s="1434" t="s">
        <v>447</v>
      </c>
      <c r="B15" s="1492"/>
      <c r="C15" s="1394">
        <v>0</v>
      </c>
      <c r="D15" s="1395">
        <v>0</v>
      </c>
      <c r="E15" s="1396">
        <v>0</v>
      </c>
      <c r="F15" s="1395">
        <v>0</v>
      </c>
      <c r="G15" s="1395">
        <v>0</v>
      </c>
      <c r="H15" s="1396">
        <v>0</v>
      </c>
      <c r="I15" s="1397">
        <v>0</v>
      </c>
      <c r="J15" s="1395">
        <v>0</v>
      </c>
      <c r="M15" s="1788"/>
      <c r="N15" s="1788"/>
      <c r="O15" s="1788"/>
      <c r="P15" s="1788"/>
      <c r="Q15" s="1788"/>
      <c r="R15" s="1788"/>
      <c r="S15" s="1788"/>
      <c r="T15" s="1788"/>
    </row>
    <row r="16" spans="1:20" ht="18">
      <c r="A16" s="1434" t="s">
        <v>448</v>
      </c>
      <c r="B16" s="1492"/>
      <c r="C16" s="1394">
        <v>0</v>
      </c>
      <c r="D16" s="1395">
        <v>0</v>
      </c>
      <c r="E16" s="1396">
        <v>0</v>
      </c>
      <c r="F16" s="1395">
        <v>0</v>
      </c>
      <c r="G16" s="1395">
        <v>0</v>
      </c>
      <c r="H16" s="1396">
        <v>0</v>
      </c>
      <c r="I16" s="1397">
        <v>0</v>
      </c>
      <c r="J16" s="1395">
        <v>0</v>
      </c>
      <c r="M16" s="1788"/>
      <c r="N16" s="1788"/>
      <c r="O16" s="1788"/>
      <c r="P16" s="1788"/>
      <c r="Q16" s="1788"/>
      <c r="R16" s="1788"/>
      <c r="S16" s="1788"/>
      <c r="T16" s="1788"/>
    </row>
    <row r="17" spans="1:20" ht="18">
      <c r="A17" s="1434" t="s">
        <v>449</v>
      </c>
      <c r="B17" s="1492"/>
      <c r="C17" s="1394">
        <v>0</v>
      </c>
      <c r="D17" s="1395">
        <v>0</v>
      </c>
      <c r="E17" s="1396">
        <v>0</v>
      </c>
      <c r="F17" s="1395">
        <v>0</v>
      </c>
      <c r="G17" s="1395">
        <v>0</v>
      </c>
      <c r="H17" s="1396">
        <v>0</v>
      </c>
      <c r="I17" s="1397">
        <v>0</v>
      </c>
      <c r="J17" s="1395">
        <v>0</v>
      </c>
      <c r="M17" s="1788"/>
      <c r="N17" s="1788"/>
      <c r="O17" s="1788"/>
      <c r="P17" s="1788"/>
      <c r="Q17" s="1788"/>
      <c r="R17" s="1788"/>
      <c r="S17" s="1788"/>
      <c r="T17" s="1788"/>
    </row>
    <row r="18" spans="1:20" ht="18">
      <c r="A18" s="1434" t="s">
        <v>450</v>
      </c>
      <c r="B18" s="1492"/>
      <c r="C18" s="1394">
        <v>21</v>
      </c>
      <c r="D18" s="1395">
        <v>12</v>
      </c>
      <c r="E18" s="1396">
        <v>9</v>
      </c>
      <c r="F18" s="1395">
        <v>6</v>
      </c>
      <c r="G18" s="1395">
        <v>9</v>
      </c>
      <c r="H18" s="1396">
        <v>6</v>
      </c>
      <c r="I18" s="1397">
        <v>9</v>
      </c>
      <c r="J18" s="1395">
        <v>6</v>
      </c>
      <c r="M18" s="1788"/>
      <c r="N18" s="1788"/>
      <c r="O18" s="1788"/>
      <c r="P18" s="1788"/>
      <c r="Q18" s="1788"/>
      <c r="R18" s="1788"/>
      <c r="S18" s="1788"/>
      <c r="T18" s="1788"/>
    </row>
    <row r="19" spans="1:20" ht="18">
      <c r="A19" s="1434" t="s">
        <v>451</v>
      </c>
      <c r="B19" s="1492"/>
      <c r="C19" s="1394">
        <v>9</v>
      </c>
      <c r="D19" s="1395">
        <v>6</v>
      </c>
      <c r="E19" s="1396">
        <v>3</v>
      </c>
      <c r="F19" s="1395">
        <v>3</v>
      </c>
      <c r="G19" s="1395">
        <v>3</v>
      </c>
      <c r="H19" s="1396">
        <v>3</v>
      </c>
      <c r="I19" s="1397">
        <v>6</v>
      </c>
      <c r="J19" s="1395">
        <v>3</v>
      </c>
      <c r="M19" s="1788"/>
      <c r="N19" s="1788"/>
      <c r="O19" s="1788"/>
      <c r="P19" s="1788"/>
      <c r="Q19" s="1788"/>
      <c r="R19" s="1788"/>
      <c r="S19" s="1788"/>
      <c r="T19" s="1788"/>
    </row>
    <row r="20" spans="1:20" ht="18">
      <c r="A20" s="1434" t="s">
        <v>452</v>
      </c>
      <c r="B20" s="1492"/>
      <c r="C20" s="1394">
        <v>3</v>
      </c>
      <c r="D20" s="1395">
        <v>3</v>
      </c>
      <c r="E20" s="1396">
        <v>0</v>
      </c>
      <c r="F20" s="1395">
        <v>3</v>
      </c>
      <c r="G20" s="1395">
        <v>0</v>
      </c>
      <c r="H20" s="1396">
        <v>0</v>
      </c>
      <c r="I20" s="1769">
        <v>0</v>
      </c>
      <c r="J20" s="1395">
        <v>0</v>
      </c>
      <c r="M20" s="1788"/>
      <c r="N20" s="1788"/>
      <c r="O20" s="1788"/>
      <c r="P20" s="1788"/>
      <c r="Q20" s="1788"/>
      <c r="R20" s="1788"/>
      <c r="S20" s="1788"/>
      <c r="T20" s="1788"/>
    </row>
    <row r="21" spans="1:20">
      <c r="A21" s="1435" t="s">
        <v>418</v>
      </c>
      <c r="B21" s="1709"/>
      <c r="C21" s="1790">
        <v>624</v>
      </c>
      <c r="D21" s="1791">
        <v>444</v>
      </c>
      <c r="E21" s="1791">
        <v>180</v>
      </c>
      <c r="F21" s="1790">
        <v>180</v>
      </c>
      <c r="G21" s="1791">
        <v>201</v>
      </c>
      <c r="H21" s="1792">
        <v>240</v>
      </c>
      <c r="I21" s="1698">
        <v>219</v>
      </c>
      <c r="J21" s="1699">
        <v>45</v>
      </c>
      <c r="T21" s="1788"/>
    </row>
    <row r="22" spans="1:20" ht="18">
      <c r="A22" s="1601" t="s">
        <v>552</v>
      </c>
      <c r="B22" s="1601"/>
      <c r="C22" s="1412"/>
      <c r="D22" s="1412"/>
      <c r="E22" s="1412"/>
      <c r="F22" s="1412"/>
      <c r="G22" s="1412"/>
      <c r="H22" s="1412"/>
      <c r="I22" s="1411"/>
      <c r="J22" s="1411"/>
    </row>
    <row r="23" spans="1:20" ht="66">
      <c r="A23" s="1708" t="s">
        <v>43</v>
      </c>
      <c r="B23" s="1409" t="s">
        <v>475</v>
      </c>
      <c r="C23" s="1706" t="s">
        <v>94</v>
      </c>
      <c r="D23" s="1707" t="s">
        <v>92</v>
      </c>
      <c r="E23" s="1409" t="s">
        <v>93</v>
      </c>
      <c r="F23" s="1419" t="s">
        <v>474</v>
      </c>
      <c r="G23" s="1419" t="s">
        <v>422</v>
      </c>
      <c r="H23" s="1418" t="s">
        <v>423</v>
      </c>
      <c r="I23" s="1408"/>
      <c r="J23" s="1408"/>
    </row>
    <row r="24" spans="1:20" ht="18">
      <c r="A24" s="1434" t="s">
        <v>437</v>
      </c>
      <c r="B24" s="1563"/>
      <c r="C24" s="1394">
        <v>0</v>
      </c>
      <c r="D24" s="1395">
        <v>0</v>
      </c>
      <c r="E24" s="1396">
        <v>0</v>
      </c>
      <c r="F24" s="1394">
        <v>0</v>
      </c>
      <c r="G24" s="1395">
        <v>0</v>
      </c>
      <c r="H24" s="1395">
        <v>0</v>
      </c>
      <c r="I24" s="1402"/>
      <c r="J24" s="1772"/>
      <c r="K24" s="1395"/>
      <c r="L24" s="1395"/>
      <c r="M24" s="1772"/>
      <c r="N24" s="1395"/>
      <c r="O24" s="1395"/>
    </row>
    <row r="25" spans="1:20" ht="18">
      <c r="A25" s="1434" t="s">
        <v>438</v>
      </c>
      <c r="B25" s="1564"/>
      <c r="C25" s="1394">
        <v>0</v>
      </c>
      <c r="D25" s="1395">
        <v>0</v>
      </c>
      <c r="E25" s="1396">
        <v>0</v>
      </c>
      <c r="F25" s="1394">
        <v>0</v>
      </c>
      <c r="G25" s="1395">
        <v>0</v>
      </c>
      <c r="H25" s="1396">
        <v>0</v>
      </c>
      <c r="I25" s="1402"/>
      <c r="J25" s="1772"/>
      <c r="K25" s="1395"/>
      <c r="L25" s="1395"/>
      <c r="M25" s="1772"/>
      <c r="N25" s="1395"/>
      <c r="O25" s="1395"/>
    </row>
    <row r="26" spans="1:20" ht="18">
      <c r="A26" s="1434" t="s">
        <v>439</v>
      </c>
      <c r="B26" s="1564"/>
      <c r="C26" s="1394">
        <v>0</v>
      </c>
      <c r="D26" s="1395">
        <v>0</v>
      </c>
      <c r="E26" s="1396">
        <v>0</v>
      </c>
      <c r="F26" s="1394">
        <v>0</v>
      </c>
      <c r="G26" s="1395">
        <v>0</v>
      </c>
      <c r="H26" s="1395">
        <v>0</v>
      </c>
      <c r="I26" s="1402"/>
      <c r="J26" s="1772"/>
      <c r="K26" s="1395"/>
      <c r="L26" s="1395"/>
      <c r="M26" s="1772"/>
      <c r="N26" s="1395"/>
      <c r="O26" s="1395"/>
    </row>
    <row r="27" spans="1:20" ht="18">
      <c r="A27" s="1434" t="s">
        <v>440</v>
      </c>
      <c r="B27" s="1564"/>
      <c r="C27" s="1394">
        <v>0</v>
      </c>
      <c r="D27" s="1395">
        <v>0</v>
      </c>
      <c r="E27" s="1396">
        <v>0</v>
      </c>
      <c r="F27" s="1394">
        <v>0</v>
      </c>
      <c r="G27" s="1395">
        <v>0</v>
      </c>
      <c r="H27" s="1396">
        <v>0</v>
      </c>
      <c r="I27" s="1402"/>
      <c r="J27" s="1772"/>
      <c r="K27" s="1395"/>
      <c r="L27" s="1395"/>
      <c r="M27" s="1772"/>
      <c r="N27" s="1395"/>
      <c r="O27" s="1395"/>
    </row>
    <row r="28" spans="1:20" ht="18">
      <c r="A28" s="1434" t="s">
        <v>441</v>
      </c>
      <c r="B28" s="1564"/>
      <c r="C28" s="1394">
        <v>0</v>
      </c>
      <c r="D28" s="1395">
        <v>0</v>
      </c>
      <c r="E28" s="1396">
        <v>0</v>
      </c>
      <c r="F28" s="1394">
        <v>0</v>
      </c>
      <c r="G28" s="1395">
        <v>0</v>
      </c>
      <c r="H28" s="1395">
        <v>0</v>
      </c>
      <c r="I28" s="1402"/>
      <c r="J28" s="1772"/>
      <c r="K28" s="1395"/>
      <c r="L28" s="1395"/>
      <c r="M28" s="1772"/>
      <c r="N28" s="1395"/>
      <c r="O28" s="1395"/>
    </row>
    <row r="29" spans="1:20" ht="18">
      <c r="A29" s="1434" t="s">
        <v>442</v>
      </c>
      <c r="B29" s="1564"/>
      <c r="C29" s="1394">
        <v>18</v>
      </c>
      <c r="D29" s="1395">
        <v>12</v>
      </c>
      <c r="E29" s="1396">
        <v>6</v>
      </c>
      <c r="F29" s="1394">
        <v>12</v>
      </c>
      <c r="G29" s="1395">
        <v>9</v>
      </c>
      <c r="H29" s="1395">
        <v>3</v>
      </c>
      <c r="I29" s="1408"/>
      <c r="J29" s="1772"/>
      <c r="K29" s="1395"/>
      <c r="L29" s="1395"/>
      <c r="M29" s="1772"/>
      <c r="N29" s="1395"/>
      <c r="O29" s="1395"/>
    </row>
    <row r="30" spans="1:20" ht="18">
      <c r="A30" s="1434" t="s">
        <v>466</v>
      </c>
      <c r="B30" s="1701"/>
      <c r="C30" s="1394">
        <f>147+3</f>
        <v>150</v>
      </c>
      <c r="D30" s="1395">
        <f>99+3</f>
        <v>102</v>
      </c>
      <c r="E30" s="1396">
        <v>48</v>
      </c>
      <c r="F30" s="1394">
        <f>135+3</f>
        <v>138</v>
      </c>
      <c r="G30" s="1395">
        <f>90+3</f>
        <v>93</v>
      </c>
      <c r="H30" s="1395">
        <v>45</v>
      </c>
      <c r="I30" s="1402"/>
      <c r="J30" s="1772"/>
      <c r="K30" s="1395"/>
      <c r="L30" s="1395"/>
      <c r="M30" s="1772"/>
      <c r="N30" s="1395"/>
      <c r="O30" s="1395"/>
    </row>
    <row r="31" spans="1:20" ht="18">
      <c r="A31" s="1434" t="s">
        <v>444</v>
      </c>
      <c r="B31" s="1564"/>
      <c r="C31" s="1394">
        <v>48</v>
      </c>
      <c r="D31" s="1395">
        <v>33</v>
      </c>
      <c r="E31" s="1396">
        <v>15</v>
      </c>
      <c r="F31" s="1394">
        <v>48</v>
      </c>
      <c r="G31" s="1395">
        <v>33</v>
      </c>
      <c r="H31" s="1395">
        <v>15</v>
      </c>
      <c r="I31" s="1402"/>
      <c r="J31" s="1772"/>
      <c r="K31" s="1395"/>
      <c r="L31" s="1395"/>
      <c r="M31" s="1772"/>
      <c r="N31" s="1395"/>
      <c r="O31" s="1395"/>
    </row>
    <row r="32" spans="1:20" ht="18">
      <c r="A32" s="1434" t="s">
        <v>445</v>
      </c>
      <c r="B32" s="1564"/>
      <c r="C32" s="1394">
        <v>18</v>
      </c>
      <c r="D32" s="1395">
        <v>12</v>
      </c>
      <c r="E32" s="1396">
        <v>6</v>
      </c>
      <c r="F32" s="1394">
        <v>18</v>
      </c>
      <c r="G32" s="1395">
        <v>12</v>
      </c>
      <c r="H32" s="1395">
        <v>6</v>
      </c>
      <c r="I32" s="1402"/>
      <c r="J32" s="1772"/>
      <c r="K32" s="1395"/>
      <c r="L32" s="1395"/>
      <c r="M32" s="1772"/>
      <c r="N32" s="1395"/>
      <c r="O32" s="1395"/>
    </row>
    <row r="33" spans="1:18" ht="18">
      <c r="A33" s="1434" t="s">
        <v>446</v>
      </c>
      <c r="B33" s="1564"/>
      <c r="C33" s="1394">
        <v>0</v>
      </c>
      <c r="D33" s="1395">
        <v>0</v>
      </c>
      <c r="E33" s="1396">
        <v>0</v>
      </c>
      <c r="F33" s="1394">
        <v>0</v>
      </c>
      <c r="G33" s="1395">
        <v>0</v>
      </c>
      <c r="H33" s="1396">
        <v>0</v>
      </c>
      <c r="I33" s="1402"/>
      <c r="J33" s="1772"/>
      <c r="K33" s="1395"/>
      <c r="L33" s="1395"/>
      <c r="M33" s="1772"/>
      <c r="N33" s="1395"/>
      <c r="O33" s="1395"/>
    </row>
    <row r="34" spans="1:18" ht="18">
      <c r="A34" s="1434" t="s">
        <v>447</v>
      </c>
      <c r="B34" s="1564"/>
      <c r="C34" s="1394">
        <v>0</v>
      </c>
      <c r="D34" s="1395">
        <v>0</v>
      </c>
      <c r="E34" s="1396">
        <v>0</v>
      </c>
      <c r="F34" s="1394">
        <v>0</v>
      </c>
      <c r="G34" s="1395">
        <v>0</v>
      </c>
      <c r="H34" s="1396">
        <v>0</v>
      </c>
      <c r="I34" s="1402"/>
      <c r="J34" s="1772"/>
      <c r="K34" s="1395"/>
      <c r="L34" s="1395"/>
      <c r="M34" s="1772"/>
      <c r="N34" s="1395"/>
      <c r="O34" s="1395"/>
    </row>
    <row r="35" spans="1:18" ht="18">
      <c r="A35" s="1434" t="s">
        <v>448</v>
      </c>
      <c r="B35" s="1564"/>
      <c r="C35" s="1394">
        <v>0</v>
      </c>
      <c r="D35" s="1395">
        <v>0</v>
      </c>
      <c r="E35" s="1396">
        <v>0</v>
      </c>
      <c r="F35" s="1394">
        <v>0</v>
      </c>
      <c r="G35" s="1395">
        <v>0</v>
      </c>
      <c r="H35" s="1395">
        <v>0</v>
      </c>
      <c r="I35" s="1402"/>
      <c r="J35" s="1772"/>
      <c r="K35" s="1395"/>
      <c r="L35" s="1395"/>
      <c r="M35" s="1772"/>
      <c r="N35" s="1395"/>
      <c r="O35" s="1395"/>
    </row>
    <row r="36" spans="1:18" ht="18">
      <c r="A36" s="1434" t="s">
        <v>449</v>
      </c>
      <c r="B36" s="1564"/>
      <c r="C36" s="1394">
        <v>0</v>
      </c>
      <c r="D36" s="1395">
        <v>0</v>
      </c>
      <c r="E36" s="1396">
        <v>0</v>
      </c>
      <c r="F36" s="1394">
        <v>0</v>
      </c>
      <c r="G36" s="1395">
        <v>0</v>
      </c>
      <c r="H36" s="1395">
        <v>0</v>
      </c>
      <c r="I36" s="1402"/>
      <c r="J36" s="1772"/>
      <c r="K36" s="1395"/>
      <c r="L36" s="1395"/>
      <c r="M36" s="1772"/>
      <c r="N36" s="1395"/>
      <c r="O36" s="1395"/>
    </row>
    <row r="37" spans="1:18" ht="18">
      <c r="A37" s="1434" t="s">
        <v>450</v>
      </c>
      <c r="B37" s="1564"/>
      <c r="C37" s="1394">
        <v>6</v>
      </c>
      <c r="D37" s="1395">
        <v>6</v>
      </c>
      <c r="E37" s="1396">
        <v>3</v>
      </c>
      <c r="F37" s="1394">
        <v>6</v>
      </c>
      <c r="G37" s="1395">
        <v>6</v>
      </c>
      <c r="H37" s="1395">
        <v>3</v>
      </c>
      <c r="I37" s="1402"/>
      <c r="J37" s="1772"/>
      <c r="K37" s="1395"/>
      <c r="L37" s="1395"/>
      <c r="M37" s="1772"/>
      <c r="N37" s="1395"/>
      <c r="O37" s="1395"/>
    </row>
    <row r="38" spans="1:18" ht="18">
      <c r="A38" s="1434" t="s">
        <v>451</v>
      </c>
      <c r="B38" s="1564"/>
      <c r="C38" s="1394">
        <v>6</v>
      </c>
      <c r="D38" s="1395">
        <v>3</v>
      </c>
      <c r="E38" s="1396">
        <v>3</v>
      </c>
      <c r="F38" s="1394">
        <v>3</v>
      </c>
      <c r="G38" s="1395">
        <v>3</v>
      </c>
      <c r="H38" s="1395">
        <v>3</v>
      </c>
      <c r="I38" s="1402"/>
      <c r="J38" s="1772"/>
      <c r="K38" s="1395"/>
      <c r="L38" s="1395"/>
      <c r="M38" s="1772"/>
      <c r="N38" s="1395"/>
      <c r="O38" s="1395"/>
    </row>
    <row r="39" spans="1:18" ht="18">
      <c r="A39" s="1434" t="s">
        <v>452</v>
      </c>
      <c r="B39" s="1564"/>
      <c r="C39" s="1394">
        <v>0</v>
      </c>
      <c r="D39" s="1395">
        <v>0</v>
      </c>
      <c r="E39" s="1396">
        <v>0</v>
      </c>
      <c r="F39" s="1394">
        <v>0</v>
      </c>
      <c r="G39" s="1395">
        <v>0</v>
      </c>
      <c r="H39" s="1395">
        <v>0</v>
      </c>
      <c r="I39" s="1402"/>
      <c r="J39" s="1772"/>
      <c r="K39" s="1395"/>
      <c r="L39" s="1395"/>
      <c r="M39" s="1772"/>
      <c r="N39" s="1395"/>
      <c r="O39" s="1395"/>
    </row>
    <row r="40" spans="1:18" ht="18">
      <c r="A40" s="1435" t="s">
        <v>418</v>
      </c>
      <c r="B40" s="1710"/>
      <c r="C40" s="1790">
        <v>246</v>
      </c>
      <c r="D40" s="1791">
        <v>168</v>
      </c>
      <c r="E40" s="1791">
        <v>81</v>
      </c>
      <c r="F40" s="1793">
        <v>228</v>
      </c>
      <c r="G40" s="1791">
        <v>153</v>
      </c>
      <c r="H40" s="1791">
        <v>75</v>
      </c>
      <c r="I40" s="1402"/>
      <c r="J40" s="1405"/>
      <c r="K40" s="1405"/>
      <c r="L40" s="1405"/>
      <c r="M40" s="1405"/>
      <c r="N40" s="1405"/>
      <c r="O40" s="1405"/>
      <c r="P40" s="1405"/>
      <c r="Q40" s="1405"/>
      <c r="R40" s="1405"/>
    </row>
    <row r="41" spans="1:18" ht="18">
      <c r="A41" s="1402" t="s">
        <v>498</v>
      </c>
      <c r="B41" s="1404"/>
      <c r="C41" s="1402"/>
      <c r="D41" s="1402"/>
      <c r="E41" s="1403"/>
      <c r="F41" s="1402"/>
      <c r="G41" s="1402"/>
      <c r="H41" s="1402"/>
      <c r="I41" s="1402"/>
      <c r="J41" s="1408"/>
      <c r="K41" s="1597"/>
      <c r="L41" s="1597"/>
      <c r="M41" s="1597"/>
      <c r="N41" s="1597"/>
      <c r="O41" s="1597"/>
    </row>
    <row r="42" spans="1:18" ht="18">
      <c r="A42" s="1392" t="s">
        <v>389</v>
      </c>
      <c r="B42" s="1392"/>
      <c r="C42" s="1402"/>
      <c r="D42" s="1402"/>
      <c r="E42" s="1403"/>
      <c r="F42" s="1402"/>
      <c r="G42" s="1402"/>
      <c r="H42" s="1402"/>
      <c r="I42" s="1402"/>
      <c r="J42" s="1402"/>
    </row>
    <row r="43" spans="1:18" ht="18">
      <c r="A43" s="1402" t="s">
        <v>542</v>
      </c>
      <c r="B43" s="1402"/>
      <c r="C43" s="1402"/>
      <c r="D43" s="1402"/>
      <c r="E43" s="1403"/>
      <c r="F43" s="1402"/>
      <c r="G43" s="1402"/>
      <c r="H43" s="1402"/>
      <c r="I43" s="1402"/>
      <c r="J43" s="1402"/>
    </row>
  </sheetData>
  <printOptions horizontalCentered="1"/>
  <pageMargins left="0.70866141732283472" right="0.70866141732283472" top="0.78740157480314965" bottom="0.78740157480314965" header="0.31496062992125984" footer="0.31496062992125984"/>
  <pageSetup paperSize="9" scale="95" orientation="landscape" r:id="rId1"/>
  <rowBreaks count="1" manualBreakCount="1">
    <brk id="21" max="16383" man="1"/>
  </rowBreaks>
  <colBreaks count="1" manualBreakCount="1">
    <brk id="10" max="1048575" man="1"/>
  </colBreaks>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A2:AT36"/>
  <sheetViews>
    <sheetView zoomScaleNormal="100" zoomScaleSheetLayoutView="100" workbookViewId="0">
      <selection activeCell="O36" sqref="O36"/>
    </sheetView>
  </sheetViews>
  <sheetFormatPr baseColWidth="10" defaultColWidth="11.42578125" defaultRowHeight="11.25"/>
  <cols>
    <col min="1" max="1" width="5.5703125" style="6" customWidth="1"/>
    <col min="2" max="2" width="0.85546875" style="6" customWidth="1"/>
    <col min="3" max="8" width="7.5703125" style="6" customWidth="1"/>
    <col min="9" max="10" width="10.5703125" style="6" customWidth="1"/>
    <col min="11" max="16" width="7.5703125" style="6" customWidth="1"/>
    <col min="17" max="16384" width="11.42578125" style="6"/>
  </cols>
  <sheetData>
    <row r="2" spans="1:34" ht="12.75">
      <c r="A2" s="728" t="s">
        <v>215</v>
      </c>
      <c r="B2" s="63"/>
      <c r="C2" s="40"/>
      <c r="D2" s="41"/>
      <c r="E2" s="41"/>
      <c r="F2" s="41"/>
      <c r="G2" s="41"/>
      <c r="H2" s="41"/>
      <c r="I2" s="42"/>
      <c r="J2" s="848"/>
      <c r="K2" s="848"/>
      <c r="L2" s="848"/>
      <c r="M2" s="848"/>
      <c r="N2" s="534"/>
    </row>
    <row r="3" spans="1:34">
      <c r="A3" s="65"/>
      <c r="B3" s="65"/>
      <c r="C3" s="40"/>
      <c r="D3" s="41"/>
      <c r="E3" s="41"/>
      <c r="F3" s="41"/>
      <c r="G3" s="41"/>
      <c r="H3" s="41"/>
      <c r="I3" s="41"/>
      <c r="K3" s="41"/>
      <c r="L3" s="41"/>
      <c r="M3" s="41"/>
      <c r="N3" s="41"/>
      <c r="O3" s="66"/>
    </row>
    <row r="4" spans="1:34" ht="15">
      <c r="A4" s="1978" t="s">
        <v>153</v>
      </c>
      <c r="B4" s="1979"/>
      <c r="C4" s="1979"/>
      <c r="D4" s="1979"/>
      <c r="E4" s="1979"/>
      <c r="F4" s="1979"/>
      <c r="G4" s="1979"/>
      <c r="H4" s="1979"/>
      <c r="I4" s="1979"/>
      <c r="J4" s="1979"/>
      <c r="K4" s="1979"/>
      <c r="L4" s="1979"/>
      <c r="M4" s="1979"/>
      <c r="N4" s="1979"/>
      <c r="O4" s="1979"/>
      <c r="P4" s="1979"/>
    </row>
    <row r="5" spans="1:34" ht="12" thickBot="1">
      <c r="C5" s="6" t="s">
        <v>40</v>
      </c>
    </row>
    <row r="6" spans="1:34" ht="24.6" customHeight="1">
      <c r="A6" s="1953" t="s">
        <v>43</v>
      </c>
      <c r="B6" s="1984"/>
      <c r="C6" s="1965" t="s">
        <v>360</v>
      </c>
      <c r="D6" s="1966"/>
      <c r="E6" s="1966"/>
      <c r="F6" s="1966"/>
      <c r="G6" s="1966"/>
      <c r="H6" s="1967"/>
      <c r="I6" s="207" t="s">
        <v>0</v>
      </c>
      <c r="J6" s="849" t="s">
        <v>1</v>
      </c>
      <c r="K6" s="1962" t="s">
        <v>217</v>
      </c>
      <c r="L6" s="1989"/>
      <c r="M6" s="1989"/>
      <c r="N6" s="1989"/>
      <c r="O6" s="1989"/>
      <c r="P6" s="1990"/>
    </row>
    <row r="7" spans="1:34" ht="11.1" customHeight="1">
      <c r="A7" s="1985"/>
      <c r="B7" s="1986"/>
      <c r="C7" s="1991"/>
      <c r="D7" s="1980"/>
      <c r="E7" s="1980"/>
      <c r="F7" s="1980"/>
      <c r="G7" s="1980"/>
      <c r="H7" s="1981"/>
      <c r="I7" s="851" t="s">
        <v>3</v>
      </c>
      <c r="J7" s="76" t="s">
        <v>4</v>
      </c>
      <c r="K7" s="13"/>
      <c r="L7" s="14"/>
      <c r="M7" s="16"/>
      <c r="N7" s="1971" t="s">
        <v>300</v>
      </c>
      <c r="O7" s="1972"/>
      <c r="P7" s="1976"/>
    </row>
    <row r="8" spans="1:34" ht="12" customHeight="1">
      <c r="A8" s="1985"/>
      <c r="B8" s="1986"/>
      <c r="C8" s="215"/>
      <c r="D8" s="18"/>
      <c r="E8" s="28"/>
      <c r="F8" s="1971" t="s">
        <v>298</v>
      </c>
      <c r="G8" s="1972"/>
      <c r="H8" s="1973"/>
      <c r="I8" s="851" t="s">
        <v>8</v>
      </c>
      <c r="J8" s="76" t="s">
        <v>8</v>
      </c>
      <c r="K8" s="18"/>
      <c r="L8" s="215"/>
      <c r="M8" s="216"/>
      <c r="N8" s="1974"/>
      <c r="O8" s="1975"/>
      <c r="P8" s="1977"/>
      <c r="Q8" s="41"/>
      <c r="R8" s="41"/>
      <c r="S8" s="41"/>
      <c r="T8" s="42"/>
      <c r="U8" s="42"/>
      <c r="V8" s="43"/>
      <c r="W8" s="41"/>
      <c r="X8" s="41"/>
      <c r="Y8" s="41"/>
      <c r="Z8" s="41"/>
      <c r="AA8" s="41"/>
      <c r="AB8" s="41"/>
      <c r="AC8" s="41"/>
      <c r="AD8" s="41"/>
      <c r="AE8" s="42"/>
      <c r="AF8" s="41"/>
      <c r="AG8" s="41"/>
      <c r="AH8" s="64"/>
    </row>
    <row r="9" spans="1:34" ht="12" customHeight="1">
      <c r="A9" s="1985"/>
      <c r="B9" s="1986"/>
      <c r="C9" s="215"/>
      <c r="D9" s="18"/>
      <c r="E9" s="28"/>
      <c r="F9" s="1974"/>
      <c r="G9" s="1975"/>
      <c r="H9" s="1958"/>
      <c r="I9" s="851" t="s">
        <v>20</v>
      </c>
      <c r="J9" s="76" t="s">
        <v>20</v>
      </c>
      <c r="K9" s="18"/>
      <c r="L9" s="215"/>
      <c r="M9" s="216"/>
      <c r="N9" s="13"/>
      <c r="O9" s="14"/>
      <c r="P9" s="536"/>
    </row>
    <row r="10" spans="1:34" ht="12" customHeight="1">
      <c r="A10" s="1985"/>
      <c r="B10" s="1986"/>
      <c r="C10" s="542" t="s">
        <v>19</v>
      </c>
      <c r="D10" s="25" t="s">
        <v>17</v>
      </c>
      <c r="E10" s="852" t="s">
        <v>18</v>
      </c>
      <c r="F10" s="13"/>
      <c r="G10" s="14"/>
      <c r="H10" s="14"/>
      <c r="I10" s="851" t="s">
        <v>33</v>
      </c>
      <c r="J10" s="76" t="s">
        <v>33</v>
      </c>
      <c r="K10" s="17" t="s">
        <v>19</v>
      </c>
      <c r="L10" s="31" t="s">
        <v>17</v>
      </c>
      <c r="M10" s="25" t="s">
        <v>18</v>
      </c>
      <c r="N10" s="17" t="s">
        <v>19</v>
      </c>
      <c r="O10" s="31" t="s">
        <v>17</v>
      </c>
      <c r="P10" s="533" t="s">
        <v>18</v>
      </c>
    </row>
    <row r="11" spans="1:34" ht="12" customHeight="1">
      <c r="A11" s="1985"/>
      <c r="B11" s="1986"/>
      <c r="C11" s="542" t="s">
        <v>29</v>
      </c>
      <c r="D11" s="25" t="s">
        <v>28</v>
      </c>
      <c r="E11" s="852" t="s">
        <v>28</v>
      </c>
      <c r="F11" s="25" t="s">
        <v>30</v>
      </c>
      <c r="G11" s="31" t="s">
        <v>31</v>
      </c>
      <c r="H11" s="31" t="s">
        <v>32</v>
      </c>
      <c r="I11" s="851" t="s">
        <v>39</v>
      </c>
      <c r="J11" s="76" t="s">
        <v>39</v>
      </c>
      <c r="K11" s="17" t="s">
        <v>29</v>
      </c>
      <c r="L11" s="31" t="s">
        <v>28</v>
      </c>
      <c r="M11" s="25" t="s">
        <v>34</v>
      </c>
      <c r="N11" s="17" t="s">
        <v>29</v>
      </c>
      <c r="O11" s="31" t="s">
        <v>28</v>
      </c>
      <c r="P11" s="533" t="s">
        <v>34</v>
      </c>
    </row>
    <row r="12" spans="1:34" ht="11.1" customHeight="1">
      <c r="A12" s="1987"/>
      <c r="B12" s="1988"/>
      <c r="C12" s="853"/>
      <c r="D12" s="32"/>
      <c r="E12" s="854"/>
      <c r="F12" s="32"/>
      <c r="G12" s="34"/>
      <c r="H12" s="215"/>
      <c r="I12" s="855"/>
      <c r="J12" s="8"/>
      <c r="K12" s="216"/>
      <c r="L12" s="215"/>
      <c r="M12" s="18"/>
      <c r="N12" s="216"/>
      <c r="O12" s="34"/>
      <c r="P12" s="537"/>
    </row>
    <row r="13" spans="1:34" ht="15" customHeight="1">
      <c r="A13" s="592" t="s">
        <v>58</v>
      </c>
      <c r="B13" s="595"/>
      <c r="C13" s="1078">
        <v>0</v>
      </c>
      <c r="D13" s="1076">
        <v>0</v>
      </c>
      <c r="E13" s="1077">
        <v>0</v>
      </c>
      <c r="F13" s="1076">
        <v>0</v>
      </c>
      <c r="G13" s="1076">
        <v>0</v>
      </c>
      <c r="H13" s="1077">
        <v>0</v>
      </c>
      <c r="I13" s="1067">
        <v>0</v>
      </c>
      <c r="J13" s="1067">
        <v>0</v>
      </c>
      <c r="K13" s="1080">
        <v>0</v>
      </c>
      <c r="L13" s="1076">
        <v>0</v>
      </c>
      <c r="M13" s="1077">
        <v>0</v>
      </c>
      <c r="N13" s="1080">
        <v>0</v>
      </c>
      <c r="O13" s="1076">
        <v>0</v>
      </c>
      <c r="P13" s="1084">
        <v>0</v>
      </c>
    </row>
    <row r="14" spans="1:34" ht="15" customHeight="1">
      <c r="A14" s="592" t="s">
        <v>49</v>
      </c>
      <c r="B14" s="595"/>
      <c r="C14" s="1069">
        <v>0</v>
      </c>
      <c r="D14" s="5">
        <v>0</v>
      </c>
      <c r="E14" s="396">
        <v>0</v>
      </c>
      <c r="F14" s="5">
        <v>0</v>
      </c>
      <c r="G14" s="5">
        <v>0</v>
      </c>
      <c r="H14" s="396">
        <v>0</v>
      </c>
      <c r="I14" s="396">
        <v>0</v>
      </c>
      <c r="J14" s="396">
        <v>0</v>
      </c>
      <c r="K14" s="1081">
        <v>0</v>
      </c>
      <c r="L14" s="5">
        <v>0</v>
      </c>
      <c r="M14" s="396">
        <v>0</v>
      </c>
      <c r="N14" s="1081">
        <v>0</v>
      </c>
      <c r="O14" s="5">
        <v>0</v>
      </c>
      <c r="P14" s="1038">
        <v>0</v>
      </c>
    </row>
    <row r="15" spans="1:34" ht="15" customHeight="1">
      <c r="A15" s="592" t="s">
        <v>52</v>
      </c>
      <c r="B15" s="595"/>
      <c r="C15" s="1069">
        <v>0</v>
      </c>
      <c r="D15" s="5">
        <v>0</v>
      </c>
      <c r="E15" s="396">
        <v>0</v>
      </c>
      <c r="F15" s="5">
        <v>0</v>
      </c>
      <c r="G15" s="5">
        <v>0</v>
      </c>
      <c r="H15" s="396">
        <v>0</v>
      </c>
      <c r="I15" s="396">
        <v>0</v>
      </c>
      <c r="J15" s="396">
        <v>0</v>
      </c>
      <c r="K15" s="1081">
        <v>0</v>
      </c>
      <c r="L15" s="5">
        <v>0</v>
      </c>
      <c r="M15" s="396">
        <v>0</v>
      </c>
      <c r="N15" s="1081">
        <v>0</v>
      </c>
      <c r="O15" s="5">
        <v>0</v>
      </c>
      <c r="P15" s="1038">
        <v>0</v>
      </c>
    </row>
    <row r="16" spans="1:34" ht="15" customHeight="1">
      <c r="A16" s="592" t="s">
        <v>48</v>
      </c>
      <c r="B16" s="596"/>
      <c r="C16" s="1069">
        <v>0</v>
      </c>
      <c r="D16" s="5">
        <v>0</v>
      </c>
      <c r="E16" s="396">
        <v>0</v>
      </c>
      <c r="F16" s="5">
        <v>0</v>
      </c>
      <c r="G16" s="5">
        <v>0</v>
      </c>
      <c r="H16" s="396">
        <v>0</v>
      </c>
      <c r="I16" s="396">
        <v>0</v>
      </c>
      <c r="J16" s="396">
        <v>0</v>
      </c>
      <c r="K16" s="1081">
        <v>0</v>
      </c>
      <c r="L16" s="5">
        <v>0</v>
      </c>
      <c r="M16" s="396">
        <v>0</v>
      </c>
      <c r="N16" s="1081">
        <v>0</v>
      </c>
      <c r="O16" s="5">
        <v>0</v>
      </c>
      <c r="P16" s="1038">
        <v>0</v>
      </c>
    </row>
    <row r="17" spans="1:46" ht="15" customHeight="1">
      <c r="A17" s="592" t="s">
        <v>53</v>
      </c>
      <c r="B17" s="596"/>
      <c r="C17" s="1069">
        <v>0</v>
      </c>
      <c r="D17" s="5">
        <v>0</v>
      </c>
      <c r="E17" s="396">
        <v>0</v>
      </c>
      <c r="F17" s="5">
        <v>0</v>
      </c>
      <c r="G17" s="5">
        <v>0</v>
      </c>
      <c r="H17" s="396">
        <v>0</v>
      </c>
      <c r="I17" s="396">
        <v>0</v>
      </c>
      <c r="J17" s="396">
        <v>0</v>
      </c>
      <c r="K17" s="1081">
        <v>0</v>
      </c>
      <c r="L17" s="5">
        <v>0</v>
      </c>
      <c r="M17" s="396">
        <v>0</v>
      </c>
      <c r="N17" s="1081">
        <v>0</v>
      </c>
      <c r="O17" s="5">
        <v>0</v>
      </c>
      <c r="P17" s="1038">
        <v>0</v>
      </c>
    </row>
    <row r="18" spans="1:46" ht="15" customHeight="1">
      <c r="A18" s="592" t="s">
        <v>50</v>
      </c>
      <c r="B18" s="595"/>
      <c r="C18" s="1069">
        <v>96</v>
      </c>
      <c r="D18" s="5">
        <v>75</v>
      </c>
      <c r="E18" s="396">
        <v>21</v>
      </c>
      <c r="F18" s="5">
        <v>18</v>
      </c>
      <c r="G18" s="5">
        <v>36</v>
      </c>
      <c r="H18" s="732">
        <v>39</v>
      </c>
      <c r="I18" s="396">
        <v>36</v>
      </c>
      <c r="J18" s="396">
        <v>3</v>
      </c>
      <c r="K18" s="1081">
        <v>21</v>
      </c>
      <c r="L18" s="5">
        <v>18</v>
      </c>
      <c r="M18" s="396">
        <v>3</v>
      </c>
      <c r="N18" s="1081">
        <v>15</v>
      </c>
      <c r="O18" s="5">
        <v>12</v>
      </c>
      <c r="P18" s="1038">
        <v>3</v>
      </c>
      <c r="Q18" s="311"/>
      <c r="R18" s="311"/>
      <c r="S18" s="311"/>
      <c r="T18" s="311"/>
      <c r="U18" s="311"/>
      <c r="V18" s="8"/>
      <c r="W18" s="112"/>
      <c r="X18" s="71"/>
      <c r="Y18" s="113"/>
      <c r="Z18" s="71"/>
      <c r="AA18" s="71"/>
      <c r="AB18" s="71"/>
      <c r="AC18" s="76"/>
      <c r="AD18" s="76"/>
      <c r="AE18" s="114"/>
      <c r="AF18" s="29"/>
      <c r="AG18" s="115"/>
      <c r="AH18" s="29"/>
      <c r="AI18" s="29"/>
      <c r="AJ18" s="115"/>
      <c r="AK18" s="114"/>
      <c r="AL18" s="115"/>
      <c r="AM18" s="115"/>
      <c r="AN18" s="115"/>
      <c r="AO18" s="115"/>
      <c r="AP18" s="115"/>
      <c r="AQ18" s="115"/>
      <c r="AR18" s="115"/>
    </row>
    <row r="19" spans="1:46" ht="15" customHeight="1">
      <c r="A19" s="592" t="s">
        <v>54</v>
      </c>
      <c r="B19" s="595"/>
      <c r="C19" s="1069">
        <v>531</v>
      </c>
      <c r="D19" s="5">
        <v>411</v>
      </c>
      <c r="E19" s="396">
        <v>120</v>
      </c>
      <c r="F19" s="5">
        <v>162</v>
      </c>
      <c r="G19" s="5">
        <v>186</v>
      </c>
      <c r="H19" s="396">
        <v>183</v>
      </c>
      <c r="I19" s="396">
        <v>216</v>
      </c>
      <c r="J19" s="396">
        <v>33</v>
      </c>
      <c r="K19" s="1081">
        <v>177</v>
      </c>
      <c r="L19" s="5">
        <v>138</v>
      </c>
      <c r="M19" s="396">
        <v>39</v>
      </c>
      <c r="N19" s="1081">
        <v>159</v>
      </c>
      <c r="O19" s="5">
        <v>120</v>
      </c>
      <c r="P19" s="1038">
        <v>39</v>
      </c>
      <c r="V19" s="8"/>
      <c r="W19" s="8"/>
      <c r="X19" s="8"/>
      <c r="Y19" s="9"/>
      <c r="Z19" s="8"/>
      <c r="AA19" s="8"/>
      <c r="AB19" s="8"/>
      <c r="AC19" s="116"/>
      <c r="AD19" s="116"/>
      <c r="AE19" s="8"/>
      <c r="AF19" s="29"/>
      <c r="AG19" s="115"/>
      <c r="AH19" s="21"/>
      <c r="AI19" s="40"/>
      <c r="AJ19" s="114"/>
      <c r="AK19" s="8"/>
      <c r="AL19" s="29"/>
      <c r="AM19" s="115"/>
      <c r="AN19" s="46"/>
      <c r="AO19" s="21"/>
      <c r="AP19" s="40"/>
      <c r="AQ19" s="41"/>
      <c r="AR19" s="40"/>
    </row>
    <row r="20" spans="1:46" ht="15" customHeight="1">
      <c r="A20" s="592" t="s">
        <v>44</v>
      </c>
      <c r="B20" s="595"/>
      <c r="C20" s="1069">
        <v>192</v>
      </c>
      <c r="D20" s="5">
        <v>153</v>
      </c>
      <c r="E20" s="396">
        <v>36</v>
      </c>
      <c r="F20" s="5">
        <v>39</v>
      </c>
      <c r="G20" s="5">
        <v>72</v>
      </c>
      <c r="H20" s="396">
        <v>78</v>
      </c>
      <c r="I20" s="396">
        <v>78</v>
      </c>
      <c r="J20" s="396">
        <v>6</v>
      </c>
      <c r="K20" s="1081">
        <v>69</v>
      </c>
      <c r="L20" s="5">
        <v>51</v>
      </c>
      <c r="M20" s="396">
        <v>18</v>
      </c>
      <c r="N20" s="1081">
        <v>66</v>
      </c>
      <c r="O20" s="5">
        <v>51</v>
      </c>
      <c r="P20" s="1038">
        <v>15</v>
      </c>
      <c r="V20" s="8"/>
      <c r="W20" s="8"/>
      <c r="X20" s="21"/>
      <c r="Y20" s="117"/>
      <c r="Z20" s="21"/>
      <c r="AA20" s="21"/>
      <c r="AB20" s="21"/>
      <c r="AC20" s="116"/>
      <c r="AD20" s="116"/>
      <c r="AE20" s="118"/>
      <c r="AF20" s="118"/>
      <c r="AG20" s="119"/>
      <c r="AH20" s="21"/>
      <c r="AI20" s="21"/>
      <c r="AJ20" s="115"/>
      <c r="AK20" s="118"/>
      <c r="AL20" s="118"/>
      <c r="AM20" s="119"/>
      <c r="AN20" s="76"/>
      <c r="AO20" s="21"/>
      <c r="AP20" s="40"/>
      <c r="AQ20" s="41"/>
      <c r="AR20" s="40"/>
    </row>
    <row r="21" spans="1:46" ht="15" customHeight="1">
      <c r="A21" s="592" t="s">
        <v>45</v>
      </c>
      <c r="B21" s="595"/>
      <c r="C21" s="1069">
        <v>51</v>
      </c>
      <c r="D21" s="5">
        <v>39</v>
      </c>
      <c r="E21" s="396">
        <v>12</v>
      </c>
      <c r="F21" s="5">
        <v>3</v>
      </c>
      <c r="G21" s="5">
        <v>21</v>
      </c>
      <c r="H21" s="396">
        <v>27</v>
      </c>
      <c r="I21" s="396">
        <v>24</v>
      </c>
      <c r="J21" s="396">
        <v>0</v>
      </c>
      <c r="K21" s="1081">
        <v>36</v>
      </c>
      <c r="L21" s="5">
        <v>27</v>
      </c>
      <c r="M21" s="396">
        <v>9</v>
      </c>
      <c r="N21" s="1081">
        <v>36</v>
      </c>
      <c r="O21" s="5">
        <v>27</v>
      </c>
      <c r="P21" s="1038">
        <v>9</v>
      </c>
      <c r="V21" s="8"/>
      <c r="W21" s="8"/>
      <c r="X21" s="8"/>
      <c r="Y21" s="9"/>
      <c r="Z21" s="21"/>
      <c r="AA21" s="29"/>
      <c r="AB21" s="29"/>
      <c r="AC21" s="116"/>
      <c r="AD21" s="116"/>
      <c r="AE21" s="8"/>
      <c r="AF21" s="8"/>
      <c r="AG21" s="9"/>
      <c r="AH21" s="8"/>
      <c r="AI21" s="8"/>
      <c r="AJ21" s="9"/>
      <c r="AK21" s="8"/>
      <c r="AL21" s="8"/>
      <c r="AM21" s="9"/>
      <c r="AN21" s="76"/>
      <c r="AO21" s="118"/>
      <c r="AP21" s="118"/>
      <c r="AQ21" s="119"/>
      <c r="AR21" s="75"/>
    </row>
    <row r="22" spans="1:46" ht="15" customHeight="1">
      <c r="A22" s="592" t="s">
        <v>55</v>
      </c>
      <c r="B22" s="597"/>
      <c r="C22" s="1069">
        <v>3</v>
      </c>
      <c r="D22" s="5">
        <v>3</v>
      </c>
      <c r="E22" s="396">
        <v>0</v>
      </c>
      <c r="F22" s="5">
        <v>0</v>
      </c>
      <c r="G22" s="5">
        <v>0</v>
      </c>
      <c r="H22" s="396">
        <v>0</v>
      </c>
      <c r="I22" s="396">
        <v>0</v>
      </c>
      <c r="J22" s="396">
        <v>0</v>
      </c>
      <c r="K22" s="1081">
        <v>0</v>
      </c>
      <c r="L22" s="5">
        <v>0</v>
      </c>
      <c r="M22" s="396">
        <v>0</v>
      </c>
      <c r="N22" s="1081">
        <v>0</v>
      </c>
      <c r="O22" s="5">
        <v>0</v>
      </c>
      <c r="P22" s="1038">
        <v>0</v>
      </c>
      <c r="V22" s="120"/>
      <c r="W22" s="76"/>
      <c r="X22" s="76"/>
      <c r="Y22" s="121"/>
      <c r="Z22" s="8"/>
      <c r="AA22" s="75"/>
      <c r="AB22" s="75"/>
      <c r="AC22" s="116"/>
      <c r="AD22" s="116"/>
      <c r="AE22" s="76"/>
      <c r="AF22" s="76"/>
      <c r="AG22" s="121"/>
      <c r="AH22" s="76"/>
      <c r="AI22" s="29"/>
      <c r="AJ22" s="121"/>
      <c r="AK22" s="76"/>
      <c r="AL22" s="76"/>
      <c r="AM22" s="121"/>
      <c r="AN22" s="76"/>
      <c r="AO22" s="76"/>
      <c r="AP22" s="76"/>
      <c r="AQ22" s="121"/>
      <c r="AR22" s="75"/>
    </row>
    <row r="23" spans="1:46" ht="15" customHeight="1">
      <c r="A23" s="592" t="s">
        <v>46</v>
      </c>
      <c r="B23" s="595"/>
      <c r="C23" s="1070">
        <v>0</v>
      </c>
      <c r="D23" s="1063">
        <v>0</v>
      </c>
      <c r="E23" s="1064">
        <v>0</v>
      </c>
      <c r="F23" s="1063">
        <v>0</v>
      </c>
      <c r="G23" s="1063">
        <v>0</v>
      </c>
      <c r="H23" s="1064">
        <v>0</v>
      </c>
      <c r="I23" s="396">
        <v>0</v>
      </c>
      <c r="J23" s="396">
        <v>0</v>
      </c>
      <c r="K23" s="1082">
        <v>0</v>
      </c>
      <c r="L23" s="1063">
        <v>0</v>
      </c>
      <c r="M23" s="1064">
        <v>0</v>
      </c>
      <c r="N23" s="1082">
        <v>0</v>
      </c>
      <c r="O23" s="1063">
        <v>0</v>
      </c>
      <c r="P23" s="1036">
        <v>0</v>
      </c>
      <c r="V23" s="8"/>
      <c r="W23" s="76"/>
      <c r="X23" s="76"/>
      <c r="Y23" s="121"/>
      <c r="Z23" s="76"/>
      <c r="AA23" s="76"/>
      <c r="AB23" s="76"/>
      <c r="AC23" s="116"/>
      <c r="AD23" s="116"/>
      <c r="AE23" s="76"/>
      <c r="AF23" s="76"/>
      <c r="AG23" s="121"/>
      <c r="AH23" s="76"/>
      <c r="AI23" s="76"/>
      <c r="AJ23" s="121"/>
      <c r="AK23" s="76"/>
      <c r="AL23" s="76"/>
      <c r="AM23" s="121"/>
      <c r="AN23" s="76"/>
      <c r="AO23" s="76"/>
      <c r="AP23" s="76"/>
      <c r="AQ23" s="121"/>
      <c r="AR23" s="75"/>
    </row>
    <row r="24" spans="1:46" ht="15" customHeight="1">
      <c r="A24" s="592" t="s">
        <v>47</v>
      </c>
      <c r="B24" s="595"/>
      <c r="C24" s="1069">
        <v>0</v>
      </c>
      <c r="D24" s="5">
        <v>0</v>
      </c>
      <c r="E24" s="396">
        <v>0</v>
      </c>
      <c r="F24" s="5">
        <v>0</v>
      </c>
      <c r="G24" s="5">
        <v>0</v>
      </c>
      <c r="H24" s="396">
        <v>0</v>
      </c>
      <c r="I24" s="258">
        <v>0</v>
      </c>
      <c r="J24" s="258">
        <v>0</v>
      </c>
      <c r="K24" s="1081">
        <v>0</v>
      </c>
      <c r="L24" s="5">
        <v>0</v>
      </c>
      <c r="M24" s="396">
        <v>0</v>
      </c>
      <c r="N24" s="1081">
        <v>0</v>
      </c>
      <c r="O24" s="5">
        <v>0</v>
      </c>
      <c r="P24" s="1038">
        <v>0</v>
      </c>
      <c r="V24" s="8"/>
      <c r="W24" s="8"/>
      <c r="X24" s="8"/>
      <c r="Y24" s="9"/>
      <c r="Z24" s="8"/>
      <c r="AA24" s="8"/>
      <c r="AB24" s="8"/>
      <c r="AC24" s="122"/>
      <c r="AD24" s="122"/>
      <c r="AE24" s="8"/>
      <c r="AF24" s="8"/>
      <c r="AG24" s="9"/>
      <c r="AH24" s="8"/>
      <c r="AI24" s="8"/>
      <c r="AJ24" s="9"/>
      <c r="AK24" s="8"/>
      <c r="AL24" s="8"/>
      <c r="AM24" s="9"/>
      <c r="AN24" s="46"/>
      <c r="AO24" s="8"/>
      <c r="AP24" s="8"/>
      <c r="AQ24" s="9"/>
      <c r="AR24" s="75"/>
    </row>
    <row r="25" spans="1:46" ht="15" customHeight="1">
      <c r="A25" s="592" t="s">
        <v>51</v>
      </c>
      <c r="B25" s="595"/>
      <c r="C25" s="1069">
        <v>0</v>
      </c>
      <c r="D25" s="5">
        <v>0</v>
      </c>
      <c r="E25" s="396">
        <v>0</v>
      </c>
      <c r="F25" s="5">
        <v>0</v>
      </c>
      <c r="G25" s="5">
        <v>0</v>
      </c>
      <c r="H25" s="396">
        <v>0</v>
      </c>
      <c r="I25" s="396">
        <v>0</v>
      </c>
      <c r="J25" s="396">
        <v>0</v>
      </c>
      <c r="K25" s="1081">
        <v>0</v>
      </c>
      <c r="L25" s="5">
        <v>0</v>
      </c>
      <c r="M25" s="396">
        <v>0</v>
      </c>
      <c r="N25" s="1081">
        <v>0</v>
      </c>
      <c r="O25" s="5">
        <v>0</v>
      </c>
      <c r="P25" s="1038">
        <v>0</v>
      </c>
    </row>
    <row r="26" spans="1:46" ht="15" customHeight="1">
      <c r="A26" s="592" t="s">
        <v>56</v>
      </c>
      <c r="B26" s="595"/>
      <c r="C26" s="1069">
        <v>18</v>
      </c>
      <c r="D26" s="5">
        <v>15</v>
      </c>
      <c r="E26" s="396">
        <v>3</v>
      </c>
      <c r="F26" s="5">
        <v>6</v>
      </c>
      <c r="G26" s="5">
        <v>6</v>
      </c>
      <c r="H26" s="396">
        <v>6</v>
      </c>
      <c r="I26" s="396">
        <v>6</v>
      </c>
      <c r="J26" s="396">
        <v>0</v>
      </c>
      <c r="K26" s="1081">
        <v>6</v>
      </c>
      <c r="L26" s="5">
        <v>6</v>
      </c>
      <c r="M26" s="396">
        <v>0</v>
      </c>
      <c r="N26" s="1081">
        <v>6</v>
      </c>
      <c r="O26" s="5">
        <v>6</v>
      </c>
      <c r="P26" s="1038">
        <v>0</v>
      </c>
    </row>
    <row r="27" spans="1:46" s="70" customFormat="1" ht="15" customHeight="1">
      <c r="A27" s="592" t="s">
        <v>57</v>
      </c>
      <c r="B27" s="597"/>
      <c r="C27" s="1069">
        <v>15</v>
      </c>
      <c r="D27" s="5">
        <v>9</v>
      </c>
      <c r="E27" s="396">
        <v>6</v>
      </c>
      <c r="F27" s="5">
        <v>0</v>
      </c>
      <c r="G27" s="5">
        <v>6</v>
      </c>
      <c r="H27" s="396">
        <v>6</v>
      </c>
      <c r="I27" s="396">
        <v>3</v>
      </c>
      <c r="J27" s="396">
        <v>3</v>
      </c>
      <c r="K27" s="1081">
        <v>3</v>
      </c>
      <c r="L27" s="5">
        <v>3</v>
      </c>
      <c r="M27" s="396">
        <v>0</v>
      </c>
      <c r="N27" s="1081">
        <v>3</v>
      </c>
      <c r="O27" s="5">
        <v>3</v>
      </c>
      <c r="P27" s="1038">
        <v>0</v>
      </c>
    </row>
    <row r="28" spans="1:46" ht="15" customHeight="1">
      <c r="A28" s="592" t="s">
        <v>59</v>
      </c>
      <c r="B28" s="597"/>
      <c r="C28" s="1069">
        <v>3</v>
      </c>
      <c r="D28" s="5">
        <v>3</v>
      </c>
      <c r="E28" s="396">
        <v>0</v>
      </c>
      <c r="F28" s="5">
        <v>0</v>
      </c>
      <c r="G28" s="5">
        <v>3</v>
      </c>
      <c r="H28" s="396">
        <v>0</v>
      </c>
      <c r="I28" s="1037">
        <v>3</v>
      </c>
      <c r="J28" s="1037">
        <v>0</v>
      </c>
      <c r="K28" s="1081">
        <v>0</v>
      </c>
      <c r="L28" s="5">
        <v>0</v>
      </c>
      <c r="M28" s="396">
        <v>0</v>
      </c>
      <c r="N28" s="1081">
        <v>0</v>
      </c>
      <c r="O28" s="5">
        <v>0</v>
      </c>
      <c r="P28" s="1038">
        <v>0</v>
      </c>
    </row>
    <row r="29" spans="1:46" s="70" customFormat="1" ht="4.3499999999999996" customHeight="1">
      <c r="A29" s="329"/>
      <c r="B29" s="596"/>
      <c r="C29" s="408"/>
      <c r="D29" s="406"/>
      <c r="E29" s="407"/>
      <c r="F29" s="406"/>
      <c r="G29" s="406"/>
      <c r="H29" s="407"/>
      <c r="I29" s="1079"/>
      <c r="J29" s="1079"/>
      <c r="K29" s="1083"/>
      <c r="L29" s="406"/>
      <c r="M29" s="407"/>
      <c r="N29" s="1083"/>
      <c r="O29" s="406"/>
      <c r="P29" s="1085"/>
    </row>
    <row r="30" spans="1:46" ht="21" customHeight="1" thickBot="1">
      <c r="A30" s="593" t="s">
        <v>60</v>
      </c>
      <c r="B30" s="598"/>
      <c r="C30" s="1068">
        <v>909</v>
      </c>
      <c r="D30" s="580">
        <v>711</v>
      </c>
      <c r="E30" s="1065">
        <v>198</v>
      </c>
      <c r="F30" s="580">
        <v>231</v>
      </c>
      <c r="G30" s="580">
        <v>336</v>
      </c>
      <c r="H30" s="1065">
        <v>342</v>
      </c>
      <c r="I30" s="1066">
        <v>363</v>
      </c>
      <c r="J30" s="1066">
        <v>48</v>
      </c>
      <c r="K30" s="580">
        <v>312</v>
      </c>
      <c r="L30" s="580">
        <v>243</v>
      </c>
      <c r="M30" s="1065">
        <v>72</v>
      </c>
      <c r="N30" s="580">
        <v>285</v>
      </c>
      <c r="O30" s="580">
        <v>219</v>
      </c>
      <c r="P30" s="1039">
        <v>66</v>
      </c>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70"/>
      <c r="AQ30" s="70"/>
      <c r="AR30" s="70"/>
      <c r="AS30" s="70"/>
      <c r="AT30" s="70"/>
    </row>
    <row r="31" spans="1:46" s="70" customFormat="1" ht="3.6" customHeight="1">
      <c r="A31" s="71"/>
      <c r="B31" s="71"/>
      <c r="P31" s="82"/>
      <c r="Q31" s="67"/>
      <c r="R31" s="67"/>
      <c r="S31" s="67"/>
      <c r="T31" s="67"/>
      <c r="U31" s="67"/>
      <c r="V31" s="67"/>
      <c r="W31" s="67"/>
      <c r="X31" s="67"/>
      <c r="Y31" s="67"/>
      <c r="Z31" s="67"/>
      <c r="AA31" s="67"/>
      <c r="AB31" s="67"/>
      <c r="AC31" s="67"/>
      <c r="AD31" s="67"/>
      <c r="AE31" s="67"/>
      <c r="AF31" s="67"/>
      <c r="AG31" s="67"/>
      <c r="AH31" s="67"/>
      <c r="AI31" s="67"/>
      <c r="AJ31" s="67"/>
      <c r="AK31" s="82"/>
      <c r="AL31" s="82"/>
      <c r="AM31" s="82"/>
      <c r="AN31" s="82"/>
      <c r="AO31" s="82"/>
    </row>
    <row r="32" spans="1:46" ht="11.1" customHeight="1">
      <c r="A32" s="70" t="s">
        <v>299</v>
      </c>
      <c r="B32" s="70"/>
      <c r="F32" s="308"/>
      <c r="G32" s="308"/>
      <c r="H32" s="308"/>
      <c r="I32" s="310"/>
      <c r="O32" s="70"/>
      <c r="P32" s="82"/>
      <c r="Q32" s="309"/>
      <c r="R32" s="309"/>
      <c r="S32" s="309"/>
      <c r="T32" s="325"/>
      <c r="U32" s="309"/>
      <c r="V32" s="309"/>
      <c r="W32" s="309"/>
      <c r="X32" s="309"/>
      <c r="Y32" s="309"/>
      <c r="Z32" s="309"/>
      <c r="AA32" s="309"/>
      <c r="AB32" s="309"/>
      <c r="AC32" s="309"/>
      <c r="AD32" s="325"/>
      <c r="AE32" s="325"/>
      <c r="AF32" s="325"/>
      <c r="AG32" s="309"/>
      <c r="AH32" s="325"/>
      <c r="AI32" s="325"/>
      <c r="AJ32" s="325"/>
      <c r="AK32" s="82"/>
      <c r="AL32" s="82"/>
      <c r="AM32" s="82"/>
      <c r="AN32" s="82"/>
      <c r="AO32" s="82"/>
      <c r="AP32" s="70"/>
      <c r="AQ32" s="70"/>
      <c r="AR32" s="70"/>
      <c r="AS32" s="70"/>
      <c r="AT32" s="70"/>
    </row>
    <row r="35" spans="1:16" ht="12" thickBot="1">
      <c r="A35" s="593" t="s">
        <v>60</v>
      </c>
      <c r="B35" s="598"/>
      <c r="C35" s="1068">
        <v>909</v>
      </c>
      <c r="D35" s="580">
        <v>708</v>
      </c>
      <c r="E35" s="1065">
        <v>198</v>
      </c>
      <c r="F35" s="580">
        <v>228</v>
      </c>
      <c r="G35" s="580">
        <v>330</v>
      </c>
      <c r="H35" s="1065">
        <v>339</v>
      </c>
      <c r="I35" s="580">
        <v>366</v>
      </c>
      <c r="J35" s="1066">
        <v>45</v>
      </c>
      <c r="K35" s="1068">
        <v>312</v>
      </c>
      <c r="L35" s="580">
        <v>243</v>
      </c>
      <c r="M35" s="1065">
        <v>69</v>
      </c>
      <c r="N35" s="1068">
        <v>285</v>
      </c>
      <c r="O35" s="580">
        <v>219</v>
      </c>
      <c r="P35" s="1039">
        <v>66</v>
      </c>
    </row>
    <row r="36" spans="1:16" ht="12" thickBot="1">
      <c r="A36" s="593" t="s">
        <v>386</v>
      </c>
      <c r="B36" s="598"/>
      <c r="C36" s="1303">
        <f>C30-C35</f>
        <v>0</v>
      </c>
      <c r="D36" s="1293">
        <f t="shared" ref="D36:P36" si="0">D30-D35</f>
        <v>3</v>
      </c>
      <c r="E36" s="1302">
        <f t="shared" si="0"/>
        <v>0</v>
      </c>
      <c r="F36" s="1297">
        <f t="shared" si="0"/>
        <v>3</v>
      </c>
      <c r="G36" s="1297">
        <f t="shared" si="0"/>
        <v>6</v>
      </c>
      <c r="H36" s="1298">
        <f t="shared" si="0"/>
        <v>3</v>
      </c>
      <c r="I36" s="1295">
        <f t="shared" si="0"/>
        <v>-3</v>
      </c>
      <c r="J36" s="1334">
        <f t="shared" si="0"/>
        <v>3</v>
      </c>
      <c r="K36" s="1303">
        <f t="shared" si="0"/>
        <v>0</v>
      </c>
      <c r="L36" s="1304">
        <f t="shared" si="0"/>
        <v>0</v>
      </c>
      <c r="M36" s="1294">
        <f t="shared" si="0"/>
        <v>3</v>
      </c>
      <c r="N36" s="1303">
        <f t="shared" si="0"/>
        <v>0</v>
      </c>
      <c r="O36" s="1304">
        <f t="shared" si="0"/>
        <v>0</v>
      </c>
      <c r="P36" s="1342">
        <f t="shared" si="0"/>
        <v>0</v>
      </c>
    </row>
  </sheetData>
  <mergeCells count="6">
    <mergeCell ref="K6:P6"/>
    <mergeCell ref="A6:B12"/>
    <mergeCell ref="A4:P4"/>
    <mergeCell ref="N7:P8"/>
    <mergeCell ref="C6:H7"/>
    <mergeCell ref="F8:H9"/>
  </mergeCells>
  <printOptions horizontalCentered="1"/>
  <pageMargins left="0.39370078740157483" right="0.35433070866141736" top="0.62992125984251968" bottom="0.39370078740157483" header="0.39370078740157483" footer="0.51181102362204722"/>
  <pageSetup paperSize="9" orientation="landscape" r:id="rId1"/>
  <headerFooter alignWithMargins="0">
    <oddHeader>&amp;C&amp;"Arial,Standard"&amp;8- 3 - &amp;R&amp;8&amp;D</oddHeader>
    <oddFooter>&amp;R...</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499984740745262"/>
  </sheetPr>
  <dimension ref="A1:AP38"/>
  <sheetViews>
    <sheetView zoomScaleNormal="100" zoomScaleSheetLayoutView="100" workbookViewId="0">
      <selection activeCell="O30" sqref="O30"/>
    </sheetView>
  </sheetViews>
  <sheetFormatPr baseColWidth="10" defaultColWidth="11.42578125" defaultRowHeight="11.25"/>
  <cols>
    <col min="1" max="1" width="5.5703125" style="6" customWidth="1"/>
    <col min="2" max="2" width="0.85546875" style="6" customWidth="1"/>
    <col min="3" max="8" width="7.5703125" style="6" customWidth="1"/>
    <col min="9" max="10" width="10.5703125" style="6" customWidth="1"/>
    <col min="11" max="16" width="7.5703125" style="6" customWidth="1"/>
    <col min="17" max="16384" width="11.42578125" style="6"/>
  </cols>
  <sheetData>
    <row r="1" spans="1:42" ht="12.75">
      <c r="I1" s="84"/>
    </row>
    <row r="2" spans="1:42" ht="12.75">
      <c r="A2" s="728" t="s">
        <v>215</v>
      </c>
      <c r="B2" s="63"/>
      <c r="C2" s="40"/>
      <c r="D2" s="41"/>
      <c r="E2" s="41"/>
      <c r="F2" s="41"/>
      <c r="G2" s="41"/>
      <c r="H2" s="41"/>
      <c r="I2" s="42"/>
      <c r="N2" s="465"/>
      <c r="O2" s="41"/>
      <c r="P2" s="41"/>
      <c r="R2" s="64"/>
    </row>
    <row r="3" spans="1:42">
      <c r="A3" s="65"/>
      <c r="B3" s="65"/>
      <c r="C3" s="44"/>
      <c r="D3" s="44"/>
      <c r="E3" s="44"/>
      <c r="F3" s="44"/>
      <c r="G3" s="44"/>
      <c r="H3" s="44"/>
      <c r="I3" s="44"/>
      <c r="K3" s="409"/>
      <c r="L3" s="44"/>
      <c r="M3" s="44" t="s">
        <v>40</v>
      </c>
      <c r="N3" s="44"/>
    </row>
    <row r="4" spans="1:42" ht="15">
      <c r="A4" s="1978" t="s">
        <v>154</v>
      </c>
      <c r="B4" s="1979"/>
      <c r="C4" s="1979"/>
      <c r="D4" s="1979"/>
      <c r="E4" s="1979"/>
      <c r="F4" s="1979"/>
      <c r="G4" s="1979"/>
      <c r="H4" s="1979"/>
      <c r="I4" s="1979"/>
      <c r="J4" s="1979"/>
      <c r="K4" s="1979"/>
      <c r="L4" s="1979"/>
      <c r="M4" s="1979"/>
      <c r="N4" s="1979"/>
      <c r="O4" s="1979"/>
      <c r="P4" s="1979"/>
    </row>
    <row r="5" spans="1:42" ht="12" thickBot="1">
      <c r="A5" s="410"/>
      <c r="B5" s="410"/>
      <c r="C5" s="410"/>
      <c r="D5" s="410"/>
      <c r="E5" s="410"/>
      <c r="F5" s="410"/>
      <c r="G5" s="410"/>
      <c r="H5" s="410"/>
      <c r="I5" s="410"/>
      <c r="J5" s="410"/>
      <c r="K5" s="411"/>
      <c r="L5" s="410"/>
      <c r="M5" s="410"/>
      <c r="N5" s="410"/>
    </row>
    <row r="6" spans="1:42" ht="24.6" customHeight="1">
      <c r="A6" s="1953" t="s">
        <v>43</v>
      </c>
      <c r="B6" s="1984"/>
      <c r="C6" s="1965" t="s">
        <v>360</v>
      </c>
      <c r="D6" s="1966" t="s">
        <v>116</v>
      </c>
      <c r="E6" s="1966" t="s">
        <v>116</v>
      </c>
      <c r="F6" s="1966" t="s">
        <v>116</v>
      </c>
      <c r="G6" s="1966" t="s">
        <v>116</v>
      </c>
      <c r="H6" s="1967" t="s">
        <v>116</v>
      </c>
      <c r="I6" s="207" t="s">
        <v>0</v>
      </c>
      <c r="J6" s="207" t="s">
        <v>1</v>
      </c>
      <c r="K6" s="1962" t="s">
        <v>218</v>
      </c>
      <c r="L6" s="1982"/>
      <c r="M6" s="1982"/>
      <c r="N6" s="1982"/>
      <c r="O6" s="1982"/>
      <c r="P6" s="1983"/>
    </row>
    <row r="7" spans="1:42" ht="11.1" customHeight="1">
      <c r="A7" s="1985"/>
      <c r="B7" s="1986"/>
      <c r="C7" s="1991"/>
      <c r="D7" s="1980"/>
      <c r="E7" s="1980"/>
      <c r="F7" s="1980"/>
      <c r="G7" s="1980"/>
      <c r="H7" s="1981"/>
      <c r="I7" s="19" t="s">
        <v>3</v>
      </c>
      <c r="J7" s="19" t="s">
        <v>4</v>
      </c>
      <c r="K7" s="412"/>
      <c r="L7" s="413"/>
      <c r="M7" s="414"/>
      <c r="N7" s="1971" t="s">
        <v>300</v>
      </c>
      <c r="O7" s="1972"/>
      <c r="P7" s="1976"/>
    </row>
    <row r="8" spans="1:42" ht="12" customHeight="1">
      <c r="A8" s="1985"/>
      <c r="B8" s="1986"/>
      <c r="C8" s="20"/>
      <c r="D8" s="19"/>
      <c r="E8" s="19"/>
      <c r="F8" s="1971" t="s">
        <v>298</v>
      </c>
      <c r="G8" s="1972"/>
      <c r="H8" s="1973"/>
      <c r="I8" s="19" t="s">
        <v>8</v>
      </c>
      <c r="J8" s="19" t="s">
        <v>8</v>
      </c>
      <c r="K8" s="15"/>
      <c r="L8" s="415"/>
      <c r="M8" s="19"/>
      <c r="N8" s="1974"/>
      <c r="O8" s="1975"/>
      <c r="P8" s="1977"/>
      <c r="T8" s="63"/>
      <c r="U8" s="40"/>
      <c r="V8" s="41"/>
      <c r="W8" s="41"/>
      <c r="X8" s="41"/>
      <c r="Y8" s="41"/>
      <c r="Z8" s="41"/>
      <c r="AA8" s="41"/>
      <c r="AB8" s="42"/>
      <c r="AC8" s="42"/>
      <c r="AD8" s="43"/>
      <c r="AE8" s="41"/>
      <c r="AF8" s="41"/>
      <c r="AG8" s="41"/>
      <c r="AH8" s="41"/>
      <c r="AI8" s="41"/>
      <c r="AJ8" s="41"/>
      <c r="AK8" s="41"/>
      <c r="AL8" s="41"/>
      <c r="AM8" s="42"/>
      <c r="AN8" s="41"/>
      <c r="AO8" s="41"/>
      <c r="AP8" s="64" t="s">
        <v>111</v>
      </c>
    </row>
    <row r="9" spans="1:42" ht="12" customHeight="1">
      <c r="A9" s="1985"/>
      <c r="B9" s="1986"/>
      <c r="C9" s="417"/>
      <c r="D9" s="208"/>
      <c r="E9" s="208"/>
      <c r="F9" s="1974"/>
      <c r="G9" s="1975"/>
      <c r="H9" s="1958"/>
      <c r="I9" s="19" t="s">
        <v>20</v>
      </c>
      <c r="J9" s="19" t="s">
        <v>20</v>
      </c>
      <c r="K9" s="263"/>
      <c r="L9" s="418"/>
      <c r="M9" s="208"/>
      <c r="N9" s="498"/>
      <c r="O9" s="297"/>
      <c r="P9" s="551"/>
    </row>
    <row r="10" spans="1:42" ht="12" customHeight="1">
      <c r="A10" s="1985"/>
      <c r="B10" s="1986"/>
      <c r="C10" s="20" t="s">
        <v>19</v>
      </c>
      <c r="D10" s="19" t="s">
        <v>17</v>
      </c>
      <c r="E10" s="19" t="s">
        <v>18</v>
      </c>
      <c r="F10" s="420"/>
      <c r="G10" s="421"/>
      <c r="H10" s="421"/>
      <c r="I10" s="19" t="s">
        <v>33</v>
      </c>
      <c r="J10" s="19" t="s">
        <v>33</v>
      </c>
      <c r="K10" s="422" t="s">
        <v>19</v>
      </c>
      <c r="L10" s="15" t="s">
        <v>17</v>
      </c>
      <c r="M10" s="19" t="s">
        <v>18</v>
      </c>
      <c r="N10" s="20" t="s">
        <v>19</v>
      </c>
      <c r="O10" s="424" t="s">
        <v>17</v>
      </c>
      <c r="P10" s="503" t="s">
        <v>18</v>
      </c>
    </row>
    <row r="11" spans="1:42" ht="12" customHeight="1">
      <c r="A11" s="1985"/>
      <c r="B11" s="1986"/>
      <c r="C11" s="20" t="s">
        <v>29</v>
      </c>
      <c r="D11" s="19" t="s">
        <v>28</v>
      </c>
      <c r="E11" s="19" t="s">
        <v>28</v>
      </c>
      <c r="F11" s="15" t="s">
        <v>30</v>
      </c>
      <c r="G11" s="424" t="s">
        <v>31</v>
      </c>
      <c r="H11" s="424" t="s">
        <v>32</v>
      </c>
      <c r="I11" s="19" t="s">
        <v>39</v>
      </c>
      <c r="J11" s="19" t="s">
        <v>39</v>
      </c>
      <c r="K11" s="422" t="s">
        <v>29</v>
      </c>
      <c r="L11" s="15" t="s">
        <v>28</v>
      </c>
      <c r="M11" s="19" t="s">
        <v>34</v>
      </c>
      <c r="N11" s="20" t="s">
        <v>29</v>
      </c>
      <c r="O11" s="424" t="s">
        <v>28</v>
      </c>
      <c r="P11" s="503" t="s">
        <v>34</v>
      </c>
    </row>
    <row r="12" spans="1:42" ht="11.1" customHeight="1">
      <c r="A12" s="1987"/>
      <c r="B12" s="1988"/>
      <c r="C12" s="417"/>
      <c r="D12" s="208"/>
      <c r="E12" s="425"/>
      <c r="F12" s="426"/>
      <c r="G12" s="427"/>
      <c r="H12" s="427"/>
      <c r="I12" s="425"/>
      <c r="J12" s="425"/>
      <c r="K12" s="263"/>
      <c r="L12" s="418"/>
      <c r="M12" s="425"/>
      <c r="N12" s="553"/>
      <c r="O12" s="427"/>
      <c r="P12" s="518"/>
    </row>
    <row r="13" spans="1:42" ht="15" customHeight="1">
      <c r="A13" s="592" t="s">
        <v>372</v>
      </c>
      <c r="B13" s="582"/>
      <c r="C13" s="1078">
        <v>81</v>
      </c>
      <c r="D13" s="1076">
        <v>78</v>
      </c>
      <c r="E13" s="1077">
        <v>3</v>
      </c>
      <c r="F13" s="1076">
        <v>30</v>
      </c>
      <c r="G13" s="1076">
        <v>30</v>
      </c>
      <c r="H13" s="1077">
        <v>21</v>
      </c>
      <c r="I13" s="1067">
        <v>36</v>
      </c>
      <c r="J13" s="1067">
        <v>6</v>
      </c>
      <c r="K13" s="1080">
        <v>24</v>
      </c>
      <c r="L13" s="1076">
        <v>24</v>
      </c>
      <c r="M13" s="1077">
        <v>0</v>
      </c>
      <c r="N13" s="1080">
        <v>24</v>
      </c>
      <c r="O13" s="1076">
        <v>24</v>
      </c>
      <c r="P13" s="1084">
        <v>0</v>
      </c>
    </row>
    <row r="14" spans="1:42" ht="15" customHeight="1">
      <c r="A14" s="592" t="s">
        <v>170</v>
      </c>
      <c r="B14" s="582"/>
      <c r="C14" s="1069">
        <v>0</v>
      </c>
      <c r="D14" s="5">
        <v>0</v>
      </c>
      <c r="E14" s="396">
        <v>0</v>
      </c>
      <c r="F14" s="5">
        <v>0</v>
      </c>
      <c r="G14" s="5">
        <v>0</v>
      </c>
      <c r="H14" s="396">
        <v>0</v>
      </c>
      <c r="I14" s="396">
        <v>0</v>
      </c>
      <c r="J14" s="396">
        <v>0</v>
      </c>
      <c r="K14" s="1081">
        <v>0</v>
      </c>
      <c r="L14" s="5">
        <v>0</v>
      </c>
      <c r="M14" s="396">
        <v>0</v>
      </c>
      <c r="N14" s="1081">
        <v>0</v>
      </c>
      <c r="O14" s="5">
        <v>0</v>
      </c>
      <c r="P14" s="1038">
        <v>0</v>
      </c>
    </row>
    <row r="15" spans="1:42" ht="15" customHeight="1">
      <c r="A15" s="592" t="s">
        <v>373</v>
      </c>
      <c r="B15" s="582"/>
      <c r="C15" s="1069">
        <v>66</v>
      </c>
      <c r="D15" s="5">
        <v>60</v>
      </c>
      <c r="E15" s="396">
        <v>6</v>
      </c>
      <c r="F15" s="5">
        <v>21</v>
      </c>
      <c r="G15" s="5">
        <v>21</v>
      </c>
      <c r="H15" s="396">
        <v>24</v>
      </c>
      <c r="I15" s="396">
        <v>27</v>
      </c>
      <c r="J15" s="396">
        <v>6</v>
      </c>
      <c r="K15" s="1081">
        <v>21</v>
      </c>
      <c r="L15" s="5">
        <v>21</v>
      </c>
      <c r="M15" s="396">
        <v>0</v>
      </c>
      <c r="N15" s="1081">
        <v>21</v>
      </c>
      <c r="O15" s="5">
        <v>18</v>
      </c>
      <c r="P15" s="1038">
        <v>0</v>
      </c>
    </row>
    <row r="16" spans="1:42" ht="15" customHeight="1">
      <c r="A16" s="592" t="s">
        <v>172</v>
      </c>
      <c r="B16" s="1088"/>
      <c r="C16" s="1069">
        <v>0</v>
      </c>
      <c r="D16" s="5">
        <v>0</v>
      </c>
      <c r="E16" s="396">
        <v>0</v>
      </c>
      <c r="F16" s="5">
        <v>0</v>
      </c>
      <c r="G16" s="5">
        <v>0</v>
      </c>
      <c r="H16" s="396">
        <v>0</v>
      </c>
      <c r="I16" s="396">
        <v>0</v>
      </c>
      <c r="J16" s="396">
        <v>0</v>
      </c>
      <c r="K16" s="1081">
        <v>0</v>
      </c>
      <c r="L16" s="5">
        <v>0</v>
      </c>
      <c r="M16" s="396">
        <v>0</v>
      </c>
      <c r="N16" s="1081">
        <v>0</v>
      </c>
      <c r="O16" s="5">
        <v>0</v>
      </c>
      <c r="P16" s="1038">
        <v>0</v>
      </c>
    </row>
    <row r="17" spans="1:16" ht="15" customHeight="1">
      <c r="A17" s="592" t="s">
        <v>53</v>
      </c>
      <c r="B17" s="1088"/>
      <c r="C17" s="1069">
        <v>36</v>
      </c>
      <c r="D17" s="5">
        <v>33</v>
      </c>
      <c r="E17" s="396">
        <v>3</v>
      </c>
      <c r="F17" s="5">
        <v>12</v>
      </c>
      <c r="G17" s="5">
        <v>9</v>
      </c>
      <c r="H17" s="396">
        <v>12</v>
      </c>
      <c r="I17" s="396">
        <v>12</v>
      </c>
      <c r="J17" s="396">
        <v>0</v>
      </c>
      <c r="K17" s="1081">
        <v>9</v>
      </c>
      <c r="L17" s="5">
        <v>9</v>
      </c>
      <c r="M17" s="396">
        <v>0</v>
      </c>
      <c r="N17" s="1081">
        <v>9</v>
      </c>
      <c r="O17" s="5">
        <v>9</v>
      </c>
      <c r="P17" s="1038">
        <v>0</v>
      </c>
    </row>
    <row r="18" spans="1:16" ht="15" customHeight="1">
      <c r="A18" s="592" t="s">
        <v>374</v>
      </c>
      <c r="B18" s="1090"/>
      <c r="C18" s="1069">
        <v>15</v>
      </c>
      <c r="D18" s="5">
        <v>15</v>
      </c>
      <c r="E18" s="396">
        <v>0</v>
      </c>
      <c r="F18" s="5">
        <v>6</v>
      </c>
      <c r="G18" s="5">
        <v>6</v>
      </c>
      <c r="H18" s="396">
        <v>3</v>
      </c>
      <c r="I18" s="396">
        <v>6</v>
      </c>
      <c r="J18" s="396">
        <v>3</v>
      </c>
      <c r="K18" s="1081">
        <v>3</v>
      </c>
      <c r="L18" s="5">
        <v>3</v>
      </c>
      <c r="M18" s="396">
        <v>0</v>
      </c>
      <c r="N18" s="1081">
        <v>3</v>
      </c>
      <c r="O18" s="5">
        <v>3</v>
      </c>
      <c r="P18" s="1038">
        <v>0</v>
      </c>
    </row>
    <row r="19" spans="1:16" ht="15" customHeight="1">
      <c r="A19" s="592" t="s">
        <v>375</v>
      </c>
      <c r="B19" s="1090"/>
      <c r="C19" s="1069">
        <v>18</v>
      </c>
      <c r="D19" s="5">
        <v>15</v>
      </c>
      <c r="E19" s="396">
        <v>3</v>
      </c>
      <c r="F19" s="5">
        <v>6</v>
      </c>
      <c r="G19" s="5">
        <v>9</v>
      </c>
      <c r="H19" s="396">
        <v>3</v>
      </c>
      <c r="I19" s="396">
        <v>9</v>
      </c>
      <c r="J19" s="396">
        <v>3</v>
      </c>
      <c r="K19" s="1081">
        <v>6</v>
      </c>
      <c r="L19" s="5">
        <v>3</v>
      </c>
      <c r="M19" s="396">
        <v>0</v>
      </c>
      <c r="N19" s="1081">
        <v>3</v>
      </c>
      <c r="O19" s="5">
        <v>3</v>
      </c>
      <c r="P19" s="1038">
        <v>0</v>
      </c>
    </row>
    <row r="20" spans="1:16" ht="15" customHeight="1">
      <c r="A20" s="592" t="s">
        <v>44</v>
      </c>
      <c r="B20" s="1090"/>
      <c r="C20" s="1069">
        <v>27</v>
      </c>
      <c r="D20" s="5">
        <v>21</v>
      </c>
      <c r="E20" s="396">
        <v>6</v>
      </c>
      <c r="F20" s="5">
        <v>9</v>
      </c>
      <c r="G20" s="5">
        <v>9</v>
      </c>
      <c r="H20" s="396">
        <v>9</v>
      </c>
      <c r="I20" s="396">
        <v>12</v>
      </c>
      <c r="J20" s="396">
        <v>3</v>
      </c>
      <c r="K20" s="1081">
        <v>12</v>
      </c>
      <c r="L20" s="5">
        <v>12</v>
      </c>
      <c r="M20" s="396">
        <v>0</v>
      </c>
      <c r="N20" s="1081">
        <v>12</v>
      </c>
      <c r="O20" s="5">
        <v>12</v>
      </c>
      <c r="P20" s="1038">
        <v>0</v>
      </c>
    </row>
    <row r="21" spans="1:16" ht="15" customHeight="1">
      <c r="A21" s="592" t="s">
        <v>376</v>
      </c>
      <c r="B21" s="1090"/>
      <c r="C21" s="1069">
        <v>3</v>
      </c>
      <c r="D21" s="5">
        <v>3</v>
      </c>
      <c r="E21" s="396">
        <v>0</v>
      </c>
      <c r="F21" s="5">
        <v>3</v>
      </c>
      <c r="G21" s="5">
        <v>0</v>
      </c>
      <c r="H21" s="396">
        <v>0</v>
      </c>
      <c r="I21" s="396">
        <v>3</v>
      </c>
      <c r="J21" s="396">
        <v>0</v>
      </c>
      <c r="K21" s="1081">
        <v>0</v>
      </c>
      <c r="L21" s="5">
        <v>0</v>
      </c>
      <c r="M21" s="396">
        <v>0</v>
      </c>
      <c r="N21" s="1081">
        <v>0</v>
      </c>
      <c r="O21" s="5">
        <v>0</v>
      </c>
      <c r="P21" s="1038">
        <v>0</v>
      </c>
    </row>
    <row r="22" spans="1:16" ht="15" customHeight="1">
      <c r="A22" s="592" t="s">
        <v>55</v>
      </c>
      <c r="B22" s="1091"/>
      <c r="C22" s="1069">
        <v>0</v>
      </c>
      <c r="D22" s="5">
        <v>0</v>
      </c>
      <c r="E22" s="396">
        <v>0</v>
      </c>
      <c r="F22" s="5">
        <v>0</v>
      </c>
      <c r="G22" s="5">
        <v>0</v>
      </c>
      <c r="H22" s="396">
        <v>0</v>
      </c>
      <c r="I22" s="396">
        <v>0</v>
      </c>
      <c r="J22" s="396">
        <v>0</v>
      </c>
      <c r="K22" s="1081">
        <v>0</v>
      </c>
      <c r="L22" s="5">
        <v>0</v>
      </c>
      <c r="M22" s="396">
        <v>0</v>
      </c>
      <c r="N22" s="1081">
        <v>0</v>
      </c>
      <c r="O22" s="5">
        <v>0</v>
      </c>
      <c r="P22" s="1038">
        <v>0</v>
      </c>
    </row>
    <row r="23" spans="1:16" ht="15" customHeight="1">
      <c r="A23" s="592" t="s">
        <v>46</v>
      </c>
      <c r="B23" s="1090"/>
      <c r="C23" s="1070">
        <v>0</v>
      </c>
      <c r="D23" s="1063">
        <v>0</v>
      </c>
      <c r="E23" s="1064">
        <v>0</v>
      </c>
      <c r="F23" s="1063">
        <v>0</v>
      </c>
      <c r="G23" s="1063">
        <v>0</v>
      </c>
      <c r="H23" s="1064">
        <v>0</v>
      </c>
      <c r="I23" s="396">
        <v>0</v>
      </c>
      <c r="J23" s="396">
        <v>0</v>
      </c>
      <c r="K23" s="1082">
        <v>0</v>
      </c>
      <c r="L23" s="1063">
        <v>0</v>
      </c>
      <c r="M23" s="1064">
        <v>0</v>
      </c>
      <c r="N23" s="1082">
        <v>0</v>
      </c>
      <c r="O23" s="1063">
        <v>0</v>
      </c>
      <c r="P23" s="1036">
        <v>0</v>
      </c>
    </row>
    <row r="24" spans="1:16" ht="15" customHeight="1">
      <c r="A24" s="592" t="s">
        <v>377</v>
      </c>
      <c r="B24" s="1090"/>
      <c r="C24" s="1069">
        <v>39</v>
      </c>
      <c r="D24" s="5">
        <v>27</v>
      </c>
      <c r="E24" s="396">
        <v>12</v>
      </c>
      <c r="F24" s="5">
        <v>12</v>
      </c>
      <c r="G24" s="5">
        <v>12</v>
      </c>
      <c r="H24" s="396">
        <v>15</v>
      </c>
      <c r="I24" s="258">
        <v>12</v>
      </c>
      <c r="J24" s="258">
        <v>6</v>
      </c>
      <c r="K24" s="1081">
        <v>15</v>
      </c>
      <c r="L24" s="5">
        <v>12</v>
      </c>
      <c r="M24" s="396">
        <v>0</v>
      </c>
      <c r="N24" s="1081">
        <v>15</v>
      </c>
      <c r="O24" s="5">
        <v>12</v>
      </c>
      <c r="P24" s="1038">
        <v>0</v>
      </c>
    </row>
    <row r="25" spans="1:16" ht="15" customHeight="1">
      <c r="A25" s="592" t="s">
        <v>301</v>
      </c>
      <c r="B25" s="1090"/>
      <c r="C25" s="1069">
        <v>27</v>
      </c>
      <c r="D25" s="5">
        <v>27</v>
      </c>
      <c r="E25" s="396">
        <v>0</v>
      </c>
      <c r="F25" s="5">
        <v>9</v>
      </c>
      <c r="G25" s="5">
        <v>9</v>
      </c>
      <c r="H25" s="396">
        <v>9</v>
      </c>
      <c r="I25" s="396">
        <v>12</v>
      </c>
      <c r="J25" s="396">
        <v>3</v>
      </c>
      <c r="K25" s="1081">
        <v>6</v>
      </c>
      <c r="L25" s="5">
        <v>6</v>
      </c>
      <c r="M25" s="396">
        <v>0</v>
      </c>
      <c r="N25" s="1081">
        <v>3</v>
      </c>
      <c r="O25" s="5">
        <v>3</v>
      </c>
      <c r="P25" s="1038">
        <v>0</v>
      </c>
    </row>
    <row r="26" spans="1:16" ht="15" customHeight="1">
      <c r="A26" s="592" t="s">
        <v>56</v>
      </c>
      <c r="B26" s="582"/>
      <c r="C26" s="1069">
        <v>111</v>
      </c>
      <c r="D26" s="5">
        <v>93</v>
      </c>
      <c r="E26" s="396">
        <v>18</v>
      </c>
      <c r="F26" s="5">
        <v>33</v>
      </c>
      <c r="G26" s="5">
        <v>36</v>
      </c>
      <c r="H26" s="396">
        <v>42</v>
      </c>
      <c r="I26" s="396">
        <v>36</v>
      </c>
      <c r="J26" s="396">
        <v>0</v>
      </c>
      <c r="K26" s="1081">
        <v>42</v>
      </c>
      <c r="L26" s="5">
        <v>36</v>
      </c>
      <c r="M26" s="396">
        <v>6</v>
      </c>
      <c r="N26" s="1081">
        <v>39</v>
      </c>
      <c r="O26" s="5">
        <v>36</v>
      </c>
      <c r="P26" s="1038">
        <v>6</v>
      </c>
    </row>
    <row r="27" spans="1:16" s="70" customFormat="1" ht="15" customHeight="1">
      <c r="A27" s="592" t="s">
        <v>57</v>
      </c>
      <c r="B27" s="587"/>
      <c r="C27" s="1069">
        <v>0</v>
      </c>
      <c r="D27" s="5">
        <v>0</v>
      </c>
      <c r="E27" s="396">
        <v>0</v>
      </c>
      <c r="F27" s="5">
        <v>0</v>
      </c>
      <c r="G27" s="5">
        <v>0</v>
      </c>
      <c r="H27" s="396">
        <v>0</v>
      </c>
      <c r="I27" s="396">
        <v>0</v>
      </c>
      <c r="J27" s="396">
        <v>0</v>
      </c>
      <c r="K27" s="1081">
        <v>0</v>
      </c>
      <c r="L27" s="5">
        <v>0</v>
      </c>
      <c r="M27" s="396">
        <v>0</v>
      </c>
      <c r="N27" s="1081">
        <v>0</v>
      </c>
      <c r="O27" s="5">
        <v>0</v>
      </c>
      <c r="P27" s="1038">
        <v>0</v>
      </c>
    </row>
    <row r="28" spans="1:16" s="7" customFormat="1" ht="15" customHeight="1">
      <c r="A28" s="592" t="s">
        <v>378</v>
      </c>
      <c r="B28" s="587"/>
      <c r="C28" s="1069">
        <v>9</v>
      </c>
      <c r="D28" s="5">
        <v>9</v>
      </c>
      <c r="E28" s="396">
        <v>0</v>
      </c>
      <c r="F28" s="5">
        <v>3</v>
      </c>
      <c r="G28" s="5">
        <v>3</v>
      </c>
      <c r="H28" s="396">
        <v>3</v>
      </c>
      <c r="I28" s="1037">
        <v>3</v>
      </c>
      <c r="J28" s="1037">
        <v>0</v>
      </c>
      <c r="K28" s="1081">
        <v>0</v>
      </c>
      <c r="L28" s="5">
        <v>0</v>
      </c>
      <c r="M28" s="396">
        <v>0</v>
      </c>
      <c r="N28" s="1081">
        <v>0</v>
      </c>
      <c r="O28" s="5">
        <v>0</v>
      </c>
      <c r="P28" s="1038">
        <v>0</v>
      </c>
    </row>
    <row r="29" spans="1:16" s="7" customFormat="1" ht="4.5" customHeight="1">
      <c r="A29" s="329"/>
      <c r="B29" s="1088"/>
      <c r="C29" s="408"/>
      <c r="D29" s="406"/>
      <c r="E29" s="407"/>
      <c r="F29" s="406"/>
      <c r="G29" s="406"/>
      <c r="H29" s="407"/>
      <c r="I29" s="1079"/>
      <c r="J29" s="1079"/>
      <c r="K29" s="1083"/>
      <c r="L29" s="406"/>
      <c r="M29" s="407"/>
      <c r="N29" s="1083"/>
      <c r="O29" s="406"/>
      <c r="P29" s="1085"/>
    </row>
    <row r="30" spans="1:16" s="70" customFormat="1" ht="21" customHeight="1" thickBot="1">
      <c r="A30" s="593" t="s">
        <v>60</v>
      </c>
      <c r="B30" s="1089"/>
      <c r="C30" s="1068">
        <f>111+174+150+3</f>
        <v>438</v>
      </c>
      <c r="D30" s="580">
        <f>96+147+138+3</f>
        <v>384</v>
      </c>
      <c r="E30" s="1065">
        <f>15+27+9</f>
        <v>51</v>
      </c>
      <c r="F30" s="580">
        <f>39+57+54+3</f>
        <v>153</v>
      </c>
      <c r="G30" s="580">
        <f>39+54+51</f>
        <v>144</v>
      </c>
      <c r="H30" s="1065">
        <f>36+63+45</f>
        <v>144</v>
      </c>
      <c r="I30" s="1066">
        <f>42+60+63+3</f>
        <v>168</v>
      </c>
      <c r="J30" s="1066">
        <v>30</v>
      </c>
      <c r="K30" s="580">
        <f>27+66+45</f>
        <v>138</v>
      </c>
      <c r="L30" s="580">
        <f>24+57+45</f>
        <v>126</v>
      </c>
      <c r="M30" s="1065">
        <f>3+6+3</f>
        <v>12</v>
      </c>
      <c r="N30" s="580">
        <f>24+60+45</f>
        <v>129</v>
      </c>
      <c r="O30" s="580">
        <f>24+54+42</f>
        <v>120</v>
      </c>
      <c r="P30" s="1039">
        <f>3+6+3</f>
        <v>12</v>
      </c>
    </row>
    <row r="31" spans="1:16" s="70" customFormat="1" ht="3.6" customHeight="1">
      <c r="A31" s="6"/>
      <c r="B31" s="6"/>
      <c r="C31" s="6"/>
      <c r="D31" s="6"/>
      <c r="E31" s="6"/>
      <c r="F31" s="6"/>
      <c r="G31" s="6"/>
      <c r="H31" s="6"/>
      <c r="I31" s="6"/>
      <c r="J31" s="6"/>
      <c r="K31" s="6"/>
      <c r="L31" s="6"/>
      <c r="M31" s="53"/>
      <c r="N31" s="6"/>
    </row>
    <row r="32" spans="1:16" ht="11.1" customHeight="1">
      <c r="A32" s="70" t="s">
        <v>299</v>
      </c>
      <c r="B32" s="70"/>
    </row>
    <row r="33" spans="1:16" s="70" customFormat="1" ht="12" customHeight="1">
      <c r="A33" s="6" t="s">
        <v>357</v>
      </c>
      <c r="B33" s="6"/>
      <c r="E33" s="123"/>
      <c r="F33" s="123"/>
      <c r="G33" s="123"/>
      <c r="H33" s="80"/>
    </row>
    <row r="34" spans="1:16" ht="12" customHeight="1">
      <c r="A34" s="6" t="s">
        <v>358</v>
      </c>
    </row>
    <row r="37" spans="1:16" ht="12" thickBot="1">
      <c r="A37" s="593" t="s">
        <v>60</v>
      </c>
      <c r="B37" s="598"/>
      <c r="C37" s="1068">
        <v>432</v>
      </c>
      <c r="D37" s="580">
        <v>381</v>
      </c>
      <c r="E37" s="1065">
        <v>51</v>
      </c>
      <c r="F37" s="580">
        <v>144</v>
      </c>
      <c r="G37" s="580">
        <v>144</v>
      </c>
      <c r="H37" s="1065">
        <v>141</v>
      </c>
      <c r="I37" s="580">
        <v>168</v>
      </c>
      <c r="J37" s="1066">
        <v>30</v>
      </c>
      <c r="K37" s="1068">
        <v>138</v>
      </c>
      <c r="L37" s="580">
        <v>126</v>
      </c>
      <c r="M37" s="1065">
        <v>6</v>
      </c>
      <c r="N37" s="1068">
        <v>129</v>
      </c>
      <c r="O37" s="580">
        <v>120</v>
      </c>
      <c r="P37" s="1039">
        <v>6</v>
      </c>
    </row>
    <row r="38" spans="1:16" ht="12" thickBot="1">
      <c r="A38" s="593" t="s">
        <v>386</v>
      </c>
      <c r="B38" s="598"/>
      <c r="C38" s="1292">
        <f t="shared" ref="C38:P38" si="0">C30-C37</f>
        <v>6</v>
      </c>
      <c r="D38" s="1293">
        <f t="shared" si="0"/>
        <v>3</v>
      </c>
      <c r="E38" s="1302">
        <f t="shared" si="0"/>
        <v>0</v>
      </c>
      <c r="F38" s="1297">
        <f t="shared" si="0"/>
        <v>9</v>
      </c>
      <c r="G38" s="1305">
        <f t="shared" si="0"/>
        <v>0</v>
      </c>
      <c r="H38" s="1298">
        <f t="shared" si="0"/>
        <v>3</v>
      </c>
      <c r="I38" s="1304">
        <f t="shared" si="0"/>
        <v>0</v>
      </c>
      <c r="J38" s="1335">
        <f t="shared" si="0"/>
        <v>0</v>
      </c>
      <c r="K38" s="1303">
        <f t="shared" si="0"/>
        <v>0</v>
      </c>
      <c r="L38" s="1304">
        <f t="shared" si="0"/>
        <v>0</v>
      </c>
      <c r="M38" s="1294">
        <f t="shared" si="0"/>
        <v>6</v>
      </c>
      <c r="N38" s="1303">
        <f t="shared" si="0"/>
        <v>0</v>
      </c>
      <c r="O38" s="1304">
        <f t="shared" si="0"/>
        <v>0</v>
      </c>
      <c r="P38" s="1341">
        <f t="shared" si="0"/>
        <v>6</v>
      </c>
    </row>
  </sheetData>
  <mergeCells count="6">
    <mergeCell ref="C6:H7"/>
    <mergeCell ref="K6:P6"/>
    <mergeCell ref="A6:B12"/>
    <mergeCell ref="A4:P4"/>
    <mergeCell ref="F8:H9"/>
    <mergeCell ref="N7:P8"/>
  </mergeCells>
  <printOptions horizontalCentered="1"/>
  <pageMargins left="0.39370078740157483" right="0.19685039370078741" top="0.98425196850393704" bottom="0.43307086614173229" header="0.51181102362204722" footer="0.23622047244094491"/>
  <pageSetup paperSize="9" orientation="landscape" r:id="rId1"/>
  <headerFooter alignWithMargins="0">
    <oddHeader>&amp;C&amp;"Arial,Standard"&amp;8- 4 - &amp;R&amp;8&amp;D</oddHeader>
    <oddFooter>&amp;R
&amp;12...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S44"/>
  <sheetViews>
    <sheetView zoomScaleNormal="100" workbookViewId="0"/>
  </sheetViews>
  <sheetFormatPr baseColWidth="10" defaultColWidth="11.42578125" defaultRowHeight="16.5"/>
  <cols>
    <col min="1" max="1" width="20.140625" style="1566" customWidth="1"/>
    <col min="2" max="2" width="8.42578125" style="1566" customWidth="1"/>
    <col min="3" max="3" width="9.42578125" style="1566" customWidth="1"/>
    <col min="4" max="4" width="14.5703125" style="1566" customWidth="1"/>
    <col min="5" max="5" width="14" style="1566" customWidth="1"/>
    <col min="6" max="8" width="13.42578125" style="1566" customWidth="1"/>
    <col min="9" max="9" width="17" style="1566" customWidth="1"/>
    <col min="10" max="10" width="17.85546875" style="1566" customWidth="1"/>
    <col min="11" max="16384" width="11.42578125" style="1566"/>
  </cols>
  <sheetData>
    <row r="1" spans="1:19" ht="18">
      <c r="A1" s="1599" t="s">
        <v>424</v>
      </c>
      <c r="B1" s="1599"/>
      <c r="C1" s="1423"/>
      <c r="D1" s="1423"/>
      <c r="E1" s="1423"/>
      <c r="F1" s="1423"/>
      <c r="G1" s="1423"/>
      <c r="H1" s="1423"/>
      <c r="I1" s="1423"/>
      <c r="J1" s="1423"/>
    </row>
    <row r="2" spans="1:19" ht="18">
      <c r="A2" s="1600" t="s">
        <v>154</v>
      </c>
      <c r="B2" s="1600"/>
      <c r="C2" s="1423"/>
      <c r="D2" s="1423"/>
      <c r="E2" s="1423"/>
      <c r="F2" s="1423"/>
      <c r="G2" s="1423"/>
      <c r="H2" s="1423"/>
      <c r="I2" s="1423"/>
      <c r="J2" s="1423"/>
    </row>
    <row r="3" spans="1:19" ht="18">
      <c r="A3" s="1600" t="s">
        <v>559</v>
      </c>
      <c r="B3" s="1600"/>
      <c r="C3" s="1423"/>
      <c r="D3" s="1423"/>
      <c r="E3" s="1423"/>
      <c r="F3" s="1423"/>
      <c r="G3" s="1423"/>
      <c r="H3" s="1423"/>
      <c r="I3" s="1423"/>
      <c r="J3" s="1423"/>
    </row>
    <row r="4" spans="1:19" ht="66">
      <c r="A4" s="1421" t="s">
        <v>43</v>
      </c>
      <c r="B4" s="1421" t="s">
        <v>475</v>
      </c>
      <c r="C4" s="1421" t="s">
        <v>94</v>
      </c>
      <c r="D4" s="1420" t="s">
        <v>416</v>
      </c>
      <c r="E4" s="1409" t="s">
        <v>417</v>
      </c>
      <c r="F4" s="1419" t="s">
        <v>419</v>
      </c>
      <c r="G4" s="1419" t="s">
        <v>420</v>
      </c>
      <c r="H4" s="1419" t="s">
        <v>421</v>
      </c>
      <c r="I4" s="1419" t="s">
        <v>414</v>
      </c>
      <c r="J4" s="1418" t="s">
        <v>415</v>
      </c>
    </row>
    <row r="5" spans="1:19" ht="18">
      <c r="A5" s="1434" t="s">
        <v>468</v>
      </c>
      <c r="B5" s="1700">
        <v>1</v>
      </c>
      <c r="C5" s="1394">
        <v>63</v>
      </c>
      <c r="D5" s="1395">
        <v>60</v>
      </c>
      <c r="E5" s="1396">
        <v>3</v>
      </c>
      <c r="F5" s="1395">
        <v>24</v>
      </c>
      <c r="G5" s="1395">
        <v>21</v>
      </c>
      <c r="H5" s="1396">
        <v>21</v>
      </c>
      <c r="I5" s="1570">
        <v>24</v>
      </c>
      <c r="J5" s="1395">
        <v>6</v>
      </c>
      <c r="L5" s="1788"/>
      <c r="M5" s="1788"/>
      <c r="N5" s="1788"/>
      <c r="O5" s="1788"/>
      <c r="P5" s="1788"/>
      <c r="Q5" s="1788"/>
      <c r="R5" s="1788"/>
      <c r="S5" s="1788"/>
    </row>
    <row r="6" spans="1:19" ht="18">
      <c r="A6" s="1434" t="s">
        <v>438</v>
      </c>
      <c r="B6" s="1701"/>
      <c r="C6" s="1394">
        <v>0</v>
      </c>
      <c r="D6" s="1395">
        <v>0</v>
      </c>
      <c r="E6" s="1396">
        <v>0</v>
      </c>
      <c r="F6" s="1395">
        <v>0</v>
      </c>
      <c r="G6" s="1395">
        <v>0</v>
      </c>
      <c r="H6" s="1396">
        <v>0</v>
      </c>
      <c r="I6" s="1397">
        <v>0</v>
      </c>
      <c r="J6" s="1396">
        <v>0</v>
      </c>
      <c r="L6" s="1788"/>
      <c r="M6" s="1788"/>
      <c r="N6" s="1788"/>
      <c r="O6" s="1788"/>
      <c r="P6" s="1788"/>
      <c r="Q6" s="1788"/>
      <c r="R6" s="1788"/>
      <c r="S6" s="1788"/>
    </row>
    <row r="7" spans="1:19" ht="18">
      <c r="A7" s="1434" t="s">
        <v>469</v>
      </c>
      <c r="B7" s="1701">
        <v>1</v>
      </c>
      <c r="C7" s="1394">
        <v>81</v>
      </c>
      <c r="D7" s="1395">
        <v>69</v>
      </c>
      <c r="E7" s="1396">
        <v>12</v>
      </c>
      <c r="F7" s="1395">
        <v>30</v>
      </c>
      <c r="G7" s="1395">
        <v>27</v>
      </c>
      <c r="H7" s="1396">
        <v>27</v>
      </c>
      <c r="I7" s="1397">
        <v>33</v>
      </c>
      <c r="J7" s="1395">
        <v>12</v>
      </c>
      <c r="L7" s="1788"/>
      <c r="M7" s="1788"/>
      <c r="N7" s="1788"/>
      <c r="O7" s="1788"/>
      <c r="P7" s="1788"/>
      <c r="Q7" s="1788"/>
      <c r="R7" s="1788"/>
      <c r="S7" s="1788"/>
    </row>
    <row r="8" spans="1:19" ht="18">
      <c r="A8" s="1434" t="s">
        <v>440</v>
      </c>
      <c r="B8" s="1701"/>
      <c r="C8" s="1394">
        <v>0</v>
      </c>
      <c r="D8" s="1395">
        <v>0</v>
      </c>
      <c r="E8" s="1396">
        <v>0</v>
      </c>
      <c r="F8" s="1395">
        <v>0</v>
      </c>
      <c r="G8" s="1395">
        <v>0</v>
      </c>
      <c r="H8" s="1396">
        <v>0</v>
      </c>
      <c r="I8" s="1397">
        <v>0</v>
      </c>
      <c r="J8" s="1396">
        <v>0</v>
      </c>
      <c r="L8" s="1788"/>
      <c r="M8" s="1788"/>
      <c r="N8" s="1788"/>
      <c r="O8" s="1788"/>
      <c r="P8" s="1788"/>
      <c r="Q8" s="1788"/>
      <c r="R8" s="1788"/>
      <c r="S8" s="1788"/>
    </row>
    <row r="9" spans="1:19" ht="18">
      <c r="A9" s="1434" t="s">
        <v>441</v>
      </c>
      <c r="B9" s="1701">
        <v>1</v>
      </c>
      <c r="C9" s="1394">
        <v>57</v>
      </c>
      <c r="D9" s="1395">
        <v>57</v>
      </c>
      <c r="E9" s="1396">
        <v>0</v>
      </c>
      <c r="F9" s="1395">
        <v>24</v>
      </c>
      <c r="G9" s="1395">
        <v>18</v>
      </c>
      <c r="H9" s="1396">
        <v>15</v>
      </c>
      <c r="I9" s="1397">
        <v>24</v>
      </c>
      <c r="J9" s="1395">
        <v>6</v>
      </c>
      <c r="L9" s="1788"/>
      <c r="M9" s="1788"/>
      <c r="N9" s="1788"/>
      <c r="O9" s="1788"/>
      <c r="P9" s="1788"/>
      <c r="Q9" s="1788"/>
      <c r="R9" s="1788"/>
      <c r="S9" s="1788"/>
    </row>
    <row r="10" spans="1:19" ht="18">
      <c r="A10" s="1434" t="s">
        <v>467</v>
      </c>
      <c r="B10" s="1701">
        <v>1</v>
      </c>
      <c r="C10" s="1394">
        <v>9</v>
      </c>
      <c r="D10" s="1395">
        <v>6</v>
      </c>
      <c r="E10" s="1396">
        <v>3</v>
      </c>
      <c r="F10" s="1395">
        <v>3</v>
      </c>
      <c r="G10" s="1395">
        <v>3</v>
      </c>
      <c r="H10" s="1396">
        <v>3</v>
      </c>
      <c r="I10" s="1397">
        <v>3</v>
      </c>
      <c r="J10" s="1396">
        <v>0</v>
      </c>
      <c r="L10" s="1788"/>
      <c r="M10" s="1788"/>
      <c r="N10" s="1788"/>
      <c r="O10" s="1788"/>
      <c r="P10" s="1788"/>
      <c r="Q10" s="1788"/>
      <c r="R10" s="1788"/>
      <c r="S10" s="1788"/>
    </row>
    <row r="11" spans="1:19" ht="18">
      <c r="A11" s="1434" t="s">
        <v>466</v>
      </c>
      <c r="B11" s="1701">
        <v>1</v>
      </c>
      <c r="C11" s="1394">
        <v>3</v>
      </c>
      <c r="D11" s="1395">
        <v>3</v>
      </c>
      <c r="E11" s="1396">
        <v>0</v>
      </c>
      <c r="F11" s="1395">
        <v>3</v>
      </c>
      <c r="G11" s="1395">
        <v>0</v>
      </c>
      <c r="H11" s="1396">
        <v>0</v>
      </c>
      <c r="I11" s="1397">
        <v>3</v>
      </c>
      <c r="J11" s="1396">
        <v>0</v>
      </c>
      <c r="L11" s="1788"/>
      <c r="M11" s="1788"/>
      <c r="N11" s="1788"/>
      <c r="O11" s="1788"/>
      <c r="P11" s="1788"/>
      <c r="Q11" s="1788"/>
      <c r="R11" s="1788"/>
      <c r="S11" s="1788"/>
    </row>
    <row r="12" spans="1:19" ht="18">
      <c r="A12" s="1434" t="s">
        <v>444</v>
      </c>
      <c r="B12" s="1701">
        <v>1</v>
      </c>
      <c r="C12" s="1394">
        <v>24</v>
      </c>
      <c r="D12" s="1395">
        <v>21</v>
      </c>
      <c r="E12" s="1396">
        <v>3</v>
      </c>
      <c r="F12" s="1395">
        <v>6</v>
      </c>
      <c r="G12" s="1395">
        <v>9</v>
      </c>
      <c r="H12" s="1396">
        <v>9</v>
      </c>
      <c r="I12" s="1397">
        <v>9</v>
      </c>
      <c r="J12" s="1396">
        <v>0</v>
      </c>
      <c r="L12" s="1788"/>
      <c r="M12" s="1788"/>
      <c r="N12" s="1788"/>
      <c r="O12" s="1788"/>
      <c r="P12" s="1788"/>
      <c r="Q12" s="1788"/>
      <c r="R12" s="1788"/>
      <c r="S12" s="1788"/>
    </row>
    <row r="13" spans="1:19" ht="18">
      <c r="A13" s="1434" t="s">
        <v>470</v>
      </c>
      <c r="B13" s="1701"/>
      <c r="C13" s="1394">
        <v>0</v>
      </c>
      <c r="D13" s="1395">
        <v>0</v>
      </c>
      <c r="E13" s="1396">
        <v>0</v>
      </c>
      <c r="F13" s="1395">
        <v>0</v>
      </c>
      <c r="G13" s="1395">
        <v>0</v>
      </c>
      <c r="H13" s="1396">
        <v>0</v>
      </c>
      <c r="I13" s="1397">
        <v>0</v>
      </c>
      <c r="J13" s="1396">
        <v>0</v>
      </c>
      <c r="L13" s="1788"/>
      <c r="M13" s="1788"/>
      <c r="N13" s="1788"/>
      <c r="O13" s="1788"/>
      <c r="P13" s="1788"/>
      <c r="Q13" s="1788"/>
      <c r="R13" s="1788"/>
      <c r="S13" s="1788"/>
    </row>
    <row r="14" spans="1:19" ht="18">
      <c r="A14" s="1434" t="s">
        <v>471</v>
      </c>
      <c r="B14" s="1701"/>
      <c r="C14" s="1394">
        <v>0</v>
      </c>
      <c r="D14" s="1395">
        <v>0</v>
      </c>
      <c r="E14" s="1396">
        <v>0</v>
      </c>
      <c r="F14" s="1395">
        <v>0</v>
      </c>
      <c r="G14" s="1395">
        <v>0</v>
      </c>
      <c r="H14" s="1396">
        <v>0</v>
      </c>
      <c r="I14" s="1397">
        <v>0</v>
      </c>
      <c r="J14" s="1396">
        <v>0</v>
      </c>
      <c r="L14" s="1788"/>
      <c r="M14" s="1788"/>
      <c r="N14" s="1788"/>
      <c r="O14" s="1788"/>
      <c r="P14" s="1788"/>
      <c r="Q14" s="1788"/>
      <c r="R14" s="1788"/>
      <c r="S14" s="1788"/>
    </row>
    <row r="15" spans="1:19" ht="18">
      <c r="A15" s="1434" t="s">
        <v>447</v>
      </c>
      <c r="B15" s="1701"/>
      <c r="C15" s="1394">
        <v>0</v>
      </c>
      <c r="D15" s="1395">
        <v>0</v>
      </c>
      <c r="E15" s="1396">
        <v>0</v>
      </c>
      <c r="F15" s="1395">
        <v>0</v>
      </c>
      <c r="G15" s="1395">
        <v>0</v>
      </c>
      <c r="H15" s="1396">
        <v>0</v>
      </c>
      <c r="I15" s="1397">
        <v>0</v>
      </c>
      <c r="J15" s="1396">
        <v>0</v>
      </c>
      <c r="L15" s="1788"/>
      <c r="M15" s="1788"/>
      <c r="N15" s="1788"/>
      <c r="O15" s="1788"/>
      <c r="P15" s="1788"/>
      <c r="Q15" s="1788"/>
      <c r="R15" s="1788"/>
      <c r="S15" s="1788"/>
    </row>
    <row r="16" spans="1:19" ht="18">
      <c r="A16" s="1434" t="s">
        <v>472</v>
      </c>
      <c r="B16" s="1701">
        <v>1</v>
      </c>
      <c r="C16" s="1394">
        <v>18</v>
      </c>
      <c r="D16" s="1395">
        <v>15</v>
      </c>
      <c r="E16" s="1396">
        <v>3</v>
      </c>
      <c r="F16" s="1395">
        <v>9</v>
      </c>
      <c r="G16" s="1395">
        <v>3</v>
      </c>
      <c r="H16" s="1396">
        <v>6</v>
      </c>
      <c r="I16" s="1397">
        <v>9</v>
      </c>
      <c r="J16" s="1396">
        <v>3</v>
      </c>
      <c r="L16" s="1788"/>
      <c r="M16" s="1788"/>
      <c r="N16" s="1788"/>
      <c r="O16" s="1788"/>
      <c r="P16" s="1788"/>
      <c r="Q16" s="1788"/>
      <c r="R16" s="1788"/>
      <c r="S16" s="1788"/>
    </row>
    <row r="17" spans="1:19" ht="18">
      <c r="A17" s="1434" t="s">
        <v>476</v>
      </c>
      <c r="B17" s="1701">
        <v>2</v>
      </c>
      <c r="C17" s="1394">
        <v>24</v>
      </c>
      <c r="D17" s="1395">
        <v>21</v>
      </c>
      <c r="E17" s="1396">
        <v>3</v>
      </c>
      <c r="F17" s="1395">
        <v>9</v>
      </c>
      <c r="G17" s="1395">
        <v>6</v>
      </c>
      <c r="H17" s="1396">
        <v>9</v>
      </c>
      <c r="I17" s="1397">
        <v>9</v>
      </c>
      <c r="J17" s="1395">
        <v>3</v>
      </c>
      <c r="L17" s="1788"/>
      <c r="M17" s="1788"/>
      <c r="N17" s="1788"/>
      <c r="O17" s="1788"/>
      <c r="P17" s="1788"/>
      <c r="Q17" s="1788"/>
      <c r="R17" s="1788"/>
      <c r="S17" s="1788"/>
    </row>
    <row r="18" spans="1:19" ht="18">
      <c r="A18" s="1434" t="s">
        <v>477</v>
      </c>
      <c r="B18" s="1701">
        <v>2</v>
      </c>
      <c r="C18" s="1394">
        <v>90</v>
      </c>
      <c r="D18" s="1395">
        <v>75</v>
      </c>
      <c r="E18" s="1396">
        <v>15</v>
      </c>
      <c r="F18" s="1395">
        <v>33</v>
      </c>
      <c r="G18" s="1395">
        <v>39</v>
      </c>
      <c r="H18" s="1396">
        <v>18</v>
      </c>
      <c r="I18" s="1397">
        <v>36</v>
      </c>
      <c r="J18" s="1395">
        <v>15</v>
      </c>
      <c r="L18" s="1788"/>
      <c r="M18" s="1788"/>
      <c r="N18" s="1788"/>
      <c r="O18" s="1788"/>
      <c r="P18" s="1788"/>
      <c r="Q18" s="1788"/>
      <c r="R18" s="1788"/>
      <c r="S18" s="1788"/>
    </row>
    <row r="19" spans="1:19" ht="18">
      <c r="A19" s="1434" t="s">
        <v>478</v>
      </c>
      <c r="B19" s="1701">
        <v>2</v>
      </c>
      <c r="C19" s="1394">
        <v>18</v>
      </c>
      <c r="D19" s="1395">
        <v>12</v>
      </c>
      <c r="E19" s="1396">
        <v>6</v>
      </c>
      <c r="F19" s="1395">
        <v>9</v>
      </c>
      <c r="G19" s="1395">
        <v>6</v>
      </c>
      <c r="H19" s="1396">
        <v>3</v>
      </c>
      <c r="I19" s="1397">
        <v>9</v>
      </c>
      <c r="J19" s="1395">
        <v>3</v>
      </c>
      <c r="L19" s="1788"/>
      <c r="M19" s="1788"/>
      <c r="N19" s="1788"/>
      <c r="O19" s="1788"/>
      <c r="P19" s="1788"/>
      <c r="Q19" s="1788"/>
      <c r="R19" s="1788"/>
      <c r="S19" s="1788"/>
    </row>
    <row r="20" spans="1:19" ht="18">
      <c r="A20" s="1434" t="s">
        <v>452</v>
      </c>
      <c r="B20" s="1702">
        <v>2</v>
      </c>
      <c r="C20" s="1394">
        <v>9</v>
      </c>
      <c r="D20" s="1395">
        <v>9</v>
      </c>
      <c r="E20" s="1396">
        <v>3</v>
      </c>
      <c r="F20" s="1395">
        <v>3</v>
      </c>
      <c r="G20" s="1395">
        <v>6</v>
      </c>
      <c r="H20" s="1396">
        <v>0</v>
      </c>
      <c r="I20" s="1769">
        <v>3</v>
      </c>
      <c r="J20" s="1396">
        <v>0</v>
      </c>
      <c r="L20" s="1788"/>
      <c r="M20" s="1788"/>
      <c r="N20" s="1788"/>
      <c r="O20" s="1788"/>
      <c r="P20" s="1788"/>
      <c r="Q20" s="1788"/>
      <c r="R20" s="1788"/>
      <c r="S20" s="1788"/>
    </row>
    <row r="21" spans="1:19">
      <c r="A21" s="1435" t="s">
        <v>418</v>
      </c>
      <c r="B21" s="1710"/>
      <c r="C21" s="1790">
        <v>402</v>
      </c>
      <c r="D21" s="1791">
        <v>345</v>
      </c>
      <c r="E21" s="1791">
        <v>51</v>
      </c>
      <c r="F21" s="1790">
        <v>153</v>
      </c>
      <c r="G21" s="1791">
        <v>135</v>
      </c>
      <c r="H21" s="1792">
        <v>117</v>
      </c>
      <c r="I21" s="1698">
        <v>162</v>
      </c>
      <c r="J21" s="1699">
        <v>48</v>
      </c>
      <c r="S21" s="1788"/>
    </row>
    <row r="22" spans="1:19" ht="18">
      <c r="A22" s="1601" t="s">
        <v>552</v>
      </c>
      <c r="B22" s="1601"/>
      <c r="C22" s="1412"/>
      <c r="D22" s="1412"/>
      <c r="E22" s="1412"/>
      <c r="F22" s="1412"/>
      <c r="G22" s="1412"/>
      <c r="H22" s="1412"/>
      <c r="I22" s="1411"/>
      <c r="J22" s="1411"/>
      <c r="L22" s="1788"/>
      <c r="M22" s="1788"/>
      <c r="N22" s="1788"/>
      <c r="O22" s="1788"/>
      <c r="P22" s="1788"/>
      <c r="Q22" s="1788"/>
      <c r="R22" s="1788"/>
      <c r="S22" s="1788"/>
    </row>
    <row r="23" spans="1:19" ht="66">
      <c r="A23" s="1708" t="s">
        <v>43</v>
      </c>
      <c r="B23" s="1708" t="s">
        <v>475</v>
      </c>
      <c r="C23" s="1706" t="s">
        <v>94</v>
      </c>
      <c r="D23" s="1707" t="s">
        <v>92</v>
      </c>
      <c r="E23" s="1409" t="s">
        <v>93</v>
      </c>
      <c r="F23" s="1419" t="s">
        <v>474</v>
      </c>
      <c r="G23" s="1419" t="s">
        <v>422</v>
      </c>
      <c r="H23" s="1418" t="s">
        <v>423</v>
      </c>
      <c r="I23" s="1408"/>
      <c r="J23" s="1408"/>
    </row>
    <row r="24" spans="1:19" ht="18">
      <c r="A24" s="1434" t="s">
        <v>437</v>
      </c>
      <c r="B24" s="1700">
        <v>1</v>
      </c>
      <c r="C24" s="1394">
        <v>15</v>
      </c>
      <c r="D24" s="1395">
        <v>15</v>
      </c>
      <c r="E24" s="1396">
        <v>0</v>
      </c>
      <c r="F24" s="1394">
        <v>15</v>
      </c>
      <c r="G24" s="1395">
        <v>15</v>
      </c>
      <c r="H24" s="1395">
        <v>0</v>
      </c>
      <c r="I24" s="1402"/>
      <c r="J24" s="1772"/>
      <c r="K24" s="1395"/>
      <c r="L24" s="1772"/>
      <c r="M24" s="1395"/>
      <c r="N24" s="1395"/>
      <c r="O24" s="1788"/>
      <c r="P24" s="1788"/>
      <c r="Q24" s="1788"/>
    </row>
    <row r="25" spans="1:19" ht="18">
      <c r="A25" s="1434" t="s">
        <v>438</v>
      </c>
      <c r="B25" s="1701"/>
      <c r="C25" s="1394">
        <v>0</v>
      </c>
      <c r="D25" s="1395">
        <v>0</v>
      </c>
      <c r="E25" s="1396">
        <v>0</v>
      </c>
      <c r="F25" s="1394">
        <v>0</v>
      </c>
      <c r="G25" s="1395">
        <v>0</v>
      </c>
      <c r="H25" s="1396">
        <v>0</v>
      </c>
      <c r="I25" s="1402"/>
      <c r="J25" s="1772"/>
      <c r="K25" s="1395"/>
      <c r="L25" s="1772"/>
      <c r="M25" s="1395"/>
      <c r="N25" s="1395"/>
      <c r="O25" s="1788"/>
      <c r="P25" s="1788"/>
      <c r="Q25" s="1788"/>
    </row>
    <row r="26" spans="1:19" ht="18">
      <c r="A26" s="1434" t="s">
        <v>439</v>
      </c>
      <c r="B26" s="1701">
        <v>1</v>
      </c>
      <c r="C26" s="1394">
        <v>30</v>
      </c>
      <c r="D26" s="1395">
        <v>30</v>
      </c>
      <c r="E26" s="1396">
        <v>3</v>
      </c>
      <c r="F26" s="1394">
        <v>30</v>
      </c>
      <c r="G26" s="1395">
        <v>30</v>
      </c>
      <c r="H26" s="1395">
        <v>3</v>
      </c>
      <c r="I26" s="1402"/>
      <c r="J26" s="1772"/>
      <c r="K26" s="1395"/>
      <c r="L26" s="1772"/>
      <c r="M26" s="1395"/>
      <c r="N26" s="1395"/>
      <c r="O26" s="1788"/>
      <c r="P26" s="1788"/>
      <c r="Q26" s="1788"/>
    </row>
    <row r="27" spans="1:19" ht="18">
      <c r="A27" s="1434" t="s">
        <v>440</v>
      </c>
      <c r="B27" s="1701"/>
      <c r="C27" s="1394">
        <v>0</v>
      </c>
      <c r="D27" s="1395">
        <v>0</v>
      </c>
      <c r="E27" s="1396">
        <v>0</v>
      </c>
      <c r="F27" s="1394">
        <v>0</v>
      </c>
      <c r="G27" s="1395">
        <v>0</v>
      </c>
      <c r="H27" s="1396">
        <v>0</v>
      </c>
      <c r="I27" s="1402"/>
      <c r="J27" s="1772"/>
      <c r="K27" s="1395"/>
      <c r="L27" s="1772"/>
      <c r="M27" s="1395"/>
      <c r="N27" s="1395"/>
      <c r="O27" s="1788"/>
      <c r="P27" s="1788"/>
      <c r="Q27" s="1788"/>
    </row>
    <row r="28" spans="1:19" ht="18">
      <c r="A28" s="1434" t="s">
        <v>441</v>
      </c>
      <c r="B28" s="1701"/>
      <c r="C28" s="1394">
        <v>15</v>
      </c>
      <c r="D28" s="1395">
        <v>15</v>
      </c>
      <c r="E28" s="1396">
        <v>0</v>
      </c>
      <c r="F28" s="1394">
        <v>15</v>
      </c>
      <c r="G28" s="1395">
        <v>15</v>
      </c>
      <c r="H28" s="1395">
        <v>0</v>
      </c>
      <c r="I28" s="1402"/>
      <c r="J28" s="1772"/>
      <c r="K28" s="1395"/>
      <c r="L28" s="1772"/>
      <c r="M28" s="1395"/>
      <c r="N28" s="1395"/>
      <c r="O28" s="1788"/>
      <c r="P28" s="1788"/>
      <c r="Q28" s="1788"/>
    </row>
    <row r="29" spans="1:19" ht="18">
      <c r="A29" s="1434" t="s">
        <v>442</v>
      </c>
      <c r="B29" s="1701"/>
      <c r="C29" s="1394">
        <v>6</v>
      </c>
      <c r="D29" s="1395">
        <v>3</v>
      </c>
      <c r="E29" s="1396">
        <v>0</v>
      </c>
      <c r="F29" s="1394">
        <v>6</v>
      </c>
      <c r="G29" s="1395">
        <v>3</v>
      </c>
      <c r="H29" s="1395">
        <v>0</v>
      </c>
      <c r="I29" s="1408"/>
      <c r="J29" s="1772"/>
      <c r="K29" s="1395"/>
      <c r="L29" s="1772"/>
      <c r="M29" s="1395"/>
      <c r="N29" s="1395"/>
      <c r="O29" s="1788"/>
      <c r="P29" s="1788"/>
      <c r="Q29" s="1788"/>
    </row>
    <row r="30" spans="1:19" ht="18">
      <c r="A30" s="1434" t="s">
        <v>443</v>
      </c>
      <c r="B30" s="1701">
        <v>1</v>
      </c>
      <c r="C30" s="1394">
        <v>0</v>
      </c>
      <c r="D30" s="1395">
        <v>0</v>
      </c>
      <c r="E30" s="1396">
        <v>0</v>
      </c>
      <c r="F30" s="1394">
        <v>0</v>
      </c>
      <c r="G30" s="1395">
        <v>0</v>
      </c>
      <c r="H30" s="1395">
        <v>0</v>
      </c>
      <c r="I30" s="1402"/>
      <c r="J30" s="1772"/>
      <c r="K30" s="1395"/>
      <c r="L30" s="1772"/>
      <c r="M30" s="1395"/>
      <c r="N30" s="1395"/>
      <c r="O30" s="1788"/>
      <c r="P30" s="1788"/>
      <c r="Q30" s="1788"/>
    </row>
    <row r="31" spans="1:19" ht="18">
      <c r="A31" s="1434" t="s">
        <v>444</v>
      </c>
      <c r="B31" s="1701"/>
      <c r="C31" s="1394">
        <v>6</v>
      </c>
      <c r="D31" s="1395">
        <v>3</v>
      </c>
      <c r="E31" s="1396">
        <v>3</v>
      </c>
      <c r="F31" s="1394">
        <v>6</v>
      </c>
      <c r="G31" s="1395">
        <v>3</v>
      </c>
      <c r="H31" s="1395">
        <v>3</v>
      </c>
      <c r="I31" s="1402"/>
      <c r="J31" s="1772"/>
      <c r="K31" s="1395"/>
      <c r="L31" s="1772"/>
      <c r="M31" s="1395"/>
      <c r="N31" s="1395"/>
      <c r="O31" s="1788"/>
      <c r="P31" s="1788"/>
      <c r="Q31" s="1788"/>
    </row>
    <row r="32" spans="1:19" ht="18">
      <c r="A32" s="1434" t="s">
        <v>445</v>
      </c>
      <c r="B32" s="1701">
        <v>2</v>
      </c>
      <c r="C32" s="1394">
        <v>9</v>
      </c>
      <c r="D32" s="1395">
        <v>6</v>
      </c>
      <c r="E32" s="1396">
        <v>3</v>
      </c>
      <c r="F32" s="1394">
        <v>9</v>
      </c>
      <c r="G32" s="1395">
        <v>6</v>
      </c>
      <c r="H32" s="1395">
        <v>3</v>
      </c>
      <c r="I32" s="1402"/>
      <c r="J32" s="1772"/>
      <c r="K32" s="1395"/>
      <c r="L32" s="1772"/>
      <c r="M32" s="1395"/>
      <c r="N32" s="1395"/>
      <c r="O32" s="1788"/>
      <c r="P32" s="1788"/>
      <c r="Q32" s="1788"/>
    </row>
    <row r="33" spans="1:17" ht="18">
      <c r="A33" s="1434" t="s">
        <v>446</v>
      </c>
      <c r="B33" s="1701"/>
      <c r="C33" s="1394">
        <v>0</v>
      </c>
      <c r="D33" s="1395">
        <v>0</v>
      </c>
      <c r="E33" s="1396">
        <v>0</v>
      </c>
      <c r="F33" s="1394">
        <v>0</v>
      </c>
      <c r="G33" s="1395">
        <v>0</v>
      </c>
      <c r="H33" s="1396">
        <v>0</v>
      </c>
      <c r="I33" s="1402"/>
      <c r="J33" s="1772"/>
      <c r="K33" s="1395"/>
      <c r="L33" s="1772"/>
      <c r="M33" s="1395"/>
      <c r="N33" s="1395"/>
      <c r="O33" s="1788"/>
      <c r="P33" s="1788"/>
      <c r="Q33" s="1788"/>
    </row>
    <row r="34" spans="1:17" ht="18">
      <c r="A34" s="1434" t="s">
        <v>447</v>
      </c>
      <c r="B34" s="1701"/>
      <c r="C34" s="1394">
        <v>0</v>
      </c>
      <c r="D34" s="1395">
        <v>0</v>
      </c>
      <c r="E34" s="1396">
        <v>0</v>
      </c>
      <c r="F34" s="1394">
        <v>0</v>
      </c>
      <c r="G34" s="1395">
        <v>0</v>
      </c>
      <c r="H34" s="1396">
        <v>0</v>
      </c>
      <c r="I34" s="1402"/>
      <c r="J34" s="1772"/>
      <c r="K34" s="1395"/>
      <c r="L34" s="1772"/>
      <c r="M34" s="1395"/>
      <c r="N34" s="1395"/>
      <c r="O34" s="1788"/>
      <c r="P34" s="1788"/>
      <c r="Q34" s="1788"/>
    </row>
    <row r="35" spans="1:17" ht="18">
      <c r="A35" s="1434" t="s">
        <v>448</v>
      </c>
      <c r="B35" s="1701">
        <v>1</v>
      </c>
      <c r="C35" s="1394">
        <v>9</v>
      </c>
      <c r="D35" s="1395">
        <v>9</v>
      </c>
      <c r="E35" s="1396">
        <v>0</v>
      </c>
      <c r="F35" s="1394">
        <v>9</v>
      </c>
      <c r="G35" s="1395">
        <v>9</v>
      </c>
      <c r="H35" s="1395">
        <v>0</v>
      </c>
      <c r="I35" s="1402"/>
      <c r="J35" s="1772"/>
      <c r="K35" s="1395"/>
      <c r="L35" s="1772"/>
      <c r="M35" s="1395"/>
      <c r="N35" s="1395"/>
      <c r="O35" s="1788"/>
      <c r="P35" s="1788"/>
      <c r="Q35" s="1788"/>
    </row>
    <row r="36" spans="1:17" ht="18">
      <c r="A36" s="1434" t="s">
        <v>449</v>
      </c>
      <c r="B36" s="1701">
        <v>2</v>
      </c>
      <c r="C36" s="1394">
        <v>9</v>
      </c>
      <c r="D36" s="1395">
        <v>9</v>
      </c>
      <c r="E36" s="1396">
        <v>0</v>
      </c>
      <c r="F36" s="1394">
        <v>9</v>
      </c>
      <c r="G36" s="1395">
        <v>9</v>
      </c>
      <c r="H36" s="1395">
        <v>0</v>
      </c>
      <c r="I36" s="1402"/>
      <c r="J36" s="1772"/>
      <c r="K36" s="1395"/>
      <c r="L36" s="1772"/>
      <c r="M36" s="1395"/>
      <c r="N36" s="1395"/>
      <c r="O36" s="1788"/>
      <c r="P36" s="1788"/>
      <c r="Q36" s="1788"/>
    </row>
    <row r="37" spans="1:17" ht="18">
      <c r="A37" s="1434" t="s">
        <v>450</v>
      </c>
      <c r="B37" s="1701">
        <v>2</v>
      </c>
      <c r="C37" s="1394">
        <v>24</v>
      </c>
      <c r="D37" s="1395">
        <v>18</v>
      </c>
      <c r="E37" s="1396">
        <v>6</v>
      </c>
      <c r="F37" s="1394">
        <v>21</v>
      </c>
      <c r="G37" s="1395">
        <v>15</v>
      </c>
      <c r="H37" s="1395">
        <v>6</v>
      </c>
      <c r="I37" s="1402"/>
      <c r="J37" s="1772"/>
      <c r="K37" s="1395"/>
      <c r="L37" s="1772"/>
      <c r="M37" s="1395"/>
      <c r="N37" s="1395"/>
      <c r="O37" s="1788"/>
      <c r="P37" s="1788"/>
      <c r="Q37" s="1788"/>
    </row>
    <row r="38" spans="1:17" ht="18">
      <c r="A38" s="1434" t="s">
        <v>451</v>
      </c>
      <c r="B38" s="1701">
        <v>2</v>
      </c>
      <c r="C38" s="1394">
        <v>12</v>
      </c>
      <c r="D38" s="1395">
        <v>9</v>
      </c>
      <c r="E38" s="1396">
        <v>0</v>
      </c>
      <c r="F38" s="1394">
        <v>12</v>
      </c>
      <c r="G38" s="1395">
        <v>9</v>
      </c>
      <c r="H38" s="1395">
        <v>0</v>
      </c>
      <c r="I38" s="1402"/>
      <c r="J38" s="1772"/>
      <c r="K38" s="1395"/>
      <c r="L38" s="1772"/>
      <c r="M38" s="1395"/>
      <c r="N38" s="1395"/>
      <c r="O38" s="1788"/>
      <c r="P38" s="1788"/>
      <c r="Q38" s="1788"/>
    </row>
    <row r="39" spans="1:17" ht="18">
      <c r="A39" s="1434" t="s">
        <v>452</v>
      </c>
      <c r="B39" s="1702">
        <v>1</v>
      </c>
      <c r="C39" s="1394">
        <v>6</v>
      </c>
      <c r="D39" s="1395">
        <v>6</v>
      </c>
      <c r="E39" s="1396">
        <v>0</v>
      </c>
      <c r="F39" s="1394">
        <v>6</v>
      </c>
      <c r="G39" s="1395">
        <v>6</v>
      </c>
      <c r="H39" s="1395">
        <v>0</v>
      </c>
      <c r="I39" s="1402"/>
      <c r="J39" s="1772"/>
      <c r="K39" s="1395"/>
      <c r="L39" s="1772"/>
      <c r="M39" s="1395"/>
      <c r="N39" s="1395"/>
      <c r="O39" s="1788"/>
      <c r="P39" s="1788"/>
      <c r="Q39" s="1788"/>
    </row>
    <row r="40" spans="1:17" ht="18">
      <c r="A40" s="1435" t="s">
        <v>418</v>
      </c>
      <c r="B40" s="1710"/>
      <c r="C40" s="1790">
        <v>144</v>
      </c>
      <c r="D40" s="1791">
        <v>123</v>
      </c>
      <c r="E40" s="1791">
        <v>21</v>
      </c>
      <c r="F40" s="1793">
        <v>141</v>
      </c>
      <c r="G40" s="1791">
        <v>120</v>
      </c>
      <c r="H40" s="1791">
        <v>18</v>
      </c>
      <c r="I40" s="1402"/>
      <c r="J40" s="1405"/>
      <c r="K40" s="1405"/>
      <c r="L40" s="1405"/>
      <c r="M40" s="1405"/>
      <c r="N40" s="1405"/>
      <c r="O40" s="1405"/>
      <c r="P40" s="1405"/>
      <c r="Q40" s="1405"/>
    </row>
    <row r="41" spans="1:17" ht="18">
      <c r="A41" s="1402" t="s">
        <v>498</v>
      </c>
      <c r="B41" s="1404"/>
      <c r="C41" s="1402"/>
      <c r="D41" s="1402"/>
      <c r="E41" s="1403"/>
      <c r="F41" s="1402"/>
      <c r="G41" s="1402"/>
      <c r="H41" s="1402"/>
      <c r="I41" s="1402"/>
      <c r="J41" s="1402"/>
    </row>
    <row r="42" spans="1:17" ht="18">
      <c r="A42" s="1404" t="s">
        <v>407</v>
      </c>
      <c r="B42" s="1404"/>
      <c r="C42" s="1402"/>
      <c r="D42" s="1402"/>
      <c r="E42" s="1403"/>
      <c r="F42" s="1402"/>
      <c r="G42" s="1402"/>
      <c r="H42" s="1402"/>
      <c r="I42" s="1402"/>
      <c r="J42" s="1402"/>
    </row>
    <row r="43" spans="1:17" ht="18">
      <c r="A43" s="1404" t="s">
        <v>464</v>
      </c>
      <c r="B43" s="1404"/>
      <c r="C43" s="1402"/>
      <c r="D43" s="1402"/>
      <c r="E43" s="1403"/>
      <c r="F43" s="1402"/>
      <c r="G43" s="1402"/>
      <c r="H43" s="1402"/>
    </row>
    <row r="44" spans="1:17" ht="18">
      <c r="A44" s="1402" t="s">
        <v>542</v>
      </c>
      <c r="B44" s="1402"/>
      <c r="C44" s="1605"/>
      <c r="D44" s="1605"/>
      <c r="E44" s="1605"/>
      <c r="F44" s="1605"/>
      <c r="G44" s="1605"/>
      <c r="H44" s="1605"/>
    </row>
  </sheetData>
  <printOptions horizontalCentered="1"/>
  <pageMargins left="0.70866141732283472" right="0.70866141732283472" top="0.78740157480314965" bottom="0.78740157480314965" header="0.31496062992125984" footer="0.31496062992125984"/>
  <pageSetup paperSize="9" scale="94" orientation="landscape" r:id="rId1"/>
  <rowBreaks count="1" manualBreakCount="1">
    <brk id="21" max="16383" man="1"/>
  </rowBreaks>
  <colBreaks count="1" manualBreakCount="1">
    <brk id="10" max="1048575" man="1"/>
  </colBreaks>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47</vt:i4>
      </vt:variant>
      <vt:variant>
        <vt:lpstr>Benannte Bereiche</vt:lpstr>
      </vt:variant>
      <vt:variant>
        <vt:i4>56</vt:i4>
      </vt:variant>
    </vt:vector>
  </HeadingPairs>
  <TitlesOfParts>
    <vt:vector size="103" baseType="lpstr">
      <vt:lpstr>Deckblatt 2024</vt:lpstr>
      <vt:lpstr>24-A. Landwirt</vt:lpstr>
      <vt:lpstr>A. Ausbildungsverh. Landwirt</vt:lpstr>
      <vt:lpstr>24-A. Fachkraft Agrarservice </vt:lpstr>
      <vt:lpstr>Fachkraft Agrarservice</vt:lpstr>
      <vt:lpstr>24- A. Winzer</vt:lpstr>
      <vt:lpstr>Winzer</vt:lpstr>
      <vt:lpstr>LW-Fachwerker</vt:lpstr>
      <vt:lpstr>24-A. LW-Fachwerker </vt:lpstr>
      <vt:lpstr>24-A. Tierwirt</vt:lpstr>
      <vt:lpstr>Tierwirt</vt:lpstr>
      <vt:lpstr>24-A. Fischwirt</vt:lpstr>
      <vt:lpstr>Fischwirt</vt:lpstr>
      <vt:lpstr>24-A. Pferdewirt Monoberuf</vt:lpstr>
      <vt:lpstr>Pferdewirt</vt:lpstr>
      <vt:lpstr>24-A. Pferdewirt 2</vt:lpstr>
      <vt:lpstr>Pferdewirt (2)</vt:lpstr>
      <vt:lpstr>24-1A. Gärtner</vt:lpstr>
      <vt:lpstr>Gärtner</vt:lpstr>
      <vt:lpstr>24-2A.Gärtner</vt:lpstr>
      <vt:lpstr>24-A. Gaba - Fachwerker</vt:lpstr>
      <vt:lpstr>Gaba-Fachwerker</vt:lpstr>
      <vt:lpstr>24-A. Revierjäger</vt:lpstr>
      <vt:lpstr>Revierjäger</vt:lpstr>
      <vt:lpstr>24-A. Forstwirt </vt:lpstr>
      <vt:lpstr>Forstwirt</vt:lpstr>
      <vt:lpstr>Molkereifachmann</vt:lpstr>
      <vt:lpstr>24-A. Pflanzentechnologe</vt:lpstr>
      <vt:lpstr>24-A. Milchtechnologe</vt:lpstr>
      <vt:lpstr>Milchtechnologe-technologin</vt:lpstr>
      <vt:lpstr>24-A. Milchw. Laborant </vt:lpstr>
      <vt:lpstr>Milchw.Laborant</vt:lpstr>
      <vt:lpstr>24-A. Hauswirtschaft</vt:lpstr>
      <vt:lpstr>Hauswirtschaft</vt:lpstr>
      <vt:lpstr>B. Entwicklung </vt:lpstr>
      <vt:lpstr>24-1B. Entwicklung</vt:lpstr>
      <vt:lpstr>24-2B. Entwicklung</vt:lpstr>
      <vt:lpstr>24-C. Verträge nach Vorbild </vt:lpstr>
      <vt:lpstr>C. Verträge nach Vorbildung</vt:lpstr>
      <vt:lpstr>24-D. Vorz.gel.AVe</vt:lpstr>
      <vt:lpstr>D. Vorz.gel.AVe</vt:lpstr>
      <vt:lpstr>24-E. Ausl. Auszubildende</vt:lpstr>
      <vt:lpstr>E. Ausl. Auszubildende</vt:lpstr>
      <vt:lpstr>24-F. Prüf.i.d.berufl. Fort</vt:lpstr>
      <vt:lpstr>F. Prüf.i.d.berufl. Fortbildung</vt:lpstr>
      <vt:lpstr>17-Alle zusammen</vt:lpstr>
      <vt:lpstr>Alle zusammen</vt:lpstr>
      <vt:lpstr>'B. Entwicklung '!B._Entwicklung_der_Ausbildungsberufe</vt:lpstr>
      <vt:lpstr>'E. Ausl. Auszubildende'!Brenner\_in</vt:lpstr>
      <vt:lpstr>'F. Prüf.i.d.berufl. Fortbildung'!C.__Prüfungen_in_der_beruflichen_Fortbildung______46_BBiG</vt:lpstr>
      <vt:lpstr>'24-1B. Entwicklung'!Druckbereich</vt:lpstr>
      <vt:lpstr>'24-2B. Entwicklung'!Druckbereich</vt:lpstr>
      <vt:lpstr>'24-A. Fischwirt'!Druckbereich</vt:lpstr>
      <vt:lpstr>'24-A. Forstwirt '!Druckbereich</vt:lpstr>
      <vt:lpstr>'24-A. Gaba - Fachwerker'!Druckbereich</vt:lpstr>
      <vt:lpstr>'24-A. Hauswirtschaft'!Druckbereich</vt:lpstr>
      <vt:lpstr>'24-A. Landwirt'!Druckbereich</vt:lpstr>
      <vt:lpstr>'24-A. Milchtechnologe'!Druckbereich</vt:lpstr>
      <vt:lpstr>'24-A. Milchw. Laborant '!Druckbereich</vt:lpstr>
      <vt:lpstr>'24-A. Pferdewirt Monoberuf'!Druckbereich</vt:lpstr>
      <vt:lpstr>'24-A. Pflanzentechnologe'!Druckbereich</vt:lpstr>
      <vt:lpstr>'24-A. Tierwirt'!Druckbereich</vt:lpstr>
      <vt:lpstr>'24-C. Verträge nach Vorbild '!Druckbereich</vt:lpstr>
      <vt:lpstr>'24-D. Vorz.gel.AVe'!Druckbereich</vt:lpstr>
      <vt:lpstr>'24-E. Ausl. Auszubildende'!Druckbereich</vt:lpstr>
      <vt:lpstr>'24-F. Prüf.i.d.berufl. Fort'!Druckbereich</vt:lpstr>
      <vt:lpstr>'24-1A. Gärtner'!Drucktitel</vt:lpstr>
      <vt:lpstr>'24-1B. Entwicklung'!Drucktitel</vt:lpstr>
      <vt:lpstr>'24-2A.Gärtner'!Drucktitel</vt:lpstr>
      <vt:lpstr>'24-2B. Entwicklung'!Drucktitel</vt:lpstr>
      <vt:lpstr>'24-E. Ausl. Auszubildende'!Drucktitel</vt:lpstr>
      <vt:lpstr>'24-F. Prüf.i.d.berufl. Fort'!Drucktitel</vt:lpstr>
      <vt:lpstr>'17-Alle zusammen'!Hauswirtschafter\_in_in_landwirtschaftlichen_Betrieben</vt:lpstr>
      <vt:lpstr>'Alle zusammen'!Hauswirtschafter\_in_in_landwirtschaftlichen_Betrieben</vt:lpstr>
      <vt:lpstr>'Fachkraft Agrarservice'!Landwirtschaftsfachwerker\_in______48_BBiG</vt:lpstr>
      <vt:lpstr>Fischwirt!Landwirtschaftsfachwerker\_in______48_BBiG</vt:lpstr>
      <vt:lpstr>Pferdewirt!Landwirtschaftsfachwerker\_in______48_BBiG</vt:lpstr>
      <vt:lpstr>'Pferdewirt (2)'!Landwirtschaftsfachwerker\_in______48_BBiG</vt:lpstr>
      <vt:lpstr>'Milchtechnologe-technologin'!Molkereifachmann\_frau</vt:lpstr>
      <vt:lpstr>Molkereifachmann!Molkereifachmann\_frau</vt:lpstr>
      <vt:lpstr>'17-Alle zusammen'!Print_Area</vt:lpstr>
      <vt:lpstr>'A. Ausbildungsverh. Landwirt'!Print_Area</vt:lpstr>
      <vt:lpstr>'Alle zusammen'!Print_Area</vt:lpstr>
      <vt:lpstr>'B. Entwicklung '!Print_Area</vt:lpstr>
      <vt:lpstr>'C. Verträge nach Vorbildung'!Print_Area</vt:lpstr>
      <vt:lpstr>'D. Vorz.gel.AVe'!Print_Area</vt:lpstr>
      <vt:lpstr>'E. Ausl. Auszubildende'!Print_Area</vt:lpstr>
      <vt:lpstr>'F. Prüf.i.d.berufl. Fortbildung'!Print_Area</vt:lpstr>
      <vt:lpstr>'Fachkraft Agrarservice'!Print_Area</vt:lpstr>
      <vt:lpstr>Fischwirt!Print_Area</vt:lpstr>
      <vt:lpstr>Forstwirt!Print_Area</vt:lpstr>
      <vt:lpstr>'Gaba-Fachwerker'!Print_Area</vt:lpstr>
      <vt:lpstr>Gärtner!Print_Area</vt:lpstr>
      <vt:lpstr>Hauswirtschaft!Print_Area</vt:lpstr>
      <vt:lpstr>'LW-Fachwerker'!Print_Area</vt:lpstr>
      <vt:lpstr>'Milchtechnologe-technologin'!Print_Area</vt:lpstr>
      <vt:lpstr>Milchw.Laborant!Print_Area</vt:lpstr>
      <vt:lpstr>Molkereifachmann!Print_Area</vt:lpstr>
      <vt:lpstr>Pferdewirt!Print_Area</vt:lpstr>
      <vt:lpstr>'Pferdewirt (2)'!Print_Area</vt:lpstr>
      <vt:lpstr>Revierjäger!Print_Area</vt:lpstr>
      <vt:lpstr>Tierwirt!Print_Area</vt:lpstr>
      <vt:lpstr>Winzer!Print_Area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Osmenda, Anna</dc:creator>
  <cp:lastModifiedBy>Köhler, Felipe</cp:lastModifiedBy>
  <cp:lastPrinted>2026-01-07T11:11:53Z</cp:lastPrinted>
  <dcterms:created xsi:type="dcterms:W3CDTF">1999-03-16T08:07:54Z</dcterms:created>
  <dcterms:modified xsi:type="dcterms:W3CDTF">2026-01-12T10:32:16Z</dcterms:modified>
</cp:coreProperties>
</file>